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" sheetId="1" r:id="rId4"/>
    <sheet state="visible" name="ДАНІ" sheetId="2" r:id="rId5"/>
    <sheet state="hidden" name="Аркуш7" sheetId="3" r:id="rId6"/>
    <sheet state="visible" name="Курс валют" sheetId="4" r:id="rId7"/>
    <sheet state="visible" name="Sales_Analysis_dashboard" sheetId="5" r:id="rId8"/>
  </sheets>
  <definedNames>
    <definedName hidden="1" localSheetId="1" name="_xlnm._FilterDatabase">'ДАНІ'!$A$1:$H$6986</definedName>
  </definedNames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<sst xmlns="http://schemas.openxmlformats.org/spreadsheetml/2006/main" count="2084" uniqueCount="2063">
  <si>
    <t>ДЗ</t>
  </si>
  <si>
    <t>1)</t>
  </si>
  <si>
    <t>Побудувати Дашборд по аналітиці продажів з можливістю перемикання років, курсів валют</t>
  </si>
  <si>
    <t>Використати не менше 5 графіків, показати своє бачення</t>
  </si>
  <si>
    <t>ДЗ Підвищеної складності</t>
  </si>
  <si>
    <t>Побудувати Дашборд по аналітиці продажів з можливістю перемикання років, курсів валют, і ще параметрів (Кількість, Ціна, Сума)</t>
  </si>
  <si>
    <t>Order ID</t>
  </si>
  <si>
    <t>Order Date</t>
  </si>
  <si>
    <t>Segment</t>
  </si>
  <si>
    <t>State</t>
  </si>
  <si>
    <t>Region</t>
  </si>
  <si>
    <t>Sales</t>
  </si>
  <si>
    <t>Quantity</t>
  </si>
  <si>
    <t>Profit</t>
  </si>
  <si>
    <t>CA-2014-100006-Consumer-New York</t>
  </si>
  <si>
    <t>CA-2014-100090-Corporate-California</t>
  </si>
  <si>
    <t>CA-2014-100293-Home Office-Florida</t>
  </si>
  <si>
    <t>CA-2014-100328-Consumer-New York</t>
  </si>
  <si>
    <t>CA-2014-100363-Corporate-Arizona</t>
  </si>
  <si>
    <t>CA-2014-100391-Consumer-New York</t>
  </si>
  <si>
    <t>CA-2014-100678-Consumer-Texas</t>
  </si>
  <si>
    <t>CA-2014-100706-Consumer-Virginia</t>
  </si>
  <si>
    <t>CA-2014-100762-Corporate-Michigan</t>
  </si>
  <si>
    <t>CA-2014-100860-Consumer-California</t>
  </si>
  <si>
    <t>CA-2014-100867-Home Office-California</t>
  </si>
  <si>
    <t>CA-2014-100881-Home Office-New Mexico</t>
  </si>
  <si>
    <t>CA-2014-100895-Consumer-Georgia</t>
  </si>
  <si>
    <t>CA-2014-100916-Corporate-Virginia</t>
  </si>
  <si>
    <t>CA-2014-100972-Home Office-Utah</t>
  </si>
  <si>
    <t>CA-2014-101147-Consumer-Illinois</t>
  </si>
  <si>
    <t>CA-2014-101175-Corporate-Arizona</t>
  </si>
  <si>
    <t>CA-2014-101266-Consumer-Virginia</t>
  </si>
  <si>
    <t>CA-2014-101364-Home Office-New York</t>
  </si>
  <si>
    <t>CA-2014-101392-Home Office-Washington</t>
  </si>
  <si>
    <t>CA-2014-101427-Corporate-Pennsylvania</t>
  </si>
  <si>
    <t>CA-2014-101462-Consumer-California</t>
  </si>
  <si>
    <t>CA-2014-101476-Home Office-New York</t>
  </si>
  <si>
    <t>CA-2014-101560-Corporate-South Carolina</t>
  </si>
  <si>
    <t>CA-2014-101602-Consumer-Texas</t>
  </si>
  <si>
    <t>CA-2014-101770-Corporate-Florida</t>
  </si>
  <si>
    <t>CA-2014-101833-Home Office-New York</t>
  </si>
  <si>
    <t>CA-2014-101931-Corporate-California</t>
  </si>
  <si>
    <t>CA-2014-102008-Consumer-New York</t>
  </si>
  <si>
    <t>CA-2014-102085-Consumer-Washington</t>
  </si>
  <si>
    <t>CA-2014-102274-Corporate-Kentucky</t>
  </si>
  <si>
    <t>CA-2014-102295-Consumer-California</t>
  </si>
  <si>
    <t>CA-2014-102330-Consumer-California</t>
  </si>
  <si>
    <t>CA-2014-102645-Consumer-Nevada</t>
  </si>
  <si>
    <t>CA-2014-102652-Corporate-California</t>
  </si>
  <si>
    <t>CA-2014-102673-Corporate-North Carolina</t>
  </si>
  <si>
    <t>CA-2014-102869-Consumer-Pennsylvania</t>
  </si>
  <si>
    <t>CA-2014-102988-Corporate-Virginia</t>
  </si>
  <si>
    <t>CA-2014-103058-Consumer-New York</t>
  </si>
  <si>
    <t>CA-2014-103086-Consumer-Texas</t>
  </si>
  <si>
    <t>CA-2014-103100-Consumer-Indiana</t>
  </si>
  <si>
    <t>CA-2014-103191-Corporate-Illinois</t>
  </si>
  <si>
    <t>CA-2014-103219-Home Office-New York</t>
  </si>
  <si>
    <t>CA-2014-103310-Consumer-California</t>
  </si>
  <si>
    <t>CA-2014-103317-Corporate-Florida</t>
  </si>
  <si>
    <t>CA-2014-103331-Consumer-Delaware</t>
  </si>
  <si>
    <t>CA-2014-103366-Consumer-Georgia</t>
  </si>
  <si>
    <t>CA-2014-103373-Consumer-Ohio</t>
  </si>
  <si>
    <t>CA-2014-103401-Corporate-California</t>
  </si>
  <si>
    <t>CA-2014-103429-Corporate-New York</t>
  </si>
  <si>
    <t>CA-2014-103492-Corporate-Texas</t>
  </si>
  <si>
    <t>CA-2014-103527-Consumer-Illinois</t>
  </si>
  <si>
    <t>CA-2014-103590-Consumer-New York</t>
  </si>
  <si>
    <t>CA-2014-103660-Consumer-Washington</t>
  </si>
  <si>
    <t>CA-2014-103702-Consumer-Ohio</t>
  </si>
  <si>
    <t>CA-2014-103744-Home Office-Texas</t>
  </si>
  <si>
    <t>CA-2014-103800-Consumer-Texas</t>
  </si>
  <si>
    <t>CA-2014-103807-Corporate-Georgia</t>
  </si>
  <si>
    <t>CA-2014-103849-Consumer-Texas</t>
  </si>
  <si>
    <t>CA-2014-103940-Consumer-Washington</t>
  </si>
  <si>
    <t>CA-2014-103989-Corporate-Florida</t>
  </si>
  <si>
    <t>CA-2014-104178-Corporate-California</t>
  </si>
  <si>
    <t>CA-2014-104269-Consumer-Washington</t>
  </si>
  <si>
    <t>CA-2014-104283-Consumer-Mississippi</t>
  </si>
  <si>
    <t>CA-2014-104402-Consumer-Delaware</t>
  </si>
  <si>
    <t>CA-2014-104472-Home Office-Utah</t>
  </si>
  <si>
    <t>CA-2014-104563-Corporate-Washington</t>
  </si>
  <si>
    <t>CA-2014-104738-Corporate-Texas</t>
  </si>
  <si>
    <t>CA-2014-104773-Corporate-Texas</t>
  </si>
  <si>
    <t>CA-2014-104780-Home Office-California</t>
  </si>
  <si>
    <t>CA-2014-104808-Corporate-California</t>
  </si>
  <si>
    <t>CA-2014-104829-Corporate-Utah</t>
  </si>
  <si>
    <t>CA-2014-104976-Corporate-California</t>
  </si>
  <si>
    <t>CA-2014-105165-Home Office-Texas</t>
  </si>
  <si>
    <t>CA-2014-105172-Home Office-California</t>
  </si>
  <si>
    <t>CA-2014-105249-Home Office-California</t>
  </si>
  <si>
    <t>CA-2014-105270-Consumer-California</t>
  </si>
  <si>
    <t>CA-2014-105340-Consumer-Texas</t>
  </si>
  <si>
    <t>CA-2014-105417-Consumer-Texas</t>
  </si>
  <si>
    <t>CA-2014-105648-Consumer-California</t>
  </si>
  <si>
    <t>CA-2014-105872-Consumer-New York</t>
  </si>
  <si>
    <t>CA-2014-105893-Consumer-Wisconsin</t>
  </si>
  <si>
    <t>CA-2014-105984-Corporate-Ohio</t>
  </si>
  <si>
    <t>CA-2014-106054-Corporate-Georgia</t>
  </si>
  <si>
    <t>CA-2014-106229-Consumer-Illinois</t>
  </si>
  <si>
    <t>CA-2014-106264-Consumer-California</t>
  </si>
  <si>
    <t>CA-2014-106376-Corporate-Arizona</t>
  </si>
  <si>
    <t>CA-2014-106439-Corporate-California</t>
  </si>
  <si>
    <t>CA-2014-106572-Consumer-Ohio</t>
  </si>
  <si>
    <t>CA-2014-106719-Corporate-Montana</t>
  </si>
  <si>
    <t>CA-2014-106726-Corporate-California</t>
  </si>
  <si>
    <t>CA-2014-106803-Consumer-Minnesota</t>
  </si>
  <si>
    <t>CA-2014-106810-Corporate-Florida</t>
  </si>
  <si>
    <t>CA-2014-106971-Consumer-Illinois</t>
  </si>
  <si>
    <t>CA-2014-107139-Home Office-California</t>
  </si>
  <si>
    <t>CA-2014-107153-Corporate-Massachusetts</t>
  </si>
  <si>
    <t>CA-2014-107181-Home Office-California</t>
  </si>
  <si>
    <t>CA-2014-107398-Corporate-Ohio</t>
  </si>
  <si>
    <t>CA-2014-107454-Consumer-New York</t>
  </si>
  <si>
    <t>CA-2014-107524-Home Office-New York</t>
  </si>
  <si>
    <t>CA-2014-107573-Consumer-Florida</t>
  </si>
  <si>
    <t>CA-2014-107594-Consumer-New Jersey</t>
  </si>
  <si>
    <t>CA-2014-107706-Consumer-Texas</t>
  </si>
  <si>
    <t>CA-2014-107755-Corporate-New Jersey</t>
  </si>
  <si>
    <t>CA-2014-107769-Corporate-Kansas</t>
  </si>
  <si>
    <t>CA-2014-107811-Corporate-Tennessee</t>
  </si>
  <si>
    <t>CA-2014-107818-Consumer-Washington</t>
  </si>
  <si>
    <t>CA-2014-107916-Corporate-New York</t>
  </si>
  <si>
    <t>CA-2014-108147-Consumer-New York</t>
  </si>
  <si>
    <t>CA-2014-108182-Consumer-Illinois</t>
  </si>
  <si>
    <t>CA-2014-108189-Corporate-Arizona</t>
  </si>
  <si>
    <t>CA-2014-108273-Consumer-Texas</t>
  </si>
  <si>
    <t>CA-2014-108609-Corporate-Ohio</t>
  </si>
  <si>
    <t>CA-2014-108707-Home Office-Florida</t>
  </si>
  <si>
    <t>CA-2014-108861-Consumer-Washington</t>
  </si>
  <si>
    <t>CA-2014-108903-Consumer-Ohio</t>
  </si>
  <si>
    <t>CA-2014-109043-Consumer-Florida</t>
  </si>
  <si>
    <t>CA-2014-109127-Consumer-Delaware</t>
  </si>
  <si>
    <t>CA-2014-109134-Home Office-California</t>
  </si>
  <si>
    <t>CA-2014-109218-Corporate-California</t>
  </si>
  <si>
    <t>CA-2014-109232-Consumer-South Carolina</t>
  </si>
  <si>
    <t>CA-2014-109302-Corporate-New Jersey</t>
  </si>
  <si>
    <t>CA-2014-109491-Corporate-Indiana</t>
  </si>
  <si>
    <t>CA-2014-109680-Corporate-Indiana</t>
  </si>
  <si>
    <t>CA-2014-109855-Consumer-New York</t>
  </si>
  <si>
    <t>CA-2014-109890-Consumer-Nebraska</t>
  </si>
  <si>
    <t>CA-2014-109897-Consumer-California</t>
  </si>
  <si>
    <t>CA-2014-109904-Corporate-New York</t>
  </si>
  <si>
    <t>CA-2014-109918-Corporate-California</t>
  </si>
  <si>
    <t>CA-2014-109932-Corporate-Texas</t>
  </si>
  <si>
    <t>CA-2014-110030-Consumer-Texas</t>
  </si>
  <si>
    <t>CA-2014-110065-Corporate-New York</t>
  </si>
  <si>
    <t>CA-2014-110072-Home Office-Ohio</t>
  </si>
  <si>
    <t>CA-2014-110100-Consumer-North Carolina</t>
  </si>
  <si>
    <t>CA-2014-110184-Home Office-California</t>
  </si>
  <si>
    <t>CA-2014-110219-Consumer-Texas</t>
  </si>
  <si>
    <t>CA-2014-110352-Home Office-Texas</t>
  </si>
  <si>
    <t>CA-2014-110408-Corporate-Alabama</t>
  </si>
  <si>
    <t>CA-2014-110422-Consumer-Florida</t>
  </si>
  <si>
    <t>CA-2014-110527-Home Office-California</t>
  </si>
  <si>
    <t>CA-2014-110555-Consumer-Montana</t>
  </si>
  <si>
    <t>CA-2014-110611-Consumer-Pennsylvania</t>
  </si>
  <si>
    <t>CA-2014-110639-Consumer-New York</t>
  </si>
  <si>
    <t>CA-2014-110786-Corporate-California</t>
  </si>
  <si>
    <t>CA-2014-110849-Consumer-California</t>
  </si>
  <si>
    <t>CA-2014-111003-Home Office-New Jersey</t>
  </si>
  <si>
    <t>CA-2014-111059-Consumer-Washington</t>
  </si>
  <si>
    <t>CA-2014-111150-Corporate-Missouri</t>
  </si>
  <si>
    <t>CA-2014-111157-Corporate-Pennsylvania</t>
  </si>
  <si>
    <t>CA-2014-111192-Corporate-Washington</t>
  </si>
  <si>
    <t>CA-2014-111360-Home Office-Ohio</t>
  </si>
  <si>
    <t>CA-2014-111451-Corporate-Colorado</t>
  </si>
  <si>
    <t>CA-2014-111500-Corporate-Arkansas</t>
  </si>
  <si>
    <t>CA-2014-111773-Consumer-New York</t>
  </si>
  <si>
    <t>CA-2014-111857-Home Office-California</t>
  </si>
  <si>
    <t>CA-2014-111871-Home Office-California</t>
  </si>
  <si>
    <t>CA-2014-111899-Consumer-Texas</t>
  </si>
  <si>
    <t>CA-2014-111934-Corporate-Virginia</t>
  </si>
  <si>
    <t>CA-2014-111962-Consumer-Washington</t>
  </si>
  <si>
    <t>CA-2014-112158-Consumer-New York</t>
  </si>
  <si>
    <t>CA-2014-112291-Corporate-California</t>
  </si>
  <si>
    <t>CA-2014-112326-Home Office-Illinois</t>
  </si>
  <si>
    <t>CA-2014-112403-Consumer-Pennsylvania</t>
  </si>
  <si>
    <t>CA-2014-112718-Corporate-Florida</t>
  </si>
  <si>
    <t>CA-2014-112837-Consumer-California</t>
  </si>
  <si>
    <t>CA-2014-112851-Consumer-California</t>
  </si>
  <si>
    <t>CA-2014-113047-Consumer-South Carolina</t>
  </si>
  <si>
    <t>CA-2014-113166-Consumer-Florida</t>
  </si>
  <si>
    <t>CA-2014-113257-Consumer-Texas</t>
  </si>
  <si>
    <t>CA-2014-113271-Home Office-California</t>
  </si>
  <si>
    <t>CA-2014-113320-Consumer-California</t>
  </si>
  <si>
    <t>CA-2014-113362-Consumer-New York</t>
  </si>
  <si>
    <t>CA-2014-113383-Consumer-New Jersey</t>
  </si>
  <si>
    <t>CA-2014-113579-Consumer-California</t>
  </si>
  <si>
    <t>CA-2014-113768-Corporate-California</t>
  </si>
  <si>
    <t>CA-2014-113859-Home Office-Texas</t>
  </si>
  <si>
    <t>CA-2014-113880-Home Office-Illinois</t>
  </si>
  <si>
    <t>CA-2014-113887-Home Office-New York</t>
  </si>
  <si>
    <t>CA-2014-113929-Consumer-New York</t>
  </si>
  <si>
    <t>CA-2014-113964-Home Office-New York</t>
  </si>
  <si>
    <t>CA-2014-114125-Home Office-California</t>
  </si>
  <si>
    <t>CA-2014-114181-Consumer-Pennsylvania</t>
  </si>
  <si>
    <t>CA-2014-114195-Corporate-Ohio</t>
  </si>
  <si>
    <t>CA-2014-114251-Consumer-Pennsylvania</t>
  </si>
  <si>
    <t>CA-2014-114314-Corporate-Arkansas</t>
  </si>
  <si>
    <t>CA-2014-114321-Corporate-Virginia</t>
  </si>
  <si>
    <t>CA-2014-114335-Consumer-Florida</t>
  </si>
  <si>
    <t>CA-2014-114433-Consumer-California</t>
  </si>
  <si>
    <t>CA-2014-114510-Consumer-Utah</t>
  </si>
  <si>
    <t>CA-2014-114517-Corporate-New York</t>
  </si>
  <si>
    <t>CA-2014-114643-Corporate-California</t>
  </si>
  <si>
    <t>CA-2014-114790-Corporate-Kentucky</t>
  </si>
  <si>
    <t>CA-2014-115049-Consumer-Illinois</t>
  </si>
  <si>
    <t>CA-2014-115056-Consumer-Ohio</t>
  </si>
  <si>
    <t>CA-2014-115084-Corporate-Arkansas</t>
  </si>
  <si>
    <t>CA-2014-115133-Home Office-Ohio</t>
  </si>
  <si>
    <t>CA-2014-115161-Consumer-California</t>
  </si>
  <si>
    <t>CA-2014-115259-Consumer-Ohio</t>
  </si>
  <si>
    <t>CA-2014-115336-Corporate-Illinois</t>
  </si>
  <si>
    <t>CA-2014-115357-Consumer-South Carolina</t>
  </si>
  <si>
    <t>CA-2014-115791-Consumer-Pennsylvania</t>
  </si>
  <si>
    <t>CA-2014-115812-Consumer-California</t>
  </si>
  <si>
    <t>CA-2014-115889-Consumer-California</t>
  </si>
  <si>
    <t>CA-2014-115973-Consumer-Ohio</t>
  </si>
  <si>
    <t>CA-2014-115980-Corporate-South Dakota</t>
  </si>
  <si>
    <t>CA-2014-116190-Consumer-Georgia</t>
  </si>
  <si>
    <t>CA-2014-116239-Consumer-South Carolina</t>
  </si>
  <si>
    <t>CA-2014-116246-Consumer-New York</t>
  </si>
  <si>
    <t>CA-2014-116407-Consumer-Tennessee</t>
  </si>
  <si>
    <t>CA-2014-116568-Consumer-Florida</t>
  </si>
  <si>
    <t>CA-2014-116666-Consumer-Pennsylvania</t>
  </si>
  <si>
    <t>CA-2014-116673-Consumer-California</t>
  </si>
  <si>
    <t>CA-2014-116757-Corporate-Texas</t>
  </si>
  <si>
    <t>CA-2014-116785-Home Office-California</t>
  </si>
  <si>
    <t>CA-2014-116834-Home Office-Washington</t>
  </si>
  <si>
    <t>CA-2014-116904-Consumer-Minnesota</t>
  </si>
  <si>
    <t>CA-2014-116932-Corporate-California</t>
  </si>
  <si>
    <t>CA-2014-117016-Consumer-Florida</t>
  </si>
  <si>
    <t>CA-2014-117317-Consumer-California</t>
  </si>
  <si>
    <t>CA-2014-117345-Corporate-North Carolina</t>
  </si>
  <si>
    <t>CA-2014-117429-Home Office-Pennsylvania</t>
  </si>
  <si>
    <t>CA-2014-117464-Consumer-California</t>
  </si>
  <si>
    <t>CA-2014-117478-Consumer-Pennsylvania</t>
  </si>
  <si>
    <t>CA-2014-117639-Corporate-Virginia</t>
  </si>
  <si>
    <t>CA-2014-117709-Consumer-Michigan</t>
  </si>
  <si>
    <t>CA-2014-117765-Home Office-Oklahoma</t>
  </si>
  <si>
    <t>CA-2014-118192-Consumer-Ohio</t>
  </si>
  <si>
    <t>CA-2014-118276-Home Office-Illinois</t>
  </si>
  <si>
    <t>CA-2014-118304-Consumer-Delaware</t>
  </si>
  <si>
    <t>CA-2014-118339-Consumer-Minnesota</t>
  </si>
  <si>
    <t>CA-2014-118962-Consumer-California</t>
  </si>
  <si>
    <t>CA-2014-118976-Corporate-Maryland</t>
  </si>
  <si>
    <t>CA-2014-119032-Consumer-New York</t>
  </si>
  <si>
    <t>CA-2014-119144-Corporate-California</t>
  </si>
  <si>
    <t>CA-2014-119151-Home Office-New York</t>
  </si>
  <si>
    <t>CA-2014-119172-Home Office-Illinois</t>
  </si>
  <si>
    <t>CA-2014-119375-Corporate-Delaware</t>
  </si>
  <si>
    <t>CA-2014-119466-Corporate-Illinois</t>
  </si>
  <si>
    <t>CA-2014-119529-Corporate-New Jersey</t>
  </si>
  <si>
    <t>CA-2014-119977-Consumer-New York</t>
  </si>
  <si>
    <t>CA-2014-120096-Corporate-Colorado</t>
  </si>
  <si>
    <t>CA-2014-120243-Home Office-California</t>
  </si>
  <si>
    <t>CA-2014-120278-Consumer-Wisconsin</t>
  </si>
  <si>
    <t>CA-2014-120411-Consumer-Illinois</t>
  </si>
  <si>
    <t>CA-2014-120432-Corporate-Kentucky</t>
  </si>
  <si>
    <t>CA-2014-120474-Consumer-Wisconsin</t>
  </si>
  <si>
    <t>CA-2014-120544-Corporate-Texas</t>
  </si>
  <si>
    <t>CA-2014-120670-Home Office-Florida</t>
  </si>
  <si>
    <t>CA-2014-120768-Consumer-Alabama</t>
  </si>
  <si>
    <t>CA-2014-120775-Consumer-Texas</t>
  </si>
  <si>
    <t>CA-2014-120838-Consumer-California</t>
  </si>
  <si>
    <t>CA-2014-120852-Consumer-Texas</t>
  </si>
  <si>
    <t>CA-2014-120887-Corporate-New Jersey</t>
  </si>
  <si>
    <t>CA-2014-120950-Consumer-Georgia</t>
  </si>
  <si>
    <t>CA-2014-121006-Consumer-Michigan</t>
  </si>
  <si>
    <t>CA-2014-121167-Consumer-New York</t>
  </si>
  <si>
    <t>CA-2014-121286-Corporate-North Carolina</t>
  </si>
  <si>
    <t>CA-2014-121573-Consumer-New York</t>
  </si>
  <si>
    <t>CA-2014-121629-Consumer-Texas</t>
  </si>
  <si>
    <t>CA-2014-121664-Home Office-California</t>
  </si>
  <si>
    <t>CA-2014-121727-Consumer-Ohio</t>
  </si>
  <si>
    <t>CA-2014-121762-Corporate-Washington</t>
  </si>
  <si>
    <t>CA-2014-121769-Consumer-Ohio</t>
  </si>
  <si>
    <t>CA-2014-122070-Corporate-New York</t>
  </si>
  <si>
    <t>CA-2014-122217-Home Office-Virginia</t>
  </si>
  <si>
    <t>CA-2014-122336-Corporate-Pennsylvania</t>
  </si>
  <si>
    <t>CA-2014-122567-Consumer-Texas</t>
  </si>
  <si>
    <t>CA-2014-122588-Consumer-Rhode Island</t>
  </si>
  <si>
    <t>CA-2014-122609-Consumer-Texas</t>
  </si>
  <si>
    <t>CA-2014-122679-Home Office-California</t>
  </si>
  <si>
    <t>CA-2014-122749-Consumer-Oklahoma</t>
  </si>
  <si>
    <t>CA-2014-122882-Corporate-Pennsylvania</t>
  </si>
  <si>
    <t>CA-2014-122931-Corporate-Pennsylvania</t>
  </si>
  <si>
    <t>CA-2014-123064-Consumer-Illinois</t>
  </si>
  <si>
    <t>CA-2014-123127-Corporate-New York</t>
  </si>
  <si>
    <t>CA-2014-123225-Consumer-Texas</t>
  </si>
  <si>
    <t>CA-2014-123253-Home Office-Ohio</t>
  </si>
  <si>
    <t>CA-2014-123260-Home Office-California</t>
  </si>
  <si>
    <t>CA-2014-123295-Home Office-Arizona</t>
  </si>
  <si>
    <t>CA-2014-123316-Corporate-New York</t>
  </si>
  <si>
    <t>CA-2014-123323-Consumer-California</t>
  </si>
  <si>
    <t>CA-2014-123344-Consumer-California</t>
  </si>
  <si>
    <t>CA-2014-123400-Consumer-Florida</t>
  </si>
  <si>
    <t>CA-2014-123477-Corporate-Oregon</t>
  </si>
  <si>
    <t>CA-2014-123498-Corporate-Texas</t>
  </si>
  <si>
    <t>CA-2014-123855-Consumer-California</t>
  </si>
  <si>
    <t>CA-2014-123925-Consumer-Georgia</t>
  </si>
  <si>
    <t>CA-2014-124023-Consumer-Alabama</t>
  </si>
  <si>
    <t>CA-2014-124079-Corporate-Arizona</t>
  </si>
  <si>
    <t>CA-2014-124247-Corporate-California</t>
  </si>
  <si>
    <t>CA-2014-124394-Consumer-Texas</t>
  </si>
  <si>
    <t>CA-2014-124429-Corporate-California</t>
  </si>
  <si>
    <t>CA-2014-124464-Home Office-Delaware</t>
  </si>
  <si>
    <t>CA-2014-124478-Home Office-Michigan</t>
  </si>
  <si>
    <t>CA-2014-124513-Home Office-New York</t>
  </si>
  <si>
    <t>CA-2014-124618-Consumer-Florida</t>
  </si>
  <si>
    <t>CA-2014-124646-Consumer-Minnesota</t>
  </si>
  <si>
    <t>CA-2014-124688-Corporate-Virginia</t>
  </si>
  <si>
    <t>CA-2014-124702-Corporate-Washington</t>
  </si>
  <si>
    <t>CA-2014-124709-Consumer-California</t>
  </si>
  <si>
    <t>CA-2014-124723-Consumer-Texas</t>
  </si>
  <si>
    <t>CA-2014-124730-Consumer-New York</t>
  </si>
  <si>
    <t>CA-2014-124737-Consumer-Colorado</t>
  </si>
  <si>
    <t>CA-2014-124807-Consumer-Illinois</t>
  </si>
  <si>
    <t>CA-2014-124856-Consumer-New York</t>
  </si>
  <si>
    <t>CA-2014-125136-Corporate-North Carolina</t>
  </si>
  <si>
    <t>CA-2014-125150-Corporate-California</t>
  </si>
  <si>
    <t>CA-2014-125171-Consumer-New York</t>
  </si>
  <si>
    <t>CA-2014-125514-Corporate-Nebraska</t>
  </si>
  <si>
    <t>CA-2014-125542-Corporate-Pennsylvania</t>
  </si>
  <si>
    <t>CA-2014-125556-Consumer-Connecticut</t>
  </si>
  <si>
    <t>CA-2014-125612-Consumer-New York</t>
  </si>
  <si>
    <t>CA-2014-125682-Corporate-Georgia</t>
  </si>
  <si>
    <t>CA-2014-125731-Consumer-Oregon</t>
  </si>
  <si>
    <t>CA-2014-125759-Home Office-Nevada</t>
  </si>
  <si>
    <t>CA-2014-125829-Consumer-California</t>
  </si>
  <si>
    <t>CA-2014-125997-Consumer-New York</t>
  </si>
  <si>
    <t>CA-2014-126032-Consumer-Pennsylvania</t>
  </si>
  <si>
    <t>CA-2014-126193-Consumer-Illinois</t>
  </si>
  <si>
    <t>CA-2014-126200-Consumer-Texas</t>
  </si>
  <si>
    <t>CA-2014-126277-Consumer-Ohio</t>
  </si>
  <si>
    <t>CA-2014-126333-Corporate-Texas</t>
  </si>
  <si>
    <t>CA-2014-126361-Consumer-Utah</t>
  </si>
  <si>
    <t>CA-2014-126403-Corporate-Massachusetts</t>
  </si>
  <si>
    <t>CA-2014-126480-Corporate-California</t>
  </si>
  <si>
    <t>CA-2014-126522-Consumer-California</t>
  </si>
  <si>
    <t>CA-2014-126683-Home Office-Washington</t>
  </si>
  <si>
    <t>CA-2014-126760-Consumer-Nevada</t>
  </si>
  <si>
    <t>CA-2014-126802-Consumer-Illinois</t>
  </si>
  <si>
    <t>CA-2014-126907-Corporate-Illinois</t>
  </si>
  <si>
    <t>CA-2014-126963-Consumer-Texas</t>
  </si>
  <si>
    <t>CA-2014-127012-Consumer-Washington</t>
  </si>
  <si>
    <t>CA-2014-127131-Corporate-Washington</t>
  </si>
  <si>
    <t>CA-2014-127159-Consumer-Wisconsin</t>
  </si>
  <si>
    <t>CA-2014-127166-Consumer-Texas</t>
  </si>
  <si>
    <t>CA-2014-127187-Corporate-New York</t>
  </si>
  <si>
    <t>CA-2014-127299-Consumer-North Carolina</t>
  </si>
  <si>
    <t>CA-2014-127383-Corporate-Texas</t>
  </si>
  <si>
    <t>CA-2014-127446-Corporate-Texas</t>
  </si>
  <si>
    <t>CA-2014-127488-Consumer-Florida</t>
  </si>
  <si>
    <t>CA-2014-127523-Corporate-New York</t>
  </si>
  <si>
    <t>CA-2014-127558-Consumer-California</t>
  </si>
  <si>
    <t>CA-2014-127586-Home Office-Washington</t>
  </si>
  <si>
    <t>CA-2014-127614-Consumer-Virginia</t>
  </si>
  <si>
    <t>CA-2014-127691-Consumer-New York</t>
  </si>
  <si>
    <t>CA-2014-127859-Corporate-Pennsylvania</t>
  </si>
  <si>
    <t>CA-2014-127866-Corporate-California</t>
  </si>
  <si>
    <t>CA-2014-127936-Consumer-New York</t>
  </si>
  <si>
    <t>CA-2014-127964-Home Office-New York</t>
  </si>
  <si>
    <t>CA-2014-128055-Consumer-California</t>
  </si>
  <si>
    <t>CA-2014-128062-Home Office-Pennsylvania</t>
  </si>
  <si>
    <t>CA-2014-128146-Consumer-New Jersey</t>
  </si>
  <si>
    <t>CA-2014-128209-Consumer-New York</t>
  </si>
  <si>
    <t>CA-2014-128237-Consumer-California</t>
  </si>
  <si>
    <t>CA-2014-128524-Corporate-Washington</t>
  </si>
  <si>
    <t>CA-2014-128538-Consumer-California</t>
  </si>
  <si>
    <t>CA-2014-128622-Corporate-California</t>
  </si>
  <si>
    <t>CA-2014-128839-Consumer-Virginia</t>
  </si>
  <si>
    <t>CA-2014-128846-Corporate-South Carolina</t>
  </si>
  <si>
    <t>CA-2014-128888-Consumer-Texas</t>
  </si>
  <si>
    <t>CA-2014-128986-Home Office-Arizona</t>
  </si>
  <si>
    <t>CA-2014-129091-Corporate-Georgia</t>
  </si>
  <si>
    <t>CA-2014-129147-Consumer-Ohio</t>
  </si>
  <si>
    <t>CA-2014-129168-Corporate-Texas</t>
  </si>
  <si>
    <t>CA-2014-129189-Corporate-Texas</t>
  </si>
  <si>
    <t>CA-2014-129364-Consumer-Oregon</t>
  </si>
  <si>
    <t>CA-2014-129574-Home Office-Utah</t>
  </si>
  <si>
    <t>CA-2014-129819-Corporate-Kentucky</t>
  </si>
  <si>
    <t>CA-2014-129924-Corporate-California</t>
  </si>
  <si>
    <t>CA-2014-129938-Corporate-Pennsylvania</t>
  </si>
  <si>
    <t>CA-2014-130092-Consumer-Delaware</t>
  </si>
  <si>
    <t>CA-2014-130155-Consumer-Virginia</t>
  </si>
  <si>
    <t>CA-2014-130274-Home Office-Wisconsin</t>
  </si>
  <si>
    <t>CA-2014-130421-Consumer-Texas</t>
  </si>
  <si>
    <t>CA-2014-130428-Consumer-Florida</t>
  </si>
  <si>
    <t>CA-2014-130449-Corporate-California</t>
  </si>
  <si>
    <t>CA-2014-130575-Corporate-Illinois</t>
  </si>
  <si>
    <t>CA-2014-130624-Consumer-New York</t>
  </si>
  <si>
    <t>CA-2014-130673-Corporate-Texas</t>
  </si>
  <si>
    <t>CA-2014-130729-Consumer-California</t>
  </si>
  <si>
    <t>CA-2014-130813-Consumer-California</t>
  </si>
  <si>
    <t>CA-2014-130869-Consumer-Texas</t>
  </si>
  <si>
    <t>CA-2014-130918-Consumer-Florida</t>
  </si>
  <si>
    <t>CA-2014-130960-Corporate-Michigan</t>
  </si>
  <si>
    <t>CA-2014-131002-Consumer-Oklahoma</t>
  </si>
  <si>
    <t>CA-2014-131009-Consumer-Texas</t>
  </si>
  <si>
    <t>CA-2014-131051-Consumer-California</t>
  </si>
  <si>
    <t>CA-2014-131247-Consumer-California</t>
  </si>
  <si>
    <t>CA-2014-131310-Consumer-Washington</t>
  </si>
  <si>
    <t>CA-2014-131387-Consumer-California</t>
  </si>
  <si>
    <t>CA-2014-131450-Consumer-California</t>
  </si>
  <si>
    <t>CA-2014-131527-Consumer-North Carolina</t>
  </si>
  <si>
    <t>CA-2014-131541-Consumer-Florida</t>
  </si>
  <si>
    <t>CA-2014-131800-Consumer-New York</t>
  </si>
  <si>
    <t>CA-2014-131905-Corporate-Virginia</t>
  </si>
  <si>
    <t>CA-2014-131926-Home Office-Minnesota</t>
  </si>
  <si>
    <t>CA-2014-131947-Consumer-Oregon</t>
  </si>
  <si>
    <t>CA-2014-132010-Home Office-Virginia</t>
  </si>
  <si>
    <t>CA-2014-132227-Home Office-New York</t>
  </si>
  <si>
    <t>CA-2014-132451-Home Office-California</t>
  </si>
  <si>
    <t>CA-2014-132500-Consumer-California</t>
  </si>
  <si>
    <t>CA-2014-132542-Corporate-Nebraska</t>
  </si>
  <si>
    <t>CA-2014-132612-Consumer-Virginia</t>
  </si>
  <si>
    <t>CA-2014-132787-Corporate-Washington</t>
  </si>
  <si>
    <t>CA-2014-132801-Corporate-Texas</t>
  </si>
  <si>
    <t>CA-2014-132864-Corporate-Ohio</t>
  </si>
  <si>
    <t>CA-2014-132913-Consumer-California</t>
  </si>
  <si>
    <t>CA-2014-132962-Consumer-Pennsylvania</t>
  </si>
  <si>
    <t>CA-2014-132983-Corporate-New York</t>
  </si>
  <si>
    <t>CA-2014-133158-Corporate-California</t>
  </si>
  <si>
    <t>CA-2014-133228-Consumer-Michigan</t>
  </si>
  <si>
    <t>CA-2014-133270-Consumer-New York</t>
  </si>
  <si>
    <t>CA-2014-133305-Consumer-New York</t>
  </si>
  <si>
    <t>CA-2014-133354-Consumer-California</t>
  </si>
  <si>
    <t>CA-2014-133389-Consumer-Arizona</t>
  </si>
  <si>
    <t>CA-2014-133424-Corporate-Washington</t>
  </si>
  <si>
    <t>CA-2014-133543-Consumer-California</t>
  </si>
  <si>
    <t>CA-2014-133592-Home Office-Rhode Island</t>
  </si>
  <si>
    <t>CA-2014-133634-Home Office-Virginia</t>
  </si>
  <si>
    <t>CA-2014-133690-Consumer-Colorado</t>
  </si>
  <si>
    <t>CA-2014-133704-Home Office-California</t>
  </si>
  <si>
    <t>CA-2014-133753-Home Office-Texas</t>
  </si>
  <si>
    <t>CA-2014-133809-Consumer-Ohio</t>
  </si>
  <si>
    <t>CA-2014-133830-Consumer-California</t>
  </si>
  <si>
    <t>CA-2014-133851-Consumer-California</t>
  </si>
  <si>
    <t>CA-2014-133963-Consumer-Texas</t>
  </si>
  <si>
    <t>CA-2014-134061-Consumer-New York</t>
  </si>
  <si>
    <t>CA-2014-134103-Consumer-Michigan</t>
  </si>
  <si>
    <t>CA-2014-134215-Corporate-Maine</t>
  </si>
  <si>
    <t>CA-2014-134278-Consumer-New York</t>
  </si>
  <si>
    <t>CA-2014-134313-Consumer-Colorado</t>
  </si>
  <si>
    <t>CA-2014-134551-Consumer-Tennessee</t>
  </si>
  <si>
    <t>CA-2014-134572-Consumer-Texas</t>
  </si>
  <si>
    <t>CA-2014-134621-Home Office-Tennessee</t>
  </si>
  <si>
    <t>CA-2014-134677-Consumer-California</t>
  </si>
  <si>
    <t>CA-2014-134726-Corporate-Washington</t>
  </si>
  <si>
    <t>CA-2014-135090-Consumer-California</t>
  </si>
  <si>
    <t>CA-2014-135405-Consumer-Texas</t>
  </si>
  <si>
    <t>CA-2014-135608-Consumer-Washington</t>
  </si>
  <si>
    <t>CA-2014-135657-Consumer-Washington</t>
  </si>
  <si>
    <t>CA-2014-135699-Corporate-California</t>
  </si>
  <si>
    <t>CA-2014-135755-Consumer-New York</t>
  </si>
  <si>
    <t>CA-2014-135993-Corporate-Washington</t>
  </si>
  <si>
    <t>CA-2014-136280-Consumer-Pennsylvania</t>
  </si>
  <si>
    <t>CA-2014-136336-Corporate-Kentucky</t>
  </si>
  <si>
    <t>CA-2014-136399-Home Office-California</t>
  </si>
  <si>
    <t>CA-2014-136567-Home Office-Virginia</t>
  </si>
  <si>
    <t>CA-2014-136644-Consumer-Indiana</t>
  </si>
  <si>
    <t>CA-2014-136742-Corporate-Pennsylvania</t>
  </si>
  <si>
    <t>CA-2014-136861-Consumer-Florida</t>
  </si>
  <si>
    <t>CA-2014-137092-Home Office-Illinois</t>
  </si>
  <si>
    <t>CA-2014-137274-Consumer-Texas</t>
  </si>
  <si>
    <t>CA-2014-137351-Consumer-Washington</t>
  </si>
  <si>
    <t>CA-2014-137575-Consumer-New York</t>
  </si>
  <si>
    <t>CA-2014-137589-Consumer-Pennsylvania</t>
  </si>
  <si>
    <t>CA-2014-137911-Corporate-North Carolina</t>
  </si>
  <si>
    <t>CA-2014-138023-Consumer-Texas</t>
  </si>
  <si>
    <t>CA-2014-138072-Consumer-Pennsylvania</t>
  </si>
  <si>
    <t>CA-2014-138100-Consumer-New York</t>
  </si>
  <si>
    <t>CA-2014-138128-Consumer-Pennsylvania</t>
  </si>
  <si>
    <t>CA-2014-138177-Corporate-Arizona</t>
  </si>
  <si>
    <t>CA-2014-138198-Consumer-New York</t>
  </si>
  <si>
    <t>CA-2014-138240-Consumer-California</t>
  </si>
  <si>
    <t>CA-2014-138296-Consumer-Virginia</t>
  </si>
  <si>
    <t>CA-2014-138317-Consumer-Pennsylvania</t>
  </si>
  <si>
    <t>CA-2014-138359-Corporate-Massachusetts</t>
  </si>
  <si>
    <t>CA-2014-138436-Corporate-California</t>
  </si>
  <si>
    <t>CA-2014-138450-Corporate-Pennsylvania</t>
  </si>
  <si>
    <t>CA-2014-138513-Consumer-Washington</t>
  </si>
  <si>
    <t>CA-2014-138527-Corporate-North Carolina</t>
  </si>
  <si>
    <t>CA-2014-138681-Consumer-Arizona</t>
  </si>
  <si>
    <t>CA-2014-138709-Consumer-Virginia</t>
  </si>
  <si>
    <t>CA-2014-138737-Consumer-California</t>
  </si>
  <si>
    <t>CA-2014-138940-Home Office-Texas</t>
  </si>
  <si>
    <t>CA-2014-139017-Consumer-Texas</t>
  </si>
  <si>
    <t>CA-2014-139192-Consumer-California</t>
  </si>
  <si>
    <t>CA-2014-139283-Consumer-Michigan</t>
  </si>
  <si>
    <t>CA-2014-139423-Corporate-New Jersey</t>
  </si>
  <si>
    <t>CA-2014-139451-Consumer-California</t>
  </si>
  <si>
    <t>CA-2014-139542-Consumer-Pennsylvania</t>
  </si>
  <si>
    <t>CA-2014-139598-Consumer-Pennsylvania</t>
  </si>
  <si>
    <t>CA-2014-139633-Consumer-Ohio</t>
  </si>
  <si>
    <t>CA-2014-139857-Home Office-California</t>
  </si>
  <si>
    <t>CA-2014-139892-Consumer-Texas</t>
  </si>
  <si>
    <t>CA-2014-140004-Consumer-Ohio</t>
  </si>
  <si>
    <t>CA-2014-140032-Consumer-California</t>
  </si>
  <si>
    <t>CA-2014-140039-Corporate-Arizona</t>
  </si>
  <si>
    <t>CA-2014-140165-Home Office-Florida</t>
  </si>
  <si>
    <t>CA-2014-140228-Corporate-Ohio</t>
  </si>
  <si>
    <t>CA-2014-140396-Corporate-New York</t>
  </si>
  <si>
    <t>CA-2014-140403-Home Office-California</t>
  </si>
  <si>
    <t>CA-2014-140473-Corporate-Illinois</t>
  </si>
  <si>
    <t>CA-2014-140487-Home Office-Michigan</t>
  </si>
  <si>
    <t>CA-2014-140662-Corporate-California</t>
  </si>
  <si>
    <t>CA-2014-140732-Home Office-California</t>
  </si>
  <si>
    <t>CA-2014-140795-Consumer-Wisconsin</t>
  </si>
  <si>
    <t>CA-2014-140816-Consumer-Colorado</t>
  </si>
  <si>
    <t>CA-2014-140858-Consumer-Pennsylvania</t>
  </si>
  <si>
    <t>CA-2014-140886-Consumer-Tennessee</t>
  </si>
  <si>
    <t>CA-2014-141005-Consumer-Connecticut</t>
  </si>
  <si>
    <t>CA-2014-141110-Corporate-California</t>
  </si>
  <si>
    <t>CA-2014-141152-Corporate-New York</t>
  </si>
  <si>
    <t>CA-2014-141173-Corporate-Minnesota</t>
  </si>
  <si>
    <t>CA-2014-141278-Consumer-Connecticut</t>
  </si>
  <si>
    <t>CA-2014-141299-Home Office-Michigan</t>
  </si>
  <si>
    <t>CA-2014-141313-Corporate-Massachusetts</t>
  </si>
  <si>
    <t>CA-2014-141355-Home Office-Colorado</t>
  </si>
  <si>
    <t>CA-2014-141607-Consumer-California</t>
  </si>
  <si>
    <t>CA-2014-141649-Corporate-Ohio</t>
  </si>
  <si>
    <t>CA-2014-141726-Consumer-California</t>
  </si>
  <si>
    <t>CA-2014-141796-Consumer-New York</t>
  </si>
  <si>
    <t>CA-2014-141817-Consumer-Pennsylvania</t>
  </si>
  <si>
    <t>CA-2014-141838-Corporate-California</t>
  </si>
  <si>
    <t>CA-2014-141901-Consumer-California</t>
  </si>
  <si>
    <t>CA-2014-142048-Consumer-Colorado</t>
  </si>
  <si>
    <t>CA-2014-142314-Consumer-Indiana</t>
  </si>
  <si>
    <t>CA-2014-142510-Consumer-Illinois</t>
  </si>
  <si>
    <t>CA-2014-142587-Consumer-Ohio</t>
  </si>
  <si>
    <t>CA-2014-142727-Consumer-Louisiana</t>
  </si>
  <si>
    <t>CA-2014-142769-Consumer-Washington</t>
  </si>
  <si>
    <t>CA-2014-142839-Consumer-Pennsylvania</t>
  </si>
  <si>
    <t>CA-2014-142951-Consumer-North Carolina</t>
  </si>
  <si>
    <t>CA-2014-142965-Consumer-Ohio</t>
  </si>
  <si>
    <t>CA-2014-142979-Corporate-California</t>
  </si>
  <si>
    <t>CA-2014-143168-Consumer-Washington</t>
  </si>
  <si>
    <t>CA-2014-143182-Consumer-Florida</t>
  </si>
  <si>
    <t>CA-2014-143210-Consumer-Massachusetts</t>
  </si>
  <si>
    <t>CA-2014-143336-Consumer-California</t>
  </si>
  <si>
    <t>CA-2014-143371-Consumer-California</t>
  </si>
  <si>
    <t>CA-2014-143385-Consumer-New Mexico</t>
  </si>
  <si>
    <t>CA-2014-143413-Consumer-Maryland</t>
  </si>
  <si>
    <t>CA-2014-143637-Consumer-California</t>
  </si>
  <si>
    <t>CA-2014-143840-Consumer-Alabama</t>
  </si>
  <si>
    <t>CA-2014-143903-Home Office-Texas</t>
  </si>
  <si>
    <t>CA-2014-143917-Consumer-California</t>
  </si>
  <si>
    <t>CA-2014-144029-Consumer-Illinois</t>
  </si>
  <si>
    <t>CA-2014-144071-Corporate-California</t>
  </si>
  <si>
    <t>CA-2014-144281-Corporate-Michigan</t>
  </si>
  <si>
    <t>CA-2014-144407-Consumer-Michigan</t>
  </si>
  <si>
    <t>CA-2014-144414-Consumer-Washington</t>
  </si>
  <si>
    <t>CA-2014-144624-Consumer-New York</t>
  </si>
  <si>
    <t>CA-2014-144666-Consumer-California</t>
  </si>
  <si>
    <t>CA-2014-144974-Corporate-Pennsylvania</t>
  </si>
  <si>
    <t>CA-2014-145212-Consumer-New York</t>
  </si>
  <si>
    <t>CA-2014-145254-Corporate-California</t>
  </si>
  <si>
    <t>CA-2014-145317-Home Office-Florida</t>
  </si>
  <si>
    <t>CA-2014-145387-Consumer-Rhode Island</t>
  </si>
  <si>
    <t>CA-2014-145541-Consumer-New York</t>
  </si>
  <si>
    <t>CA-2014-145576-Consumer-Florida</t>
  </si>
  <si>
    <t>CA-2014-145800-Consumer-Illinois</t>
  </si>
  <si>
    <t>CA-2014-145926-Home Office-Minnesota</t>
  </si>
  <si>
    <t>CA-2014-146283-Consumer-Texas</t>
  </si>
  <si>
    <t>CA-2014-146500-Consumer-Connecticut</t>
  </si>
  <si>
    <t>CA-2014-146528-Home Office-California</t>
  </si>
  <si>
    <t>CA-2014-146591-Consumer-Arizona</t>
  </si>
  <si>
    <t>CA-2014-146640-Consumer-New York</t>
  </si>
  <si>
    <t>CA-2014-146703-Consumer-Michigan</t>
  </si>
  <si>
    <t>CA-2014-146731-Consumer-Tennessee</t>
  </si>
  <si>
    <t>CA-2014-146815-Home Office-New York</t>
  </si>
  <si>
    <t>CA-2014-146843-Consumer-Arizona</t>
  </si>
  <si>
    <t>CA-2014-146864-Home Office-New York</t>
  </si>
  <si>
    <t>CA-2014-146885-Corporate-Virginia</t>
  </si>
  <si>
    <t>CA-2014-146969-Consumer-California</t>
  </si>
  <si>
    <t>CA-2014-146990-Corporate-New York</t>
  </si>
  <si>
    <t>CA-2014-146997-Consumer-Indiana</t>
  </si>
  <si>
    <t>CA-2014-147235-Consumer-New York</t>
  </si>
  <si>
    <t>CA-2014-147298-Corporate-California</t>
  </si>
  <si>
    <t>CA-2014-147543-Home Office-California</t>
  </si>
  <si>
    <t>CA-2014-147900-Home Office-Ohio</t>
  </si>
  <si>
    <t>CA-2014-147914-Home Office-Ohio</t>
  </si>
  <si>
    <t>CA-2014-148040-Corporate-Arizona</t>
  </si>
  <si>
    <t>CA-2014-148285-Home Office-North Carolina</t>
  </si>
  <si>
    <t>CA-2014-148369-Corporate-Delaware</t>
  </si>
  <si>
    <t>CA-2014-148383-Consumer-Arizona</t>
  </si>
  <si>
    <t>CA-2014-148425-Corporate-Florida</t>
  </si>
  <si>
    <t>CA-2014-148488-Consumer-New York</t>
  </si>
  <si>
    <t>CA-2014-148586-Consumer-New York</t>
  </si>
  <si>
    <t>CA-2014-148614-Consumer-California</t>
  </si>
  <si>
    <t>CA-2014-148761-Home Office-Wisconsin</t>
  </si>
  <si>
    <t>CA-2014-148782-Consumer-Texas</t>
  </si>
  <si>
    <t>CA-2014-148915-Consumer-Oregon</t>
  </si>
  <si>
    <t>CA-2014-148950-Consumer-Illinois</t>
  </si>
  <si>
    <t>CA-2014-149020-Corporate-Virginia</t>
  </si>
  <si>
    <t>CA-2014-149055-Corporate-Pennsylvania</t>
  </si>
  <si>
    <t>CA-2014-149104-Consumer-Michigan</t>
  </si>
  <si>
    <t>CA-2014-149244-Consumer-California</t>
  </si>
  <si>
    <t>CA-2014-149524-Corporate-Pennsylvania</t>
  </si>
  <si>
    <t>CA-2014-149538-Corporate-Louisiana</t>
  </si>
  <si>
    <t>CA-2014-149594-Corporate-Pennsylvania</t>
  </si>
  <si>
    <t>CA-2014-149643-Home Office-Kansas</t>
  </si>
  <si>
    <t>CA-2014-149958-Consumer-Florida</t>
  </si>
  <si>
    <t>CA-2014-150203-Consumer-California</t>
  </si>
  <si>
    <t>CA-2014-150245-Corporate-New York</t>
  </si>
  <si>
    <t>CA-2014-150301-Consumer-New York</t>
  </si>
  <si>
    <t>CA-2014-150329-Home Office-Arizona</t>
  </si>
  <si>
    <t>CA-2014-150490-Consumer-California</t>
  </si>
  <si>
    <t>CA-2014-150518-Consumer-Minnesota</t>
  </si>
  <si>
    <t>CA-2014-150581-Home Office-California</t>
  </si>
  <si>
    <t>CA-2014-150798-Consumer-Ohio</t>
  </si>
  <si>
    <t>CA-2014-151001-Corporate-Illinois</t>
  </si>
  <si>
    <t>CA-2014-151078-Consumer-Texas</t>
  </si>
  <si>
    <t>CA-2014-151162-Corporate-Ohio</t>
  </si>
  <si>
    <t>CA-2014-151295-Consumer-California</t>
  </si>
  <si>
    <t>CA-2014-151330-Consumer-Massachusetts</t>
  </si>
  <si>
    <t>CA-2014-151379-Corporate-Michigan</t>
  </si>
  <si>
    <t>CA-2014-151554-Corporate-Texas</t>
  </si>
  <si>
    <t>CA-2014-151708-Consumer-Arizona</t>
  </si>
  <si>
    <t>CA-2014-151792-Consumer-Illinois</t>
  </si>
  <si>
    <t>CA-2014-151897-Home Office-Texas</t>
  </si>
  <si>
    <t>CA-2014-151946-Consumer-New York</t>
  </si>
  <si>
    <t>CA-2014-151953-Corporate-Florida</t>
  </si>
  <si>
    <t>CA-2014-151967-Corporate-Louisiana</t>
  </si>
  <si>
    <t>CA-2014-151995-Consumer-Washington</t>
  </si>
  <si>
    <t>CA-2014-152100-Corporate-Texas</t>
  </si>
  <si>
    <t>CA-2014-152233-Consumer-California</t>
  </si>
  <si>
    <t>CA-2014-152254-Consumer-North Carolina</t>
  </si>
  <si>
    <t>CA-2014-152268-Consumer-Arkansas</t>
  </si>
  <si>
    <t>CA-2014-152296-Consumer-California</t>
  </si>
  <si>
    <t>CA-2014-152345-Consumer-New Mexico</t>
  </si>
  <si>
    <t>CA-2014-152422-Consumer-Ohio</t>
  </si>
  <si>
    <t>CA-2014-152443-Home Office-Massachusetts</t>
  </si>
  <si>
    <t>CA-2014-152562-Corporate-Kentucky</t>
  </si>
  <si>
    <t>CA-2014-152618-Home Office-Illinois</t>
  </si>
  <si>
    <t>CA-2014-152849-Corporate-Tennessee</t>
  </si>
  <si>
    <t>CA-2014-152905-Consumer-Texas</t>
  </si>
  <si>
    <t>CA-2014-153087-Corporate-Alabama</t>
  </si>
  <si>
    <t>CA-2014-153150-Corporate-Washington</t>
  </si>
  <si>
    <t>CA-2014-153479-Consumer-California</t>
  </si>
  <si>
    <t>CA-2014-153619-Home Office-California</t>
  </si>
  <si>
    <t>CA-2014-153808-Corporate-California</t>
  </si>
  <si>
    <t>CA-2014-153850-Consumer-Ohio</t>
  </si>
  <si>
    <t>CA-2014-153913-Corporate-Florida</t>
  </si>
  <si>
    <t>CA-2014-153927-Consumer-Georgia</t>
  </si>
  <si>
    <t>CA-2014-153969-Consumer-California</t>
  </si>
  <si>
    <t>CA-2014-153976-Consumer-Illinois</t>
  </si>
  <si>
    <t>CA-2014-153983-Consumer-California</t>
  </si>
  <si>
    <t>CA-2014-154095-Corporate-Maryland</t>
  </si>
  <si>
    <t>CA-2014-154158-Consumer-Florida</t>
  </si>
  <si>
    <t>CA-2014-154165-Consumer-Illinois</t>
  </si>
  <si>
    <t>CA-2014-154186-Consumer-Texas</t>
  </si>
  <si>
    <t>CA-2014-154592-Home Office-California</t>
  </si>
  <si>
    <t>CA-2014-154599-Corporate-California</t>
  </si>
  <si>
    <t>CA-2014-154627-Consumer-Illinois</t>
  </si>
  <si>
    <t>CA-2014-154641-Consumer-New York</t>
  </si>
  <si>
    <t>CA-2014-154669-Consumer-California</t>
  </si>
  <si>
    <t>CA-2014-154781-Home Office-California</t>
  </si>
  <si>
    <t>CA-2014-154837-Corporate-California</t>
  </si>
  <si>
    <t>CA-2014-154893-Consumer-California</t>
  </si>
  <si>
    <t>CA-2014-154963-Consumer-Pennsylvania</t>
  </si>
  <si>
    <t>CA-2014-155208-Corporate-North Carolina</t>
  </si>
  <si>
    <t>CA-2014-155264-Corporate-California</t>
  </si>
  <si>
    <t>CA-2014-155271-Consumer-Connecticut</t>
  </si>
  <si>
    <t>CA-2014-155390-Consumer-Tennessee</t>
  </si>
  <si>
    <t>CA-2014-155593-Consumer-Connecticut</t>
  </si>
  <si>
    <t>CA-2014-155796-Corporate-Pennsylvania</t>
  </si>
  <si>
    <t>CA-2014-155852-Consumer-North Carolina</t>
  </si>
  <si>
    <t>CA-2014-155887-Consumer-Massachusetts</t>
  </si>
  <si>
    <t>CA-2014-156006-Consumer-Mississippi</t>
  </si>
  <si>
    <t>CA-2014-156160-Consumer-New York</t>
  </si>
  <si>
    <t>CA-2014-156244-Home Office-Florida</t>
  </si>
  <si>
    <t>CA-2014-156314-Consumer-Ohio</t>
  </si>
  <si>
    <t>CA-2014-156342-Consumer-Illinois</t>
  </si>
  <si>
    <t>CA-2014-156349-Corporate-California</t>
  </si>
  <si>
    <t>CA-2014-156433-Consumer-California</t>
  </si>
  <si>
    <t>CA-2014-156545-Consumer-Ohio</t>
  </si>
  <si>
    <t>CA-2014-156587-Consumer-Washington</t>
  </si>
  <si>
    <t>CA-2014-156594-Consumer-California</t>
  </si>
  <si>
    <t>CA-2014-156601-Corporate-California</t>
  </si>
  <si>
    <t>CA-2014-156790-Consumer-Florida</t>
  </si>
  <si>
    <t>CA-2014-156993-Corporate-Michigan</t>
  </si>
  <si>
    <t>CA-2014-157147-Consumer-California</t>
  </si>
  <si>
    <t>CA-2014-157546-Consumer-California</t>
  </si>
  <si>
    <t>CA-2014-157609-Home Office-North Carolina</t>
  </si>
  <si>
    <t>CA-2014-157623-Corporate-California</t>
  </si>
  <si>
    <t>CA-2014-157644-Corporate-New York</t>
  </si>
  <si>
    <t>CA-2014-157721-Consumer-New York</t>
  </si>
  <si>
    <t>CA-2014-157784-Consumer-Mississippi</t>
  </si>
  <si>
    <t>CA-2014-157882-Corporate-California</t>
  </si>
  <si>
    <t>CA-2014-157924-Consumer-California</t>
  </si>
  <si>
    <t>CA-2014-158029-Consumer-California</t>
  </si>
  <si>
    <t>CA-2014-158064-Consumer-California</t>
  </si>
  <si>
    <t>CA-2014-158225-Consumer-California</t>
  </si>
  <si>
    <t>CA-2014-158274-Home Office-Louisiana</t>
  </si>
  <si>
    <t>CA-2014-158281-Corporate-Texas</t>
  </si>
  <si>
    <t>CA-2014-158337-Consumer-New York</t>
  </si>
  <si>
    <t>CA-2014-158372-Consumer-California</t>
  </si>
  <si>
    <t>CA-2014-158442-Consumer-Texas</t>
  </si>
  <si>
    <t>CA-2014-158470-Consumer-Virginia</t>
  </si>
  <si>
    <t>CA-2014-158540-Consumer-California</t>
  </si>
  <si>
    <t>CA-2014-158771-Corporate-Kentucky</t>
  </si>
  <si>
    <t>CA-2014-159121-Corporate-Utah</t>
  </si>
  <si>
    <t>CA-2014-159184-Consumer-Georgia</t>
  </si>
  <si>
    <t>CA-2014-159310-Consumer-Texas</t>
  </si>
  <si>
    <t>CA-2014-159338-Corporate-California</t>
  </si>
  <si>
    <t>CA-2014-159478-Corporate-New York</t>
  </si>
  <si>
    <t>CA-2014-159520-Corporate-New York</t>
  </si>
  <si>
    <t>CA-2014-159625-Consumer-Arizona</t>
  </si>
  <si>
    <t>CA-2014-159681-Consumer-Virginia</t>
  </si>
  <si>
    <t>CA-2014-159709-Consumer-Washington</t>
  </si>
  <si>
    <t>CA-2014-159800-Consumer-California</t>
  </si>
  <si>
    <t>CA-2014-159814-Consumer-Arizona</t>
  </si>
  <si>
    <t>CA-2014-159835-Consumer-Pennsylvania</t>
  </si>
  <si>
    <t>CA-2014-159849-Home Office-California</t>
  </si>
  <si>
    <t>CA-2014-160066-Corporate-California</t>
  </si>
  <si>
    <t>CA-2014-160094-Consumer-Kentucky</t>
  </si>
  <si>
    <t>CA-2014-160157-Consumer-Ohio</t>
  </si>
  <si>
    <t>CA-2014-160262-Corporate-Nevada</t>
  </si>
  <si>
    <t>CA-2014-160276-Corporate-Virginia</t>
  </si>
  <si>
    <t>CA-2014-160738-Corporate-Illinois</t>
  </si>
  <si>
    <t>CA-2014-160766-Consumer-New York</t>
  </si>
  <si>
    <t>CA-2014-160773-Corporate-Florida</t>
  </si>
  <si>
    <t>CA-2014-161032-Corporate-Wisconsin</t>
  </si>
  <si>
    <t>CA-2014-161249-Consumer-Arizona</t>
  </si>
  <si>
    <t>CA-2014-161508-Home Office-Texas</t>
  </si>
  <si>
    <t>CA-2014-161634-Consumer-Virginia</t>
  </si>
  <si>
    <t>CA-2014-162089-Home Office-Texas</t>
  </si>
  <si>
    <t>CA-2014-162278-Consumer-Washington</t>
  </si>
  <si>
    <t>CA-2014-162362-Consumer-Michigan</t>
  </si>
  <si>
    <t>CA-2014-162684-Home Office-Pennsylvania</t>
  </si>
  <si>
    <t>CA-2014-162775-Corporate-Louisiana</t>
  </si>
  <si>
    <t>CA-2014-162866-Consumer-Illinois</t>
  </si>
  <si>
    <t>CA-2014-162992-Corporate-California</t>
  </si>
  <si>
    <t>CA-2014-163013-Consumer-Alabama</t>
  </si>
  <si>
    <t>CA-2014-163034-Consumer-Illinois</t>
  </si>
  <si>
    <t>CA-2014-163223-Corporate-Virginia</t>
  </si>
  <si>
    <t>CA-2014-163293-Corporate-Georgia</t>
  </si>
  <si>
    <t>CA-2014-163412-Corporate-New York</t>
  </si>
  <si>
    <t>CA-2014-163419-Consumer-Colorado</t>
  </si>
  <si>
    <t>CA-2014-163447-Home Office-New York</t>
  </si>
  <si>
    <t>CA-2014-163468-Consumer-Illinois</t>
  </si>
  <si>
    <t>CA-2014-163552-Corporate-New Jersey</t>
  </si>
  <si>
    <t>CA-2014-163559-Consumer-New York</t>
  </si>
  <si>
    <t>CA-2014-163650-Consumer-Delaware</t>
  </si>
  <si>
    <t>CA-2014-163748-Consumer-Texas</t>
  </si>
  <si>
    <t>CA-2014-163867-Consumer-Illinois</t>
  </si>
  <si>
    <t>CA-2014-164182-Consumer-Pennsylvania</t>
  </si>
  <si>
    <t>CA-2014-164210-Consumer-Colorado</t>
  </si>
  <si>
    <t>CA-2014-164224-Consumer-Ohio</t>
  </si>
  <si>
    <t>CA-2014-164259-Corporate-Pennsylvania</t>
  </si>
  <si>
    <t>CA-2014-164315-Consumer-Georgia</t>
  </si>
  <si>
    <t>CA-2014-164385-Corporate-Pennsylvania</t>
  </si>
  <si>
    <t>CA-2014-164469-Corporate-Oregon</t>
  </si>
  <si>
    <t>CA-2014-164721-Corporate-California</t>
  </si>
  <si>
    <t>CA-2014-164742-Corporate-New Jersey</t>
  </si>
  <si>
    <t>CA-2014-164749-Consumer-Florida</t>
  </si>
  <si>
    <t>CA-2014-164861-Corporate-Missouri</t>
  </si>
  <si>
    <t>CA-2014-164903-Home Office-California</t>
  </si>
  <si>
    <t>CA-2014-164910-Corporate-North Carolina</t>
  </si>
  <si>
    <t>CA-2014-164973-Home Office-New York</t>
  </si>
  <si>
    <t>CA-2014-165309-Consumer-Texas</t>
  </si>
  <si>
    <t>CA-2014-165379-Corporate-Texas</t>
  </si>
  <si>
    <t>CA-2014-165393-Consumer-Texas</t>
  </si>
  <si>
    <t>CA-2014-165428-Consumer-Texas</t>
  </si>
  <si>
    <t>CA-2014-165477-Consumer-Ohio</t>
  </si>
  <si>
    <t>CA-2014-165540-Consumer-Illinois</t>
  </si>
  <si>
    <t>CA-2014-165568-Corporate-Washington</t>
  </si>
  <si>
    <t>CA-2014-165764-Consumer-North Carolina</t>
  </si>
  <si>
    <t>CA-2014-165806-Home Office-Georgia</t>
  </si>
  <si>
    <t>CA-2014-165974-Consumer-Ohio</t>
  </si>
  <si>
    <t>CA-2014-166051-Consumer-Mississippi</t>
  </si>
  <si>
    <t>CA-2014-166086-Consumer-Massachusetts</t>
  </si>
  <si>
    <t>CA-2014-166191-Corporate-Illinois</t>
  </si>
  <si>
    <t>CA-2014-166457-Consumer-Kentucky</t>
  </si>
  <si>
    <t>CA-2014-166471-Home Office-Washington</t>
  </si>
  <si>
    <t>CA-2014-166555-Consumer-New York</t>
  </si>
  <si>
    <t>CA-2014-166590-Corporate-Indiana</t>
  </si>
  <si>
    <t>CA-2014-166716-Consumer-Illinois</t>
  </si>
  <si>
    <t>CA-2014-166730-Consumer-Tennessee</t>
  </si>
  <si>
    <t>CA-2014-166744-Consumer-Maryland</t>
  </si>
  <si>
    <t>CA-2014-166863-Consumer-Texas</t>
  </si>
  <si>
    <t>CA-2014-166884-Consumer-Ohio</t>
  </si>
  <si>
    <t>CA-2014-166891-Consumer-New York</t>
  </si>
  <si>
    <t>CA-2014-166954-Home Office-California</t>
  </si>
  <si>
    <t>CA-2014-166961-Home Office-California</t>
  </si>
  <si>
    <t>CA-2014-166989-Home Office-New York</t>
  </si>
  <si>
    <t>CA-2014-167164-Consumer-Utah</t>
  </si>
  <si>
    <t>CA-2014-167199-Home Office-Kentucky</t>
  </si>
  <si>
    <t>CA-2014-167360-Consumer-Missouri</t>
  </si>
  <si>
    <t>CA-2014-167486-Corporate-New York</t>
  </si>
  <si>
    <t>CA-2014-167724-Home Office-Maryland</t>
  </si>
  <si>
    <t>CA-2014-167850-Corporate-Florida</t>
  </si>
  <si>
    <t>CA-2014-167927-Consumer-Michigan</t>
  </si>
  <si>
    <t>CA-2014-167997-Corporate-South Dakota</t>
  </si>
  <si>
    <t>CA-2014-168130-Corporate-New York</t>
  </si>
  <si>
    <t>CA-2014-168158-Home Office-Montana</t>
  </si>
  <si>
    <t>CA-2014-168305-Home Office-California</t>
  </si>
  <si>
    <t>CA-2014-168312-Consumer-Texas</t>
  </si>
  <si>
    <t>CA-2014-168368-Consumer-Missouri</t>
  </si>
  <si>
    <t>CA-2014-168473-Consumer-New York</t>
  </si>
  <si>
    <t>CA-2014-168494-Consumer-California</t>
  </si>
  <si>
    <t>CA-2014-168592-Home Office-California</t>
  </si>
  <si>
    <t>CA-2014-168823-Home Office-Pennsylvania</t>
  </si>
  <si>
    <t>CA-2014-168984-Consumer-Oregon</t>
  </si>
  <si>
    <t>CA-2014-169019-Consumer-Texas</t>
  </si>
  <si>
    <t>CA-2014-169033-Consumer-New York</t>
  </si>
  <si>
    <t>CA-2014-169061-Consumer-New York</t>
  </si>
  <si>
    <t>CA-2014-169257-Consumer-Florida</t>
  </si>
  <si>
    <t>CA-2014-169446-Consumer-Illinois</t>
  </si>
  <si>
    <t>CA-2014-169460-Home Office-California</t>
  </si>
  <si>
    <t>CA-2014-169642-Corporate-California</t>
  </si>
  <si>
    <t>CA-2014-169649-Corporate-Illinois</t>
  </si>
  <si>
    <t>CA-2014-169684-Corporate-Tennessee</t>
  </si>
  <si>
    <t>CA-2014-169726-Consumer-Washington</t>
  </si>
  <si>
    <t>CA-2014-169775-Consumer-Florida</t>
  </si>
  <si>
    <t>CA-2014-169803-Corporate-Washington</t>
  </si>
  <si>
    <t>CA-2014-169852-Corporate-California</t>
  </si>
  <si>
    <t>CA-2015-100146-Claudia Bergmann-Corporate</t>
  </si>
  <si>
    <t>CA-2015-100216-Heather Jas-Home Office</t>
  </si>
  <si>
    <t>CA-2015-100251-Dianna Vittorini-Consumer</t>
  </si>
  <si>
    <t>CA-2015-100454-Brian Moss-Corporate</t>
  </si>
  <si>
    <t>CA-2015-100545-Irene Maddox-Consumer</t>
  </si>
  <si>
    <t>CA-2015-100573-Anne McFarland-Consumer</t>
  </si>
  <si>
    <t>CA-2015-100657-Scot Wooten-Consumer</t>
  </si>
  <si>
    <t>CA-2015-100685-Suzanne McNair-Corporate</t>
  </si>
  <si>
    <t>CA-2015-100734-Ann Chong-Corporate</t>
  </si>
  <si>
    <t>CA-2015-100769-Tracy Hopkins-Home Office</t>
  </si>
  <si>
    <t>CA-2015-100818-Janet Molinari-Corporate</t>
  </si>
  <si>
    <t>CA-2015-100888-Mark Hamilton-Consumer</t>
  </si>
  <si>
    <t>CA-2015-101000-Ivan Gibson-Consumer</t>
  </si>
  <si>
    <t>CA-2015-101007-Michael Stewart-Corporate</t>
  </si>
  <si>
    <t>CA-2015-101091-Scot Wooten-Consumer</t>
  </si>
  <si>
    <t>CA-2015-101126-Nona Balk-Corporate</t>
  </si>
  <si>
    <t>CA-2015-101154-Charlotte Melton-Consumer</t>
  </si>
  <si>
    <t>CA-2015-101707-Philip Fox-Consumer</t>
  </si>
  <si>
    <t>CA-2015-101868-Max Jones-Consumer</t>
  </si>
  <si>
    <t>CA-2015-101889-David Bremer-Corporate</t>
  </si>
  <si>
    <t>CA-2015-101910-Carlos Daly-Consumer</t>
  </si>
  <si>
    <t>CA-2015-101924-Ken Black-Corporate</t>
  </si>
  <si>
    <t>CA-2015-102015-Tamara Manning-Consumer</t>
  </si>
  <si>
    <t>CA-2015-102036-Chad Sievert-Consumer</t>
  </si>
  <si>
    <t>CA-2015-102260-Sanjit Jacobs-Home Office</t>
  </si>
  <si>
    <t>CA-2015-102281-Mark Packer-Home Office</t>
  </si>
  <si>
    <t>CA-2015-102316-Dave Hallsten-Corporate</t>
  </si>
  <si>
    <t>CA-2015-102491-Katrina Willman-Consumer</t>
  </si>
  <si>
    <t>CA-2015-102582-Natalie Webber-Consumer</t>
  </si>
  <si>
    <t>CA-2015-102722-Kelly Williams-Consumer</t>
  </si>
  <si>
    <t>CA-2015-102778-John Huston-Consumer</t>
  </si>
  <si>
    <t>CA-2015-102806-Henry Goldwyn-Corporate</t>
  </si>
  <si>
    <t>CA-2015-102848-Karen Bern-Corporate</t>
  </si>
  <si>
    <t>CA-2015-102855-Jennifer Ferguson-Consumer</t>
  </si>
  <si>
    <t>CA-2015-102876-Lisa Ryan-Corporate</t>
  </si>
  <si>
    <t>CA-2015-103072-Helen Wasserman-Corporate</t>
  </si>
  <si>
    <t>CA-2015-103093-Frank Olsen-Consumer</t>
  </si>
  <si>
    <t>CA-2015-103135-Shirley Schmidt-Home Office</t>
  </si>
  <si>
    <t>CA-2015-103177-Edward Nazzal-Consumer</t>
  </si>
  <si>
    <t>CA-2015-103205-Joel Jenkins-Home Office</t>
  </si>
  <si>
    <t>CA-2015-103716-Ken Black-Corporate</t>
  </si>
  <si>
    <t>CA-2015-103723-Beth Thompson-Home Office</t>
  </si>
  <si>
    <t>CA-2015-103772-Mark Packer-Home Office</t>
  </si>
  <si>
    <t>CA-2015-103793-Benjamin Venier-Corporate</t>
  </si>
  <si>
    <t>CA-2015-103835-Shaun Chance-Corporate</t>
  </si>
  <si>
    <t>CA-2015-103870-Sung Pak-Corporate</t>
  </si>
  <si>
    <t>CA-2015-103933-Dan Reichenbach-Corporate</t>
  </si>
  <si>
    <t>CA-2015-103954-Hallie Redmond-Home Office</t>
  </si>
  <si>
    <t>CA-2015-103961-Nathan Gelder-Consumer</t>
  </si>
  <si>
    <t>CA-2015-104038-Lori Olson-Corporate</t>
  </si>
  <si>
    <t>CA-2015-104052-Tracy Poddar-Corporate</t>
  </si>
  <si>
    <t>CA-2015-104059-Frank Carlisle-Home Office</t>
  </si>
  <si>
    <t>CA-2015-104115-Jonathan Howell-Consumer</t>
  </si>
  <si>
    <t>CA-2015-104129-Erin Smith-Corporate</t>
  </si>
  <si>
    <t>CA-2015-104241-Andrew Gjertsen-Corporate</t>
  </si>
  <si>
    <t>CA-2015-104297-Chad Cunningham-Home Office</t>
  </si>
  <si>
    <t>CA-2015-104346-Irene Maddox-Consumer</t>
  </si>
  <si>
    <t>CA-2015-104486-Patrick O'Brill-Consumer</t>
  </si>
  <si>
    <t>CA-2015-104493-Ed Braxton-Corporate</t>
  </si>
  <si>
    <t>CA-2015-104514-Claudia Bergmann-Corporate</t>
  </si>
  <si>
    <t>CA-2015-104626-Daniel Raglin-Home Office</t>
  </si>
  <si>
    <t>CA-2015-104871-Daniel Raglin-Home Office</t>
  </si>
  <si>
    <t>CA-2015-104941-Dave Hallsten-Corporate</t>
  </si>
  <si>
    <t>CA-2015-104948-Keith Herrera-Consumer</t>
  </si>
  <si>
    <t>CA-2015-105102-Brendan Murry-Corporate</t>
  </si>
  <si>
    <t>CA-2015-105158-Sung Pak-Corporate</t>
  </si>
  <si>
    <t>CA-2015-105221-Valerie Mitchum-Home Office</t>
  </si>
  <si>
    <t>CA-2015-105312-Meg Tillman-Consumer</t>
  </si>
  <si>
    <t>CA-2015-105347-Darren Powers-Consumer</t>
  </si>
  <si>
    <t>CA-2015-105361-Chad McGuire-Consumer</t>
  </si>
  <si>
    <t>CA-2015-105508-Jamie Frazer-Consumer</t>
  </si>
  <si>
    <t>CA-2015-105571-Christine Phan-Corporate</t>
  </si>
  <si>
    <t>CA-2015-105599-Marc Crier-Consumer</t>
  </si>
  <si>
    <t>CA-2015-105613-Kristina Nunn-Home Office</t>
  </si>
  <si>
    <t>CA-2015-105627-Dana Kaydos-Consumer</t>
  </si>
  <si>
    <t>CA-2015-105634-Helen Abelman-Consumer</t>
  </si>
  <si>
    <t>CA-2015-105690-Carol Adams-Corporate</t>
  </si>
  <si>
    <t>CA-2015-105725-Guy Thornton-Consumer</t>
  </si>
  <si>
    <t>CA-2015-105844-Jennifer Ferguson-Consumer</t>
  </si>
  <si>
    <t>CA-2015-105970-Pete Armstrong-Home Office</t>
  </si>
  <si>
    <t>CA-2015-106187-Randy Ferguson-Corporate</t>
  </si>
  <si>
    <t>CA-2015-106208-Julia West-Consumer</t>
  </si>
  <si>
    <t>CA-2015-106215-Brad Norvell-Corporate</t>
  </si>
  <si>
    <t>CA-2015-106257-Eugene Barchas-Consumer</t>
  </si>
  <si>
    <t>CA-2015-106320-Emily Burns-Consumer</t>
  </si>
  <si>
    <t>CA-2015-106362-Lena Creighton-Consumer</t>
  </si>
  <si>
    <t>CA-2015-106565-Bart Watters-Corporate</t>
  </si>
  <si>
    <t>CA-2015-106978-Zuschuss Carroll-Consumer</t>
  </si>
  <si>
    <t>CA-2015-107020-Mike Vittorini-Consumer</t>
  </si>
  <si>
    <t>CA-2015-107083-Brenda Bowman-Corporate</t>
  </si>
  <si>
    <t>CA-2015-107468-Michael Kennedy-Corporate</t>
  </si>
  <si>
    <t>CA-2015-107678-Juliana Krohn-Consumer</t>
  </si>
  <si>
    <t>CA-2015-107685-John Murray-Consumer</t>
  </si>
  <si>
    <t>CA-2015-107741-Fred Chung-Corporate</t>
  </si>
  <si>
    <t>CA-2015-107902-Suzanne McNair-Corporate</t>
  </si>
  <si>
    <t>CA-2015-107937-Julia Barnett-Home Office</t>
  </si>
  <si>
    <t>CA-2015-108119-MaryBeth Skach-Consumer</t>
  </si>
  <si>
    <t>CA-2015-108259-Noel Staavos-Corporate</t>
  </si>
  <si>
    <t>CA-2015-108532-Chad Cunningham-Home Office</t>
  </si>
  <si>
    <t>CA-2015-108588-Brooke Gillingham-Corporate</t>
  </si>
  <si>
    <t>CA-2015-108665-Kalyca Meade-Corporate</t>
  </si>
  <si>
    <t>CA-2015-108672-Frank Atkinson-Corporate</t>
  </si>
  <si>
    <t>CA-2015-109001-Katherine Nockton-Corporate</t>
  </si>
  <si>
    <t>CA-2015-109113-Eileen Kiefer-Home Office</t>
  </si>
  <si>
    <t>CA-2015-109169-Olvera Toch-Consumer</t>
  </si>
  <si>
    <t>CA-2015-109190-Craig Carroll-Consumer</t>
  </si>
  <si>
    <t>CA-2015-109197-Jas O'Carroll-Consumer</t>
  </si>
  <si>
    <t>CA-2015-109337-Denise Leinenbach-Consumer</t>
  </si>
  <si>
    <t>CA-2015-109386-Rob Haberlin-Consumer</t>
  </si>
  <si>
    <t>CA-2015-109470-Karen Carlisle-Corporate</t>
  </si>
  <si>
    <t>CA-2015-109512-Luke Foster-Consumer</t>
  </si>
  <si>
    <t>CA-2015-109575-Ken Heidel-Corporate</t>
  </si>
  <si>
    <t>CA-2015-109603-Elizabeth Moffitt-Corporate</t>
  </si>
  <si>
    <t>CA-2015-109638-Joseph Holt-Consumer</t>
  </si>
  <si>
    <t>CA-2015-109708-Craig Yedwab-Corporate</t>
  </si>
  <si>
    <t>CA-2015-109736-Denny Joy-Corporate</t>
  </si>
  <si>
    <t>CA-2015-109862-Heather Kirkland-Corporate</t>
  </si>
  <si>
    <t>CA-2015-109939-Allen Armold-Consumer</t>
  </si>
  <si>
    <t>CA-2015-110016-Bill Tyler-Corporate</t>
  </si>
  <si>
    <t>CA-2015-110093-Alejandro Ballentine-Home Office</t>
  </si>
  <si>
    <t>CA-2015-110247-Ritsa Hightower-Consumer</t>
  </si>
  <si>
    <t>CA-2015-110289-Nona Balk-Corporate</t>
  </si>
  <si>
    <t>CA-2015-110324-Matt Abelman-Home Office</t>
  </si>
  <si>
    <t>CA-2015-110345-Toby Gnade-Consumer</t>
  </si>
  <si>
    <t>CA-2015-110457-Dave Kipp-Consumer</t>
  </si>
  <si>
    <t>CA-2015-110548-Anna Häberlin-Corporate</t>
  </si>
  <si>
    <t>CA-2015-110632-Harold Ryan-Corporate</t>
  </si>
  <si>
    <t>CA-2015-110667-Nicole Fjeld-Home Office</t>
  </si>
  <si>
    <t>CA-2015-110744-Helen Andreada-Consumer</t>
  </si>
  <si>
    <t>CA-2015-110765-Michael Paige-Corporate</t>
  </si>
  <si>
    <t>CA-2015-110814-Brian Derr-Consumer</t>
  </si>
  <si>
    <t>CA-2015-110863-Anna Andreadi-Consumer</t>
  </si>
  <si>
    <t>CA-2015-110870-Karen Daniels-Consumer</t>
  </si>
  <si>
    <t>CA-2015-110877-Joe Elijah-Consumer</t>
  </si>
  <si>
    <t>CA-2015-110891-Phillina Ober-Home Office</t>
  </si>
  <si>
    <t>CA-2015-110947-Anthony Garverick-Home Office</t>
  </si>
  <si>
    <t>CA-2015-111017-Steve Chapman-Corporate</t>
  </si>
  <si>
    <t>CA-2015-111038-Lindsay Castell-Home Office</t>
  </si>
  <si>
    <t>CA-2015-111073-Mick Crebagga-Consumer</t>
  </si>
  <si>
    <t>CA-2015-111094-Claudia Bergmann-Corporate</t>
  </si>
  <si>
    <t>CA-2015-111164-Sanjit Engle-Consumer</t>
  </si>
  <si>
    <t>CA-2015-111199-Joe Kamberova-Consumer</t>
  </si>
  <si>
    <t>CA-2015-111206-Roland Fjeld-Consumer</t>
  </si>
  <si>
    <t>CA-2015-111234-Ann Blume-Corporate</t>
  </si>
  <si>
    <t>CA-2015-111297-Shaun Chance-Corporate</t>
  </si>
  <si>
    <t>CA-2015-111325-Bill Tyler-Corporate</t>
  </si>
  <si>
    <t>CA-2015-111339-Victoria Pisteka-Corporate</t>
  </si>
  <si>
    <t>CA-2015-111395-Victoria Brennan-Corporate</t>
  </si>
  <si>
    <t>CA-2015-111458-Philip Fox-Consumer</t>
  </si>
  <si>
    <t>CA-2015-111507-Victoria Wilson-Corporate</t>
  </si>
  <si>
    <t>CA-2015-111514-Scott Cohen-Corporate</t>
  </si>
  <si>
    <t>CA-2015-111612-Eugene Barchas-Consumer</t>
  </si>
  <si>
    <t>CA-2015-111703-Karl Braun-Consumer</t>
  </si>
  <si>
    <t>CA-2015-111780-Ralph Arnett-Consumer</t>
  </si>
  <si>
    <t>CA-2015-111829-Fred Hopkins-Corporate</t>
  </si>
  <si>
    <t>CA-2015-111864-Paul Prost-Home Office</t>
  </si>
  <si>
    <t>CA-2015-111948-Andrew Gjertsen-Corporate</t>
  </si>
  <si>
    <t>CA-2015-111990-Duane Benoit-Consumer</t>
  </si>
  <si>
    <t>CA-2015-112014-Odella Nelson-Corporate</t>
  </si>
  <si>
    <t>CA-2015-112053-Shahid Hopkins-Consumer</t>
  </si>
  <si>
    <t>CA-2015-112116-Jeremy Ellison-Consumer</t>
  </si>
  <si>
    <t>CA-2015-112130-Stewart Visinsky-Consumer</t>
  </si>
  <si>
    <t>CA-2015-112144-Craig Yedwab-Corporate</t>
  </si>
  <si>
    <t>CA-2015-112214-Anna Häberlin-Corporate</t>
  </si>
  <si>
    <t>CA-2015-112305-Katrina Bavinger-Home Office</t>
  </si>
  <si>
    <t>CA-2015-112319-Andrew Roberts-Consumer</t>
  </si>
  <si>
    <t>CA-2015-112375-Roger Demir-Consumer</t>
  </si>
  <si>
    <t>CA-2015-112452-Nat Carroll-Consumer</t>
  </si>
  <si>
    <t>CA-2015-112522-David Philippe-Consumer</t>
  </si>
  <si>
    <t>CA-2015-112557-John Lucas-Consumer</t>
  </si>
  <si>
    <t>CA-2015-112571-Daniel Lacy-Consumer</t>
  </si>
  <si>
    <t>CA-2015-112711-Fred McMath-Consumer</t>
  </si>
  <si>
    <t>CA-2015-112767-Darren Koutras-Consumer</t>
  </si>
  <si>
    <t>CA-2015-112823-Ryan Akin-Consumer</t>
  </si>
  <si>
    <t>CA-2015-113040-Chad Cunningham-Home Office</t>
  </si>
  <si>
    <t>CA-2015-113110-Berenike Kampe-Consumer</t>
  </si>
  <si>
    <t>CA-2015-113131-Maria Bertelson-Consumer</t>
  </si>
  <si>
    <t>CA-2015-113145-Valerie Dominguez-Consumer</t>
  </si>
  <si>
    <t>CA-2015-113152-Jim Karlsson-Consumer</t>
  </si>
  <si>
    <t>CA-2015-113173-Dean Katz-Corporate</t>
  </si>
  <si>
    <t>CA-2015-113215-Cathy Prescott-Corporate</t>
  </si>
  <si>
    <t>CA-2015-113222-Anthony Garverick-Home Office</t>
  </si>
  <si>
    <t>CA-2015-113404-Eleni McCrary-Corporate</t>
  </si>
  <si>
    <t>CA-2015-113523-Shaun Chance-Corporate</t>
  </si>
  <si>
    <t>CA-2015-113628-Anna Häberlin-Corporate</t>
  </si>
  <si>
    <t>CA-2015-113740-Shahid Collister-Consumer</t>
  </si>
  <si>
    <t>CA-2015-113901-Nicole Hansen-Corporate</t>
  </si>
  <si>
    <t>CA-2015-113971-Claudia Bergmann-Corporate</t>
  </si>
  <si>
    <t>CA-2015-114048-Eric Hoffmann-Consumer</t>
  </si>
  <si>
    <t>CA-2015-114069-Natalie DeCherney-Consumer</t>
  </si>
  <si>
    <t>CA-2015-114237-Marc Crier-Consumer</t>
  </si>
  <si>
    <t>CA-2015-114300-Art Foster-Consumer</t>
  </si>
  <si>
    <t>CA-2015-114468-Tamara Dahlen-Consumer</t>
  </si>
  <si>
    <t>CA-2015-114503-Allen Armold-Consumer</t>
  </si>
  <si>
    <t>CA-2015-114811-Keith Dawkins-Corporate</t>
  </si>
  <si>
    <t>CA-2015-114923-Lisa Hazard-Consumer</t>
  </si>
  <si>
    <t>CA-2015-115091-Joel Jenkins-Home Office</t>
  </si>
  <si>
    <t>CA-2015-115168-Brenda Bowman-Corporate</t>
  </si>
  <si>
    <t>CA-2015-115392-Robert Marley-Home Office</t>
  </si>
  <si>
    <t>CA-2015-115399-Arthur Gainer-Consumer</t>
  </si>
  <si>
    <t>CA-2015-115420-Linda Southworth-Corporate</t>
  </si>
  <si>
    <t>CA-2015-115511-Natalie Webber-Consumer</t>
  </si>
  <si>
    <t>CA-2015-115567-Zuschuss Carroll-Consumer</t>
  </si>
  <si>
    <t>CA-2015-115693-Frank Carlisle-Home Office</t>
  </si>
  <si>
    <t>CA-2015-115742-Darren Powers-Consumer</t>
  </si>
  <si>
    <t>CA-2015-115798-Ken Lonsdale-Consumer</t>
  </si>
  <si>
    <t>CA-2015-115847-Tracy Collins-Home Office</t>
  </si>
  <si>
    <t>CA-2015-115924-Brad Eason-Home Office</t>
  </si>
  <si>
    <t>CA-2015-115938-Sue Ann Reed-Consumer</t>
  </si>
  <si>
    <t>CA-2015-115945-Alan Barnes-Consumer</t>
  </si>
  <si>
    <t>CA-2015-116092-Justin MacKendrick-Consumer</t>
  </si>
  <si>
    <t>CA-2015-116260-Barbara Fisher-Corporate</t>
  </si>
  <si>
    <t>CA-2015-116484-Jamie Kunitz-Consumer</t>
  </si>
  <si>
    <t>CA-2015-116512-Mick Crebagga-Consumer</t>
  </si>
  <si>
    <t>CA-2015-116638-Joseph Holt-Consumer</t>
  </si>
  <si>
    <t>CA-2015-116687-Noah Childs-Corporate</t>
  </si>
  <si>
    <t>CA-2015-116750-Barbara Fisher-Corporate</t>
  </si>
  <si>
    <t>CA-2015-116841-Theone Pippenger-Consumer</t>
  </si>
  <si>
    <t>CA-2015-116876-Ted Trevino-Consumer</t>
  </si>
  <si>
    <t>CA-2015-117086-Quincy Jones-Corporate</t>
  </si>
  <si>
    <t>CA-2015-117415-Steve Nguyen-Home Office</t>
  </si>
  <si>
    <t>CA-2015-117611-Maria Zettner-Home Office</t>
  </si>
  <si>
    <t>CA-2015-117772-Matt Collins-Consumer</t>
  </si>
  <si>
    <t>CA-2015-117800-Tracy Hopkins-Home Office</t>
  </si>
  <si>
    <t>CA-2015-117828-Bradley Drucker-Consumer</t>
  </si>
  <si>
    <t>CA-2015-117884-Debra Catini-Consumer</t>
  </si>
  <si>
    <t>CA-2015-117898-Tim Brockman-Consumer</t>
  </si>
  <si>
    <t>CA-2015-117961-Guy Phonely-Corporate</t>
  </si>
  <si>
    <t>CA-2015-118227-Deborah Brumfield-Home Office</t>
  </si>
  <si>
    <t>CA-2015-118423-Dennis Pardue-Home Office</t>
  </si>
  <si>
    <t>CA-2015-118444-Valerie Dominguez-Consumer</t>
  </si>
  <si>
    <t>CA-2015-118738-Andrew Gjertsen-Corporate</t>
  </si>
  <si>
    <t>CA-2015-118843-Jonathan Howell-Consumer</t>
  </si>
  <si>
    <t>CA-2015-118871-Harry Marie-Corporate</t>
  </si>
  <si>
    <t>CA-2015-118948-Neil Knudson-Home Office</t>
  </si>
  <si>
    <t>CA-2015-118955-Lycoris Saunders-Consumer</t>
  </si>
  <si>
    <t>CA-2015-119102-Kristen Hastings-Corporate</t>
  </si>
  <si>
    <t>CA-2015-119214-Carl Weiss-Home Office</t>
  </si>
  <si>
    <t>CA-2015-119291-Jesus Ocampo-Home Office</t>
  </si>
  <si>
    <t>CA-2015-119480-Craig Carroll-Consumer</t>
  </si>
  <si>
    <t>CA-2015-119508-Tracy Zic-Consumer</t>
  </si>
  <si>
    <t>CA-2015-119550-Roger Barcio-Home Office</t>
  </si>
  <si>
    <t>CA-2015-119592-Muhammed MacIntyre-Corporate</t>
  </si>
  <si>
    <t>CA-2015-119627-Steven Cartwright-Consumer</t>
  </si>
  <si>
    <t>CA-2015-119634-Barry Weirich-Consumer</t>
  </si>
  <si>
    <t>CA-2015-119690-Mark Van Huff-Consumer</t>
  </si>
  <si>
    <t>CA-2015-119697-Eric Murdock-Consumer</t>
  </si>
  <si>
    <t>CA-2015-119879-Shahid Shariari-Consumer</t>
  </si>
  <si>
    <t>CA-2015-119907-Logan Currie-Consumer</t>
  </si>
  <si>
    <t>CA-2015-119942-Ted Trevino-Consumer</t>
  </si>
  <si>
    <t>CA-2015-120103-Maribeth Schnelling-Consumer</t>
  </si>
  <si>
    <t>CA-2015-120320-Mike Vittorini-Consumer</t>
  </si>
  <si>
    <t>CA-2015-120341-Sarah Foster-Consumer</t>
  </si>
  <si>
    <t>CA-2015-120362-Christina Anderson-Consumer</t>
  </si>
  <si>
    <t>CA-2015-120397-Richard Bierner-Consumer</t>
  </si>
  <si>
    <t>CA-2015-120439-Alan Dominguez-Home Office</t>
  </si>
  <si>
    <t>CA-2015-120446-John Grady-Corporate</t>
  </si>
  <si>
    <t>CA-2015-120516-Clytie Kelty-Consumer</t>
  </si>
  <si>
    <t>CA-2015-120551-Sonia Sunley-Consumer</t>
  </si>
  <si>
    <t>CA-2015-120621-Julia West-Consumer</t>
  </si>
  <si>
    <t>CA-2015-120677-Bill Donatelli-Consumer</t>
  </si>
  <si>
    <t>CA-2015-120782-Shirley Daniels-Home Office</t>
  </si>
  <si>
    <t>CA-2015-120810-Tracy Hopkins-Home Office</t>
  </si>
  <si>
    <t>CA-2015-120845-Marina Lichtenstein-Corporate</t>
  </si>
  <si>
    <t>CA-2015-120880-John Lucas-Consumer</t>
  </si>
  <si>
    <t>CA-2015-120901-Barry Gonzalez-Consumer</t>
  </si>
  <si>
    <t>CA-2015-120915-Jennifer Jackson-Consumer</t>
  </si>
  <si>
    <t>CA-2015-121041-Chris Selesnick-Corporate</t>
  </si>
  <si>
    <t>CA-2015-121097-Sylvia Foulston-Corporate</t>
  </si>
  <si>
    <t>CA-2015-121132-Victoria Brennan-Corporate</t>
  </si>
  <si>
    <t>CA-2015-121188-Cassandra Brandow-Consumer</t>
  </si>
  <si>
    <t>CA-2015-121272-Denny Ordway-Consumer</t>
  </si>
  <si>
    <t>CA-2015-121391-Alex Avila-Consumer</t>
  </si>
  <si>
    <t>CA-2015-121405-Fred Chung-Corporate</t>
  </si>
  <si>
    <t>CA-2015-121552-Fred Wasserman-Corporate</t>
  </si>
  <si>
    <t>CA-2015-121608-Jennifer Braxton-Corporate</t>
  </si>
  <si>
    <t>CA-2015-121650-Keith Dawkins-Corporate</t>
  </si>
  <si>
    <t>CA-2015-121699-Bill Donatelli-Consumer</t>
  </si>
  <si>
    <t>CA-2015-121720-Jim Epp-Corporate</t>
  </si>
  <si>
    <t>CA-2015-121776-Rob Dowd-Consumer</t>
  </si>
  <si>
    <t>CA-2015-121783-Philisse Overcash-Home Office</t>
  </si>
  <si>
    <t>CA-2015-121797-Charles Crestani-Consumer</t>
  </si>
  <si>
    <t>CA-2015-121965-Logan Haushalter-Consumer</t>
  </si>
  <si>
    <t>CA-2015-122168-Henry Goldwyn-Corporate</t>
  </si>
  <si>
    <t>CA-2015-122210-William Brown-Consumer</t>
  </si>
  <si>
    <t>CA-2015-122259-Harold Pawlan-Home Office</t>
  </si>
  <si>
    <t>CA-2015-122266-Sue Ann Reed-Consumer</t>
  </si>
  <si>
    <t>CA-2015-122287-Skye Norling-Home Office</t>
  </si>
  <si>
    <t>CA-2015-122371-Bryan Spruell-Home Office</t>
  </si>
  <si>
    <t>CA-2015-122406-Brad Eason-Home Office</t>
  </si>
  <si>
    <t>CA-2015-122623-Charles Crestani-Consumer</t>
  </si>
  <si>
    <t>CA-2015-122756-Dean Katz-Corporate</t>
  </si>
  <si>
    <t>CA-2015-122826-Rick Duston-Consumer</t>
  </si>
  <si>
    <t>CA-2015-122973-Pauline Johnson-Consumer</t>
  </si>
  <si>
    <t>CA-2015-123092-Jack Garza-Consumer</t>
  </si>
  <si>
    <t>CA-2015-123113-Annie Thurman-Consumer</t>
  </si>
  <si>
    <t>CA-2015-123141-Gary Zandusky-Consumer</t>
  </si>
  <si>
    <t>CA-2015-123155-Noel Staavos-Corporate</t>
  </si>
  <si>
    <t>CA-2015-123232-Doug Jacobs-Consumer</t>
  </si>
  <si>
    <t>CA-2015-123330-Emily Phan-Consumer</t>
  </si>
  <si>
    <t>CA-2015-123456-Kean Nguyen-Corporate</t>
  </si>
  <si>
    <t>CA-2015-123505-Andy Reiter-Consumer</t>
  </si>
  <si>
    <t>CA-2015-123568-Sanjit Chand-Consumer</t>
  </si>
  <si>
    <t>CA-2015-123673-Cathy Hwang-Home Office</t>
  </si>
  <si>
    <t>CA-2015-123939-Maurice Satty-Consumer</t>
  </si>
  <si>
    <t>CA-2015-124044-Melanie Seite-Consumer</t>
  </si>
  <si>
    <t>CA-2015-124058-Lena Creighton-Consumer</t>
  </si>
  <si>
    <t>CA-2015-124107-Brian Moss-Corporate</t>
  </si>
  <si>
    <t>CA-2015-124268-Alan Dominguez-Home Office</t>
  </si>
  <si>
    <t>CA-2015-124450-Greg Tran-Consumer</t>
  </si>
  <si>
    <t>CA-2015-124499-Fred McMath-Consumer</t>
  </si>
  <si>
    <t>CA-2015-124541-Thomas Thornton-Consumer</t>
  </si>
  <si>
    <t>CA-2015-124653-David Bremer-Corporate</t>
  </si>
  <si>
    <t>CA-2015-124800-Rick Wilson-Corporate</t>
  </si>
  <si>
    <t>CA-2015-124891-Rick Hansen-Consumer</t>
  </si>
  <si>
    <t>CA-2015-124919-Stephanie Phelps-Corporate</t>
  </si>
  <si>
    <t>CA-2015-124933-David Flashing-Consumer</t>
  </si>
  <si>
    <t>CA-2015-124975-Michael Grace-Home Office</t>
  </si>
  <si>
    <t>CA-2015-125066-Keith Dawkins-Corporate</t>
  </si>
  <si>
    <t>CA-2015-125178-Mary Zewe-Corporate</t>
  </si>
  <si>
    <t>CA-2015-125185-Alan Haines-Corporate</t>
  </si>
  <si>
    <t>CA-2015-125234-Steve Nguyen-Home Office</t>
  </si>
  <si>
    <t>CA-2015-125395-Laura Armstrong-Corporate</t>
  </si>
  <si>
    <t>CA-2015-125416-Kelly Collister-Consumer</t>
  </si>
  <si>
    <t>CA-2015-125423-Matt Collins-Consumer</t>
  </si>
  <si>
    <t>CA-2015-125563-Patrick Ryan-Consumer</t>
  </si>
  <si>
    <t>CA-2015-125696-Nora Pelletier-Home Office</t>
  </si>
  <si>
    <t>CA-2015-125710-Brian Thompson-Consumer</t>
  </si>
  <si>
    <t>CA-2015-125934-Skye Norling-Home Office</t>
  </si>
  <si>
    <t>CA-2015-125976-Jamie Kunitz-Consumer</t>
  </si>
  <si>
    <t>CA-2015-126137-Bruce Stewart-Consumer</t>
  </si>
  <si>
    <t>CA-2015-126186-George Bell-Corporate</t>
  </si>
  <si>
    <t>CA-2015-126347-Ashley Jarboe-Consumer</t>
  </si>
  <si>
    <t>CA-2015-126445-Ryan Akin-Consumer</t>
  </si>
  <si>
    <t>CA-2015-126466-Jesus Ocampo-Home Office</t>
  </si>
  <si>
    <t>CA-2015-126557-Rob Lucas-Consumer</t>
  </si>
  <si>
    <t>CA-2015-126669-Doug O'Connell-Consumer</t>
  </si>
  <si>
    <t>CA-2015-126697-Stuart Van-Corporate</t>
  </si>
  <si>
    <t>CA-2015-126725-Brian Stugart-Consumer</t>
  </si>
  <si>
    <t>CA-2015-126739-Justin Hirsh-Consumer</t>
  </si>
  <si>
    <t>CA-2015-126970-Theone Pippenger-Consumer</t>
  </si>
  <si>
    <t>CA-2015-127019-Elpida Rittenbach-Corporate</t>
  </si>
  <si>
    <t>CA-2015-127110-Cathy Hwang-Home Office</t>
  </si>
  <si>
    <t>CA-2015-127173-Gene McClure-Consumer</t>
  </si>
  <si>
    <t>CA-2015-127327-Pauline Webber-Corporate</t>
  </si>
  <si>
    <t>CA-2015-127418-Jennifer Jackson-Consumer</t>
  </si>
  <si>
    <t>CA-2015-127453-Jay Kimmel-Consumer</t>
  </si>
  <si>
    <t>CA-2015-127481-Jonathan Doherty-Corporate</t>
  </si>
  <si>
    <t>CA-2015-127502-Meg Tillman-Consumer</t>
  </si>
  <si>
    <t>CA-2015-127509-Adam Shillingsburg-Consumer</t>
  </si>
  <si>
    <t>CA-2015-127544-Rob Dowd-Consumer</t>
  </si>
  <si>
    <t>CA-2015-127593-Duane Huffman-Home Office</t>
  </si>
  <si>
    <t>CA-2015-127607-Joe Kamberova-Consumer</t>
  </si>
  <si>
    <t>CA-2015-127754-Cyma Kinney-Corporate</t>
  </si>
  <si>
    <t>CA-2015-127824-John Castell-Consumer</t>
  </si>
  <si>
    <t>CA-2015-128013-Monica Federle-Corporate</t>
  </si>
  <si>
    <t>CA-2015-128027-Christopher Martinez-Consumer</t>
  </si>
  <si>
    <t>CA-2015-128083-Edward Becker-Corporate</t>
  </si>
  <si>
    <t>CA-2015-128125-Ed Braxton-Corporate</t>
  </si>
  <si>
    <t>CA-2015-128139-Bruce Degenhardt-Consumer</t>
  </si>
  <si>
    <t>CA-2015-128167-Ken Lonsdale-Consumer</t>
  </si>
  <si>
    <t>CA-2015-128356-Resi Pölking-Consumer</t>
  </si>
  <si>
    <t>CA-2015-128608-Cindy Schnelling-Corporate</t>
  </si>
  <si>
    <t>CA-2015-128860-Steven Cartwright-Consumer</t>
  </si>
  <si>
    <t>CA-2015-128958-Cyra Reiten-Home Office</t>
  </si>
  <si>
    <t>CA-2015-128993-Craig Carreira-Consumer</t>
  </si>
  <si>
    <t>CA-2015-129042-Eric Murdock-Consumer</t>
  </si>
  <si>
    <t>CA-2015-129098-Dave Kipp-Consumer</t>
  </si>
  <si>
    <t>CA-2015-129112-Anthony Witt-Consumer</t>
  </si>
  <si>
    <t>CA-2015-129217-Dennis Pardue-Home Office</t>
  </si>
  <si>
    <t>CA-2015-129322-Denny Blanton-Consumer</t>
  </si>
  <si>
    <t>CA-2015-129392-Darrin Martin-Consumer</t>
  </si>
  <si>
    <t>CA-2015-129476-Pete Armstrong-Home Office</t>
  </si>
  <si>
    <t>CA-2015-129525-Victoria Pisteka-Corporate</t>
  </si>
  <si>
    <t>CA-2015-129532-Yana Sorensen-Corporate</t>
  </si>
  <si>
    <t>CA-2015-129546-Roy Phan-Corporate</t>
  </si>
  <si>
    <t>CA-2015-129700-Laura Armstrong-Corporate</t>
  </si>
  <si>
    <t>CA-2015-129770-Joe Elijah-Consumer</t>
  </si>
  <si>
    <t>CA-2015-129854-Roger Barcio-Home Office</t>
  </si>
  <si>
    <t>CA-2015-129896-Peter Fuller-Consumer</t>
  </si>
  <si>
    <t>CA-2015-129917-Henry MacAllister-Consumer</t>
  </si>
  <si>
    <t>CA-2015-130022-Julie Kriz-Home Office</t>
  </si>
  <si>
    <t>CA-2015-130113-Aaron Hawkins-Corporate</t>
  </si>
  <si>
    <t>CA-2015-130183-Patrick O'Brill-Consumer</t>
  </si>
  <si>
    <t>CA-2015-130204-David Bremer-Corporate</t>
  </si>
  <si>
    <t>CA-2015-130218-Sheri Gordon-Consumer</t>
  </si>
  <si>
    <t>CA-2015-130253-Paul Prost-Home Office</t>
  </si>
  <si>
    <t>CA-2015-130365-Zuschuss Carroll-Consumer</t>
  </si>
  <si>
    <t>CA-2015-130456-David Smith-Corporate</t>
  </si>
  <si>
    <t>CA-2015-130554-Frank Merwin-Home Office</t>
  </si>
  <si>
    <t>CA-2015-130610-Victor Preis-Home Office</t>
  </si>
  <si>
    <t>CA-2015-130659-Maribeth Schnelling-Consumer</t>
  </si>
  <si>
    <t>CA-2015-130736-Jeremy Farry-Consumer</t>
  </si>
  <si>
    <t>CA-2015-130785-Arthur Gainer-Consumer</t>
  </si>
  <si>
    <t>CA-2015-130792-Russell Applegate-Consumer</t>
  </si>
  <si>
    <t>CA-2015-130848-Deirdre Greer-Corporate</t>
  </si>
  <si>
    <t>CA-2015-130855-Roy Französisch-Consumer</t>
  </si>
  <si>
    <t>CA-2015-130876-Annie Zypern-Consumer</t>
  </si>
  <si>
    <t>CA-2015-130883-Tracy Blumstein-Consumer</t>
  </si>
  <si>
    <t>CA-2015-130890-Jas O'Carroll-Consumer</t>
  </si>
  <si>
    <t>CA-2015-130974-Matt Abelman-Home Office</t>
  </si>
  <si>
    <t>CA-2015-130995-Quincy Jones-Corporate</t>
  </si>
  <si>
    <t>CA-2015-131072-Ken Lonsdale-Consumer</t>
  </si>
  <si>
    <t>CA-2015-131128-Tracy Blumstein-Consumer</t>
  </si>
  <si>
    <t>CA-2015-131338-Naresj Patel-Consumer</t>
  </si>
  <si>
    <t>CA-2015-131352-Gene Hale-Corporate</t>
  </si>
  <si>
    <t>CA-2015-131422-George Bell-Corporate</t>
  </si>
  <si>
    <t>CA-2015-131457-Mary Zewe-Corporate</t>
  </si>
  <si>
    <t>CA-2015-131534-Alan Barnes-Consumer</t>
  </si>
  <si>
    <t>CA-2015-131597-Stefania Perrino-Corporate</t>
  </si>
  <si>
    <t>CA-2015-131758-Karl Braun-Consumer</t>
  </si>
  <si>
    <t>CA-2015-131779-Laurel Elliston-Consumer</t>
  </si>
  <si>
    <t>CA-2015-131856-James Galang-Consumer</t>
  </si>
  <si>
    <t>CA-2015-131884-Dennis Kane-Consumer</t>
  </si>
  <si>
    <t>CA-2015-132080-Dave Poirier-Corporate</t>
  </si>
  <si>
    <t>CA-2015-132101-Jesus Ocampo-Home Office</t>
  </si>
  <si>
    <t>CA-2015-132136-Frank Olsen-Consumer</t>
  </si>
  <si>
    <t>CA-2015-132276-Lindsay Castell-Home Office</t>
  </si>
  <si>
    <t>CA-2015-132318-Thomas Thornton-Consumer</t>
  </si>
  <si>
    <t>CA-2015-132374-Penelope Sewall-Home Office</t>
  </si>
  <si>
    <t>CA-2015-132388-Katherine Nockton-Corporate</t>
  </si>
  <si>
    <t>CA-2015-132465-Don Miller-Corporate</t>
  </si>
  <si>
    <t>CA-2015-132486-Jay Fein-Consumer</t>
  </si>
  <si>
    <t>CA-2015-132507-Corey Catlett-Corporate</t>
  </si>
  <si>
    <t>CA-2015-132570-Kean Thornton-Consumer</t>
  </si>
  <si>
    <t>CA-2015-132626-Brian Thompson-Consumer</t>
  </si>
  <si>
    <t>CA-2015-132633-Ken Heidel-Corporate</t>
  </si>
  <si>
    <t>CA-2015-132815-Rick Wilson-Corporate</t>
  </si>
  <si>
    <t>CA-2015-132906-Charles Crestani-Consumer</t>
  </si>
  <si>
    <t>CA-2015-132941-Muhammed MacIntyre-Corporate</t>
  </si>
  <si>
    <t>CA-2015-132948-Mark Van Huff-Consumer</t>
  </si>
  <si>
    <t>CA-2015-133025-Meg O'Connel-Home Office</t>
  </si>
  <si>
    <t>CA-2015-133242-Keith Herrera-Consumer</t>
  </si>
  <si>
    <t>CA-2015-133396-Grace Kelly-Corporate</t>
  </si>
  <si>
    <t>CA-2015-133445-Jeremy Farry-Consumer</t>
  </si>
  <si>
    <t>CA-2015-133452-Zuschuss Carroll-Consumer</t>
  </si>
  <si>
    <t>CA-2015-133494-Resi Pölking-Consumer</t>
  </si>
  <si>
    <t>CA-2015-133536-John Huston-Consumer</t>
  </si>
  <si>
    <t>CA-2015-133585-Craig Molinari-Corporate</t>
  </si>
  <si>
    <t>CA-2015-133627-Sample Company A-Home Office</t>
  </si>
  <si>
    <t>CA-2015-133837-Thea Hendricks-Consumer</t>
  </si>
  <si>
    <t>CA-2015-133977-Alyssa Tate-Home Office</t>
  </si>
  <si>
    <t>CA-2015-134075-Helen Abelman-Consumer</t>
  </si>
  <si>
    <t>CA-2015-134082-Jim Kriz-Home Office</t>
  </si>
  <si>
    <t>CA-2015-134117-Paul Gonzalez-Consumer</t>
  </si>
  <si>
    <t>CA-2015-134201-Eugene Hildebrand-Home Office</t>
  </si>
  <si>
    <t>CA-2015-134257-Maurice Satty-Consumer</t>
  </si>
  <si>
    <t>CA-2015-134719-John Dryer-Consumer</t>
  </si>
  <si>
    <t>CA-2015-134747-Daniel Lacy-Consumer</t>
  </si>
  <si>
    <t>CA-2015-134782-Maribeth Dona-Consumer</t>
  </si>
  <si>
    <t>CA-2015-134859-Julie Kriz-Home Office</t>
  </si>
  <si>
    <t>CA-2015-134894-Darren Koutras-Consumer</t>
  </si>
  <si>
    <t>CA-2015-134922-Karen Bern-Corporate</t>
  </si>
  <si>
    <t>CA-2015-134943-Stephanie Ulpright-Home Office</t>
  </si>
  <si>
    <t>CA-2015-134992-Michael Grace-Home Office</t>
  </si>
  <si>
    <t>CA-2015-135020-Maxwell Schwartz-Consumer</t>
  </si>
  <si>
    <t>CA-2015-135174-Benjamin Patterson-Consumer</t>
  </si>
  <si>
    <t>CA-2015-135251-Rachel Payne-Corporate</t>
  </si>
  <si>
    <t>CA-2015-135272-Melanie Seite-Consumer</t>
  </si>
  <si>
    <t>CA-2015-135314-Matt Collins-Consumer</t>
  </si>
  <si>
    <t>CA-2015-135363-Chloris Kastensmidt-Consumer</t>
  </si>
  <si>
    <t>CA-2015-135391-Frank Atkinson-Corporate</t>
  </si>
  <si>
    <t>CA-2015-135489-Giulietta Weimer-Consumer</t>
  </si>
  <si>
    <t>CA-2015-135510-Tamara Willingham-Home Office</t>
  </si>
  <si>
    <t>CA-2015-135538-Harold Ryan-Corporate</t>
  </si>
  <si>
    <t>CA-2015-135545-Kunst Miller-Consumer</t>
  </si>
  <si>
    <t>CA-2015-135580-Clay Ludtke-Consumer</t>
  </si>
  <si>
    <t>CA-2015-135622-Tonja Turnell-Home Office</t>
  </si>
  <si>
    <t>CA-2015-135685-Mike Pelletier-Home Office</t>
  </si>
  <si>
    <t>CA-2015-135727-Paul Stevenson-Home Office</t>
  </si>
  <si>
    <t>CA-2015-135853-Cynthia Arntzen-Consumer</t>
  </si>
  <si>
    <t>CA-2015-136105-Sam Zeldin-Home Office</t>
  </si>
  <si>
    <t>CA-2015-136147-Fred McMath-Consumer</t>
  </si>
  <si>
    <t>CA-2015-136196-Tom Prescott-Consumer</t>
  </si>
  <si>
    <t>CA-2015-136224-Muhammed Lee-Consumer</t>
  </si>
  <si>
    <t>CA-2015-136378-Cari Sayre-Corporate</t>
  </si>
  <si>
    <t>CA-2015-136420-Chris Selesnick-Corporate</t>
  </si>
  <si>
    <t>CA-2015-136469-Todd Sumrall-Corporate</t>
  </si>
  <si>
    <t>CA-2015-136658-Bobby Odegard-Consumer</t>
  </si>
  <si>
    <t>CA-2015-136700-David Bremer-Corporate</t>
  </si>
  <si>
    <t>CA-2015-136728-Arthur Gainer-Consumer</t>
  </si>
  <si>
    <t>CA-2015-136735-Helen Andreada-Consumer</t>
  </si>
  <si>
    <t>CA-2015-136798-Daniel Lacy-Consumer</t>
  </si>
  <si>
    <t>CA-2015-136805-Nathan Mautz-Home Office</t>
  </si>
  <si>
    <t>CA-2015-137064-Trudy Schmidt-Consumer</t>
  </si>
  <si>
    <t>CA-2015-137071-Emily Ducich-Home Office</t>
  </si>
  <si>
    <t>CA-2015-137106-Scott Cohen-Corporate</t>
  </si>
  <si>
    <t>CA-2015-137113-Tamara Willingham-Home Office</t>
  </si>
  <si>
    <t>CA-2015-137225-Jim Kriz-Home Office</t>
  </si>
  <si>
    <t>CA-2015-137281-Barbara Fisher-Corporate</t>
  </si>
  <si>
    <t>CA-2015-137302-Bart Watters-Corporate</t>
  </si>
  <si>
    <t>CA-2015-137512-Anna Gayman-Consumer</t>
  </si>
  <si>
    <t>CA-2015-137526-Philip Brown-Consumer</t>
  </si>
  <si>
    <t>CA-2015-137603-Marc Harrigan-Home Office</t>
  </si>
  <si>
    <t>CA-2015-137708-Nathan Gelder-Consumer</t>
  </si>
  <si>
    <t>CA-2015-137750-Jill Fjeld-Consumer</t>
  </si>
  <si>
    <t>CA-2015-137897-Patrick Jones-Corporate</t>
  </si>
  <si>
    <t>CA-2015-137925-Janet Lee-Consumer</t>
  </si>
  <si>
    <t>CA-2015-137946-Doug Bickford-Consumer</t>
  </si>
  <si>
    <t>CA-2015-137974-Lauren Leatherbury-Consumer</t>
  </si>
  <si>
    <t>CA-2015-138002-Beth Thompson-Home Office</t>
  </si>
  <si>
    <t>CA-2015-138009-Sylvia Foulston-Corporate</t>
  </si>
  <si>
    <t>CA-2015-138219-Bart Pistole-Corporate</t>
  </si>
  <si>
    <t>CA-2015-138331-Jim Karlsson-Consumer</t>
  </si>
  <si>
    <t>CA-2015-138457-Anne McFarland-Consumer</t>
  </si>
  <si>
    <t>CA-2015-138485-Nora Paige-Consumer</t>
  </si>
  <si>
    <t>CA-2015-138492-Fred Chung-Corporate</t>
  </si>
  <si>
    <t>CA-2015-138534-Jessica Myrick-Consumer</t>
  </si>
  <si>
    <t>CA-2015-138625-Emily Grady-Consumer</t>
  </si>
  <si>
    <t>CA-2015-138674-Ken Black-Corporate</t>
  </si>
  <si>
    <t>CA-2015-138898-Justin Hirsh-Consumer</t>
  </si>
  <si>
    <t>CA-2015-138954-Maya Herman-Corporate</t>
  </si>
  <si>
    <t>CA-2015-139094-Meg O'Connel-Home Office</t>
  </si>
  <si>
    <t>CA-2015-139164-Christine Sundaresam-Consumer</t>
  </si>
  <si>
    <t>CA-2015-139248-Russell D'Ascenzo-Consumer</t>
  </si>
  <si>
    <t>CA-2015-139290-Maribeth Yedwab-Corporate</t>
  </si>
  <si>
    <t>CA-2015-139374-Alex Russell-Corporate</t>
  </si>
  <si>
    <t>CA-2015-139584-Eleni McCrary-Corporate</t>
  </si>
  <si>
    <t>CA-2015-139731-Joel Eaton-Consumer</t>
  </si>
  <si>
    <t>CA-2015-139738-Dana Kaydos-Consumer</t>
  </si>
  <si>
    <t>CA-2015-139780-Anna Häberlin-Corporate</t>
  </si>
  <si>
    <t>CA-2015-139850-Giulietta Baptist-Consumer</t>
  </si>
  <si>
    <t>CA-2015-139962-Dean percer-Home Office</t>
  </si>
  <si>
    <t>CA-2015-140025-Peter Fuller-Consumer</t>
  </si>
  <si>
    <t>CA-2015-140144-Stewart Carmichael-Corporate</t>
  </si>
  <si>
    <t>CA-2015-140221-Maribeth Schnelling-Consumer</t>
  </si>
  <si>
    <t>CA-2015-140375-Sheri Gordon-Consumer</t>
  </si>
  <si>
    <t>CA-2015-140410-Corinna Mitchell-Home Office</t>
  </si>
  <si>
    <t>CA-2015-140557-Tanja Norvell-Home Office</t>
  </si>
  <si>
    <t>CA-2015-140718-Frank Atkinson-Corporate</t>
  </si>
  <si>
    <t>CA-2015-140830-Paul Stevenson-Home Office</t>
  </si>
  <si>
    <t>CA-2015-140921-Allen Armold-Consumer</t>
  </si>
  <si>
    <t>CA-2015-140984-Craig Carroll-Consumer</t>
  </si>
  <si>
    <t>CA-2015-141012-Trudy Glocke-Consumer</t>
  </si>
  <si>
    <t>CA-2015-141040-Tim Brockman-Consumer</t>
  </si>
  <si>
    <t>CA-2015-141145-Denny Blanton-Consumer</t>
  </si>
  <si>
    <t>CA-2015-141243-Amy Hunt-Consumer</t>
  </si>
  <si>
    <t>CA-2015-141250-Paul MacIntyre-Consumer</t>
  </si>
  <si>
    <t>CA-2015-141327-Lena Radford-Consumer</t>
  </si>
  <si>
    <t>CA-2015-141565-Barry Gonzalez-Consumer</t>
  </si>
  <si>
    <t>CA-2015-141593-Darren Budd-Corporate</t>
  </si>
  <si>
    <t>CA-2015-141740-Jeremy Farry-Consumer</t>
  </si>
  <si>
    <t>CA-2015-141754-Evan Minnotte-Home Office</t>
  </si>
  <si>
    <t>CA-2015-141768-Nora Pelletier-Home Office</t>
  </si>
  <si>
    <t>CA-2015-141810-Barry Blumstein-Corporate</t>
  </si>
  <si>
    <t>CA-2015-141936-Parhena Norris-Home Office</t>
  </si>
  <si>
    <t>CA-2015-142027-Jay Kimmel-Consumer</t>
  </si>
  <si>
    <t>CA-2015-142041-Eleni McCrary-Corporate</t>
  </si>
  <si>
    <t>CA-2015-142055-Alejandro Ballentine-Home Office</t>
  </si>
  <si>
    <t>CA-2015-142139-Shirley Daniels-Home Office</t>
  </si>
  <si>
    <t>CA-2015-142202-Justin Ritter-Corporate</t>
  </si>
  <si>
    <t>CA-2015-142237-Clytie Kelty-Consumer</t>
  </si>
  <si>
    <t>CA-2015-142377-Michael Stewart-Corporate</t>
  </si>
  <si>
    <t>CA-2015-142419-Shahid Collister-Consumer</t>
  </si>
  <si>
    <t>CA-2015-142433-Erica Smith-Consumer</t>
  </si>
  <si>
    <t>CA-2015-142454-Richard Eichhorn-Consumer</t>
  </si>
  <si>
    <t>CA-2015-142475-Bill Stewart-Corporate</t>
  </si>
  <si>
    <t>CA-2015-142601-Deanra Eno-Home Office</t>
  </si>
  <si>
    <t>CA-2015-142692-Andrew Gjertsen-Corporate</t>
  </si>
  <si>
    <t>CA-2015-142734-Denise Monton-Corporate</t>
  </si>
  <si>
    <t>CA-2015-142755-Christine Sundaresam-Consumer</t>
  </si>
  <si>
    <t>CA-2015-142930-Evan Bailliet-Consumer</t>
  </si>
  <si>
    <t>CA-2015-142937-Sandra Flanagan-Consumer</t>
  </si>
  <si>
    <t>CA-2015-142944-John Lucas-Consumer</t>
  </si>
  <si>
    <t>CA-2015-142993-Kelly Andreada-Consumer</t>
  </si>
  <si>
    <t>CA-2015-143077-Sylvia Foulston-Corporate</t>
  </si>
  <si>
    <t>CA-2015-143105-Matt Abelman-Home Office</t>
  </si>
  <si>
    <t>CA-2015-143119-Marc Crier-Consumer</t>
  </si>
  <si>
    <t>CA-2015-143147-Pamela Stobb-Consumer</t>
  </si>
  <si>
    <t>CA-2015-143238-Lori Olson-Corporate</t>
  </si>
  <si>
    <t>CA-2015-143364-Toby Gnade-Consumer</t>
  </si>
  <si>
    <t>CA-2015-143490-Naresj Patel-Consumer</t>
  </si>
  <si>
    <t>CA-2015-143532-Dan Campbell-Consumer</t>
  </si>
  <si>
    <t>CA-2015-143602-Jill Stevenson-Corporate</t>
  </si>
  <si>
    <t>CA-2015-143616-Saphhira Shifley-Corporate</t>
  </si>
  <si>
    <t>CA-2015-143700-Alan Shonely-Consumer</t>
  </si>
  <si>
    <t>CA-2015-143882-Dennis Bolton-Home Office</t>
  </si>
  <si>
    <t>CA-2015-143980-Jim Kriz-Home Office</t>
  </si>
  <si>
    <t>CA-2015-144043-Alan Barnes-Consumer</t>
  </si>
  <si>
    <t>CA-2015-144099-Phillina Ober-Home Office</t>
  </si>
  <si>
    <t>CA-2015-144190-Nathan Cano-Consumer</t>
  </si>
  <si>
    <t>CA-2015-144253-Alan Schoenberger-Corporate</t>
  </si>
  <si>
    <t>CA-2015-144267-Nick Zandusky-Home Office</t>
  </si>
  <si>
    <t>CA-2015-144274-Pierre Wener-Consumer</t>
  </si>
  <si>
    <t>CA-2015-144288-Maria Bertelson-Consumer</t>
  </si>
  <si>
    <t>CA-2015-144302-Maria Etezadi-Home Office</t>
  </si>
  <si>
    <t>CA-2015-144386-Grant Thornton-Corporate</t>
  </si>
  <si>
    <t>CA-2015-144519-Arthur Wiediger-Home Office</t>
  </si>
  <si>
    <t>CA-2015-144652-Skye Norling-Home Office</t>
  </si>
  <si>
    <t>CA-2015-144722-Monica Federle-Corporate</t>
  </si>
  <si>
    <t>CA-2015-144806-Gary Hwang-Consumer</t>
  </si>
  <si>
    <t>CA-2015-144890-Sean Miller-Home Office</t>
  </si>
  <si>
    <t>CA-2015-145065-Dennis Kane-Consumer</t>
  </si>
  <si>
    <t>CA-2015-145184-Justin Deggeller-Corporate</t>
  </si>
  <si>
    <t>CA-2015-145324-Duane Huffman-Home Office</t>
  </si>
  <si>
    <t>CA-2015-145352-Christopher Martinez-Consumer</t>
  </si>
  <si>
    <t>CA-2015-145394-Matt Connell-Corporate</t>
  </si>
  <si>
    <t>CA-2015-145401-Jeremy Pistek-Consumer</t>
  </si>
  <si>
    <t>CA-2015-145415-Robert Dilbeck-Home Office</t>
  </si>
  <si>
    <t>CA-2015-145457-Cathy Prescott-Corporate</t>
  </si>
  <si>
    <t>CA-2015-145485-Justin MacKendrick-Consumer</t>
  </si>
  <si>
    <t>CA-2015-145758-Barry Französisch-Corporate</t>
  </si>
  <si>
    <t>CA-2015-145814-Katherine Ducich-Consumer</t>
  </si>
  <si>
    <t>CA-2015-145821-Jennifer Braxton-Corporate</t>
  </si>
  <si>
    <t>CA-2015-145828-Maria Bertelson-Consumer</t>
  </si>
  <si>
    <t>CA-2015-145835-Ben Ferrer-Home Office</t>
  </si>
  <si>
    <t>CA-2015-145849-Carol Triggs-Consumer</t>
  </si>
  <si>
    <t>CA-2015-146038-Sarah Jordon-Consumer</t>
  </si>
  <si>
    <t>CA-2015-146087-Paul Prost-Home Office</t>
  </si>
  <si>
    <t>CA-2015-146255-Eugene Moren-Home Office</t>
  </si>
  <si>
    <t>CA-2015-146262-Victoria Wilson-Corporate</t>
  </si>
  <si>
    <t>CA-2015-146290-Stuart Van-Corporate</t>
  </si>
  <si>
    <t>CA-2015-146465-Patrick Bzostek-Home Office</t>
  </si>
  <si>
    <t>CA-2015-146486-Dianna Vittorini-Consumer</t>
  </si>
  <si>
    <t>CA-2015-146563-Cassandra Brandow-Consumer</t>
  </si>
  <si>
    <t>CA-2015-146675-Sarah Brown-Consumer</t>
  </si>
  <si>
    <t>CA-2015-146696-Rick Duston-Consumer</t>
  </si>
  <si>
    <t>CA-2015-146829-Toby Swindell-Consumer</t>
  </si>
  <si>
    <t>CA-2015-146948-Michael Granlund-Home Office</t>
  </si>
  <si>
    <t>CA-2015-147011-Harold Ryan-Corporate</t>
  </si>
  <si>
    <t>CA-2015-147102-Nicole Hansen-Corporate</t>
  </si>
  <si>
    <t>CA-2015-147501-Corey-Lock-Consumer</t>
  </si>
  <si>
    <t>CA-2015-147529-Damala Kotsonis-Corporate</t>
  </si>
  <si>
    <t>CA-2015-147690-Sam Craven-Consumer</t>
  </si>
  <si>
    <t>CA-2015-147788-Tamara Manning-Consumer</t>
  </si>
  <si>
    <t>CA-2015-147816-Carlos Meador-Consumer</t>
  </si>
  <si>
    <t>CA-2015-147830-Natalie Fritzler-Consumer</t>
  </si>
  <si>
    <t>CA-2015-147851-Mark Packer-Home Office</t>
  </si>
  <si>
    <t>CA-2015-147879-Chris Cortes-Consumer</t>
  </si>
  <si>
    <t>CA-2015-148180-Bart Pistole-Corporate</t>
  </si>
  <si>
    <t>CA-2015-148250-Rachel Payne-Corporate</t>
  </si>
  <si>
    <t>CA-2015-148376-Arthur Gainer-Consumer</t>
  </si>
  <si>
    <t>CA-2015-148432-Mike Caudle-Corporate</t>
  </si>
  <si>
    <t>CA-2015-148495-Sandra Flanagan-Consumer</t>
  </si>
  <si>
    <t>CA-2015-148628-Katherine Murray-Home Office</t>
  </si>
  <si>
    <t>CA-2015-148635-Michelle Huthwaite-Consumer</t>
  </si>
  <si>
    <t>CA-2015-148705-Evan Bailliet-Consumer</t>
  </si>
  <si>
    <t>CA-2015-148712-Jessica Myrick-Consumer</t>
  </si>
  <si>
    <t>CA-2015-148859-Fred Harton-Consumer</t>
  </si>
  <si>
    <t>CA-2015-148873-Eric Murdock-Consumer</t>
  </si>
  <si>
    <t>CA-2015-148964-Ruben Dartt-Consumer</t>
  </si>
  <si>
    <t>CA-2015-149083-Sally Hughsby-Corporate</t>
  </si>
  <si>
    <t>CA-2015-149097-Stewart Visinsky-Consumer</t>
  </si>
  <si>
    <t>CA-2015-149300-Brosina Hoffman-Consumer</t>
  </si>
  <si>
    <t>CA-2015-149342-Theresa Swint-Corporate</t>
  </si>
  <si>
    <t>CA-2015-149384-Eric Hoffmann-Consumer</t>
  </si>
  <si>
    <t>CA-2015-149517-Frank Carlisle-Home Office</t>
  </si>
  <si>
    <t>CA-2015-149566-George Bell-Corporate</t>
  </si>
  <si>
    <t>CA-2015-149587-Karl Braun-Consumer</t>
  </si>
  <si>
    <t>CA-2015-149601-Trudy Brown-Consumer</t>
  </si>
  <si>
    <t>CA-2015-149636-Stefania Perrino-Corporate</t>
  </si>
  <si>
    <t>CA-2015-149650-Robert Dilbeck-Home Office</t>
  </si>
  <si>
    <t>CA-2015-149678-Anthony Witt-Consumer</t>
  </si>
  <si>
    <t>CA-2015-149713-Trudy Glocke-Consumer</t>
  </si>
  <si>
    <t>CA-2015-149734-Julie Creighton-Corporate</t>
  </si>
  <si>
    <t>CA-2015-149748-Elizabeth Moffitt-Corporate</t>
  </si>
  <si>
    <t>CA-2015-149811-Chris Selesnick-Corporate</t>
  </si>
  <si>
    <t>CA-2015-149846-Sarah Brown-Consumer</t>
  </si>
  <si>
    <t>CA-2015-149909-Russell Applegate-Consumer</t>
  </si>
  <si>
    <t>CA-2015-149972-Cynthia Delaney-Home Office</t>
  </si>
  <si>
    <t>CA-2015-149993-Guy Armstrong-Consumer</t>
  </si>
  <si>
    <t>CA-2015-150196-Steven Roelle-Home Office</t>
  </si>
  <si>
    <t>CA-2015-150308-Rick Reed-Corporate</t>
  </si>
  <si>
    <t>CA-2015-150413-Cari Schnelling-Consumer</t>
  </si>
  <si>
    <t>CA-2015-150441-Ralph Arnett-Consumer</t>
  </si>
  <si>
    <t>CA-2015-150511-Adam Bellavance-Home Office</t>
  </si>
  <si>
    <t>CA-2015-150560-Shaun Weien-Consumer</t>
  </si>
  <si>
    <t>CA-2015-150714-Kristen Hastings-Corporate</t>
  </si>
  <si>
    <t>CA-2015-150749-Alan Shonely-Consumer</t>
  </si>
  <si>
    <t>CA-2015-150770-Lena Cacioppo-Consumer</t>
  </si>
  <si>
    <t>CA-2015-150791-Chuck Clark-Home Office</t>
  </si>
  <si>
    <t>CA-2015-150875-Heather Kirkland-Corporate</t>
  </si>
  <si>
    <t>CA-2015-151043-Maureen Gastineau-Home Office</t>
  </si>
  <si>
    <t>CA-2015-151253-Annie Zypern-Consumer</t>
  </si>
  <si>
    <t>CA-2015-151470-Anne McFarland-Consumer</t>
  </si>
  <si>
    <t>CA-2015-151547-Amy Hunt-Consumer</t>
  </si>
  <si>
    <t>CA-2015-151589-Richard Eichhorn-Consumer</t>
  </si>
  <si>
    <t>CA-2015-151624-Victoria Wilson-Corporate</t>
  </si>
  <si>
    <t>CA-2015-151680-Tony Chapman-Home Office</t>
  </si>
  <si>
    <t>CA-2015-151722-Ivan Liston-Consumer</t>
  </si>
  <si>
    <t>CA-2015-151785-Jennifer Jackson-Consumer</t>
  </si>
  <si>
    <t>CA-2015-151841-Tony Chapman-Home Office</t>
  </si>
  <si>
    <t>CA-2015-151869-Carlos Soltero-Consumer</t>
  </si>
  <si>
    <t>CA-2015-152513-Julie Prescott-Home Office</t>
  </si>
  <si>
    <t>CA-2015-152527-Charlotte Melton-Consumer</t>
  </si>
  <si>
    <t>CA-2015-152611-Kelly Andreada-Consumer</t>
  </si>
  <si>
    <t>CA-2015-152681-Scott Cohen-Corporate</t>
  </si>
  <si>
    <t>CA-2015-152891-Trudy Brown-Consumer</t>
  </si>
  <si>
    <t>CA-2015-153038-Robert Barroso-Corporate</t>
  </si>
  <si>
    <t>CA-2015-153073-Helen Abelman-Consumer</t>
  </si>
  <si>
    <t>CA-2015-153108-Sarah Foster-Consumer</t>
  </si>
  <si>
    <t>CA-2015-153220-Yoseph Carroll-Corporate</t>
  </si>
  <si>
    <t>CA-2015-153325-Shui Tom-Consumer</t>
  </si>
  <si>
    <t>CA-2015-153381-Deanra Eno-Home Office</t>
  </si>
  <si>
    <t>CA-2015-153388-Pauline Chand-Home Office</t>
  </si>
  <si>
    <t>CA-2015-153416-Toby Swindell-Consumer</t>
  </si>
  <si>
    <t>CA-2015-153423-Shaun Weien-Consumer</t>
  </si>
  <si>
    <t>CA-2015-153535-Sheri Gordon-Consumer</t>
  </si>
  <si>
    <t>CA-2015-153549-Sara Luxemburg-Home Office</t>
  </si>
  <si>
    <t>CA-2015-153612-Beth Thompson-Home Office</t>
  </si>
  <si>
    <t>CA-2015-153626-Emily Burns-Consumer</t>
  </si>
  <si>
    <t>CA-2015-153717-Dionis Lloyd-Corporate</t>
  </si>
  <si>
    <t>CA-2015-153738-Alejandro Grove-Consumer</t>
  </si>
  <si>
    <t>CA-2015-153752-Rose O'Brian-Consumer</t>
  </si>
  <si>
    <t>CA-2015-153794-Sean Braxton-Corporate</t>
  </si>
  <si>
    <t>CA-2015-153878-Trudy Schmidt-Consumer</t>
  </si>
  <si>
    <t>CA-2015-153906-Michael Stewart-Corporate</t>
  </si>
  <si>
    <t>CA-2015-154144-Maya Herman-Corporate</t>
  </si>
  <si>
    <t>CA-2015-154200-Bruce Geld-Consumer</t>
  </si>
  <si>
    <t>CA-2015-154284-Sam Zeldin-Home Office</t>
  </si>
  <si>
    <t>CA-2015-154291-Yana Sorensen-Corporate</t>
  </si>
  <si>
    <t>CA-2015-154326-Roy Phan-Corporate</t>
  </si>
  <si>
    <t>CA-2015-154340-Eileen Kiefer-Home Office</t>
  </si>
  <si>
    <t>CA-2015-154620-Liz Thompson-Consumer</t>
  </si>
  <si>
    <t>CA-2015-154746-Patrick Jones-Corporate</t>
  </si>
  <si>
    <t>CA-2015-154795-Gary Zandusky-Consumer</t>
  </si>
  <si>
    <t>CA-2015-154823-Katherine Nockton-Corporate</t>
  </si>
  <si>
    <t>CA-2015-154886-Shaun Weien-Consumer</t>
  </si>
  <si>
    <t>CA-2015-154900-Sung Shariari-Consumer</t>
  </si>
  <si>
    <t>CA-2015-154921-Erin Ashbrook-Corporate</t>
  </si>
  <si>
    <t>CA-2015-154956-Irene Maddox-Consumer</t>
  </si>
  <si>
    <t>CA-2015-154970-Steven Roelle-Home Office</t>
  </si>
  <si>
    <t>CA-2015-155040-Alan Hwang-Consumer</t>
  </si>
  <si>
    <t>CA-2015-155054-Penelope Sewall-Home Office</t>
  </si>
  <si>
    <t>CA-2015-155068-Ralph Arnett-Consumer</t>
  </si>
  <si>
    <t>CA-2015-155124-Karen Seio-Corporate</t>
  </si>
  <si>
    <t>CA-2015-155145-Kean Nguyen-Corporate</t>
  </si>
  <si>
    <t>CA-2015-155306-George Ashbrook-Consumer</t>
  </si>
  <si>
    <t>CA-2015-155334-Helen Andreada-Consumer</t>
  </si>
  <si>
    <t>CA-2015-155453-Ruben Ausman-Corporate</t>
  </si>
  <si>
    <t>CA-2015-155586-Xylona Preis-Consumer</t>
  </si>
  <si>
    <t>CA-2015-155600-Rose O'Brian-Consumer</t>
  </si>
  <si>
    <t>CA-2015-155635-Max Engle-Consumer</t>
  </si>
  <si>
    <t>CA-2015-155761-Stuart Calhoun-Consumer</t>
  </si>
  <si>
    <t>CA-2015-156013-Tamara Chand-Corporate</t>
  </si>
  <si>
    <t>CA-2015-156104-Nora Pelletier-Home Office</t>
  </si>
  <si>
    <t>CA-2015-156118-Henry Goldwyn-Corporate</t>
  </si>
  <si>
    <t>CA-2015-156146-Andrew Gjertsen-Corporate</t>
  </si>
  <si>
    <t>CA-2015-156153-Carl Weiss-Home Office</t>
  </si>
  <si>
    <t>CA-2015-156328-Raymond Messe-Consumer</t>
  </si>
  <si>
    <t>CA-2015-156335-Phillina Ober-Home Office</t>
  </si>
  <si>
    <t>CA-2015-156377-Trudy Brown-Consumer</t>
  </si>
  <si>
    <t>CA-2015-156440-Matt Hagelstein-Corporate</t>
  </si>
  <si>
    <t>CA-2015-156482-Ivan Liston-Consumer</t>
  </si>
  <si>
    <t>CA-2015-156510-Erica Hackney-Consumer</t>
  </si>
  <si>
    <t>CA-2015-156524-Dan Lawera-Consumer</t>
  </si>
  <si>
    <t>CA-2015-156566-Eric Murdock-Consumer</t>
  </si>
  <si>
    <t>CA-2015-156608-Michelle Tran-Home Office</t>
  </si>
  <si>
    <t>CA-2015-156734-Benjamin Venier-Corporate</t>
  </si>
  <si>
    <t>CA-2015-156755-Yana Sorensen-Corporate</t>
  </si>
  <si>
    <t>CA-2015-156853-Harold Pawlan-Home Office</t>
  </si>
  <si>
    <t>CA-2015-156923-Sung Pak-Corporate</t>
  </si>
  <si>
    <t>CA-2015-157028-Michelle Arnett-Home Office</t>
  </si>
  <si>
    <t>CA-2015-157035-Ken Brennan-Corporate</t>
  </si>
  <si>
    <t>CA-2015-157084-James Galang-Consumer</t>
  </si>
  <si>
    <t>CA-2015-157133-Lena Creighton-Consumer</t>
  </si>
  <si>
    <t>CA-2015-157287-Harold Ryan-Corporate</t>
  </si>
  <si>
    <t>CA-2015-157322-Rob Haberlin-Consumer</t>
  </si>
  <si>
    <t>CA-2015-157343-Harold Dahlen-Home Office</t>
  </si>
  <si>
    <t>CA-2015-157434-Jim Kriz-Home Office</t>
  </si>
  <si>
    <t>CA-2015-157770-Rob Dowd-Consumer</t>
  </si>
  <si>
    <t>CA-2015-157805-Rick Huthwaite-Home Office</t>
  </si>
  <si>
    <t>CA-2015-157812-Dean Braden-Consumer</t>
  </si>
  <si>
    <t>CA-2015-157959-Rick Wilson-Corporate</t>
  </si>
  <si>
    <t>CA-2015-158148-John Murray-Consumer</t>
  </si>
  <si>
    <t>CA-2015-158323-Ann Blume-Corporate</t>
  </si>
  <si>
    <t>CA-2015-158351-Becky Castell-Home Office</t>
  </si>
  <si>
    <t>CA-2015-158421-Giulietta Baptist-Consumer</t>
  </si>
  <si>
    <t>CA-2015-158456-Kean Takahito-Consumer</t>
  </si>
  <si>
    <t>CA-2015-158491-Becky Pak-Consumer</t>
  </si>
  <si>
    <t>CA-2015-158554-Charlotte Melton-Consumer</t>
  </si>
  <si>
    <t>CA-2015-158659-Steve Chapman-Corporate</t>
  </si>
  <si>
    <t>CA-2015-158701-James Lanier-Home Office</t>
  </si>
  <si>
    <t>CA-2015-158792-Brian Dahlen-Consumer</t>
  </si>
  <si>
    <t>CA-2015-158918-Arianne Irving-Consumer</t>
  </si>
  <si>
    <t>CA-2015-158939-Erin Ashbrook-Corporate</t>
  </si>
  <si>
    <t>CA-2015-159380-Cindy Stewart-Consumer</t>
  </si>
  <si>
    <t>CA-2015-159534-Dave Hallsten-Corporate</t>
  </si>
  <si>
    <t>CA-2015-159590-Karen Carlisle-Corporate</t>
  </si>
  <si>
    <t>CA-2015-159779-Sarah Brown-Consumer</t>
  </si>
  <si>
    <t>CA-2015-159786-Ralph Kennedy-Consumer</t>
  </si>
  <si>
    <t>CA-2015-159863-David Smith-Corporate</t>
  </si>
  <si>
    <t>CA-2015-160059-Thomas Brumley-Home Office</t>
  </si>
  <si>
    <t>CA-2015-160171-Robert Marley-Home Office</t>
  </si>
  <si>
    <t>CA-2015-160213-Anthony Rawles-Corporate</t>
  </si>
  <si>
    <t>CA-2015-160227-Emily Ducich-Home Office</t>
  </si>
  <si>
    <t>CA-2015-160472-Ralph Kennedy-Consumer</t>
  </si>
  <si>
    <t>CA-2015-160696-Cyma Kinney-Corporate</t>
  </si>
  <si>
    <t>CA-2015-160787-Bryan Mills-Consumer</t>
  </si>
  <si>
    <t>CA-2015-160794-Michael Stewart-Corporate</t>
  </si>
  <si>
    <t>CA-2015-160864-Nicole Fjeld-Home Office</t>
  </si>
  <si>
    <t>CA-2015-161214-Sylvia Foulston-Corporate</t>
  </si>
  <si>
    <t>CA-2015-161242-Catherine Glotzbach-Home Office</t>
  </si>
  <si>
    <t>CA-2015-161263-Theresa Swint-Corporate</t>
  </si>
  <si>
    <t>CA-2015-161445-Corey Catlett-Corporate</t>
  </si>
  <si>
    <t>CA-2015-161452-Carol Adams-Corporate</t>
  </si>
  <si>
    <t>CA-2015-161627-Sarah Jordon-Consumer</t>
  </si>
  <si>
    <t>CA-2015-161711-Mark Cousins-Corporate</t>
  </si>
  <si>
    <t>CA-2015-161718-Sean O'Donnell-Consumer</t>
  </si>
  <si>
    <t>CA-2015-161767-Grace Kelly-Corporate</t>
  </si>
  <si>
    <t>CA-2015-161795-Adam Hart-Corporate</t>
  </si>
  <si>
    <t>CA-2015-161830-Max Engle-Consumer</t>
  </si>
  <si>
    <t>CA-2015-161998-David Bremer-Corporate</t>
  </si>
  <si>
    <t>CA-2015-162047-Fred Hopkins-Corporate</t>
  </si>
  <si>
    <t>CA-2015-162166-Neoma Murray-Consumer</t>
  </si>
  <si>
    <t>CA-2015-162201-Andrew Gjertsen-Corporate</t>
  </si>
  <si>
    <t>CA-2015-162369-Tim Taslimi-Corporate</t>
  </si>
  <si>
    <t>CA-2015-162376-Harold Dahlen-Home Office</t>
  </si>
  <si>
    <t>CA-2015-162537-Rob Dowd-Consumer</t>
  </si>
  <si>
    <t>CA-2015-162544-Sandra Glassco-Consumer</t>
  </si>
  <si>
    <t>CA-2015-162607-Rose O'Brian-Consumer</t>
  </si>
  <si>
    <t>CA-2015-162621-Cathy Armstrong-Home Office</t>
  </si>
  <si>
    <t>CA-2015-162761-Sonia Cooley-Consumer</t>
  </si>
  <si>
    <t>CA-2015-162782-Pierre Wener-Consumer</t>
  </si>
  <si>
    <t>CA-2015-162887-Stewart Visinsky-Consumer</t>
  </si>
  <si>
    <t>CA-2015-162950-Dorothy Wardle-Corporate</t>
  </si>
  <si>
    <t>CA-2015-162964-Monica Federle-Corporate</t>
  </si>
  <si>
    <t>CA-2015-163055-David Smith-Corporate</t>
  </si>
  <si>
    <t>CA-2015-163090-Greg Hansen-Consumer</t>
  </si>
  <si>
    <t>CA-2015-163104-Mike Caudle-Corporate</t>
  </si>
  <si>
    <t>CA-2015-163181-Adrian Barton-Consumer</t>
  </si>
  <si>
    <t>CA-2015-163237-Eudokia Martin-Corporate</t>
  </si>
  <si>
    <t>CA-2015-163440-Ruben Dartt-Consumer</t>
  </si>
  <si>
    <t>CA-2015-163587-Emily Phan-Consumer</t>
  </si>
  <si>
    <t>CA-2015-163734-Katherine Murray-Home Office</t>
  </si>
  <si>
    <t>CA-2015-163762-Jeremy Ellison-Consumer</t>
  </si>
  <si>
    <t>CA-2015-163895-Noel Staavos-Corporate</t>
  </si>
  <si>
    <t>CA-2015-163923-Brendan Dodson-Home Office</t>
  </si>
  <si>
    <t>CA-2015-163965-Sung Shariari-Consumer</t>
  </si>
  <si>
    <t>CA-2015-164007-Maureen Gnade-Consumer</t>
  </si>
  <si>
    <t>CA-2015-164084-Andy Gerbode-Corporate</t>
  </si>
  <si>
    <t>CA-2015-164301-Ellis Ballard-Corporate</t>
  </si>
  <si>
    <t>CA-2015-164336-Mitch Webber-Consumer</t>
  </si>
  <si>
    <t>CA-2015-164427-Allen Rosenblatt-Corporate</t>
  </si>
  <si>
    <t>CA-2015-164441-Amy Cox-Consumer</t>
  </si>
  <si>
    <t>CA-2015-164497-Ashley Jarboe-Consumer</t>
  </si>
  <si>
    <t>CA-2015-164539-Philisse Overcash-Home Office</t>
  </si>
  <si>
    <t>CA-2015-164567-Grace Kelly-Corporate</t>
  </si>
  <si>
    <t>CA-2015-164623-Maxwell Schwartz-Consumer</t>
  </si>
  <si>
    <t>CA-2015-164777-Sean Christensen-Consumer</t>
  </si>
  <si>
    <t>CA-2015-164833-Lauren Leatherbury-Consumer</t>
  </si>
  <si>
    <t>CA-2015-164882-Sandra Glassco-Consumer</t>
  </si>
  <si>
    <t>CA-2015-165050-Alan Hwang-Consumer</t>
  </si>
  <si>
    <t>CA-2015-165057-Steven Cartwright-Consumer</t>
  </si>
  <si>
    <t>CA-2015-165085-Brad Thomas-Home Office</t>
  </si>
  <si>
    <t>CA-2015-165162-Hunter Glantz-Consumer</t>
  </si>
  <si>
    <t>CA-2015-165414-Lynn Smith-Consumer</t>
  </si>
  <si>
    <t>CA-2015-165554-Anthony Jacobs-Corporate</t>
  </si>
  <si>
    <t>CA-2015-165624-Fred Harton-Consumer</t>
  </si>
  <si>
    <t>CA-2015-165799-Sheri Gordon-Consumer</t>
  </si>
  <si>
    <t>CA-2015-165813-Bryan Mills-Consumer</t>
  </si>
  <si>
    <t>CA-2015-166135-Shaun Chance-Corporate</t>
  </si>
  <si>
    <t>CA-2015-166219-Ben Peterman-Corporate</t>
  </si>
  <si>
    <t>CA-2015-166338-Mike Pelletier-Home Office</t>
  </si>
  <si>
    <t>CA-2015-166464-Paul Gonzalez-Consumer</t>
  </si>
  <si>
    <t>CA-2015-166492-Resi Pölking-Consumer</t>
  </si>
  <si>
    <t>CA-2015-166583-Valerie Dominguez-Consumer</t>
  </si>
  <si>
    <t>CA-2015-166604-Anna Häberlin-Corporate</t>
  </si>
  <si>
    <t>CA-2015-166800-Aleksandra Gannaway-Corporate</t>
  </si>
  <si>
    <t>CA-2015-166947-Edward Becker-Corporate</t>
  </si>
  <si>
    <t>CA-2015-166975-Stefanie Holloman-Corporate</t>
  </si>
  <si>
    <t>CA-2015-167010-Valerie Takahito-Home Office</t>
  </si>
  <si>
    <t>CA-2015-167255-Rick Huthwaite-Home Office</t>
  </si>
  <si>
    <t>CA-2015-167269-Philip Brown-Consumer</t>
  </si>
  <si>
    <t>CA-2015-167374-Gene McClure-Consumer</t>
  </si>
  <si>
    <t>CA-2015-167479-Arianne Irving-Consumer</t>
  </si>
  <si>
    <t>CA-2015-167696-Bradley Drucker-Consumer</t>
  </si>
  <si>
    <t>CA-2015-167745-George Bell-Corporate</t>
  </si>
  <si>
    <t>CA-2015-168004-Denny Joy-Corporate</t>
  </si>
  <si>
    <t>CA-2015-168088-Corinna Mitchell-Home Office</t>
  </si>
  <si>
    <t>CA-2015-168186-Aimee Bixby-Consumer</t>
  </si>
  <si>
    <t>CA-2015-168207-Liz Thompson-Consumer</t>
  </si>
  <si>
    <t>CA-2015-168277-Karl Braun-Consumer</t>
  </si>
  <si>
    <t>CA-2015-168459-Marc Crier-Consumer</t>
  </si>
  <si>
    <t>CA-2015-168480-Dario Medina-Corporate</t>
  </si>
  <si>
    <t>CA-2015-168529-Maria Bertelson-Consumer</t>
  </si>
  <si>
    <t>CA-2015-168564-Thomas Thornton-Consumer</t>
  </si>
  <si>
    <t>CA-2015-168634-Art Ferguson-Consumer</t>
  </si>
  <si>
    <t>CA-2015-168746-Seth Vernon-Consumer</t>
  </si>
  <si>
    <t>CA-2015-168760-Muhammed MacIntyre-Corporate</t>
  </si>
  <si>
    <t>CA-2015-168767-Dario Medina-Corporate</t>
  </si>
  <si>
    <t>CA-2015-168809-Mick Crebagga-Consumer</t>
  </si>
  <si>
    <t>CA-2015-169201-Henry Goldwyn-Corporate</t>
  </si>
  <si>
    <t>CA-2015-169278-Michelle Ellison-Corporate</t>
  </si>
  <si>
    <t>CA-2015-169299-Denny Ordway-Consumer</t>
  </si>
  <si>
    <t>CA-2015-169397-Joni Blumstein-Consumer</t>
  </si>
  <si>
    <t>CA-2015-169537-John Huston-Consumer</t>
  </si>
  <si>
    <t>CA-2015-169572-Andy Gerbode-Corporate</t>
  </si>
  <si>
    <t>CA-2015-169656-Ed Jacobs-Consumer</t>
  </si>
  <si>
    <t>CA-2015-169677-Karen Seio-Corporate</t>
  </si>
  <si>
    <t>CA-2015-169733-Gene McClure-Consumer</t>
  </si>
  <si>
    <t>CA-2015-169740-Liz MacKendrick-Consumer</t>
  </si>
  <si>
    <t>CA-2015-169796-Dean percer-Home Office</t>
  </si>
  <si>
    <t>US-2014-100279-Consumer-Michigan</t>
  </si>
  <si>
    <t>US-2014-100853-Corporate-Illinois</t>
  </si>
  <si>
    <t>US-2014-102071-Consumer-California</t>
  </si>
  <si>
    <t>US-2014-102631-Corporate-Illinois</t>
  </si>
  <si>
    <t>US-2014-102715-Consumer-Florida</t>
  </si>
  <si>
    <t>US-2014-103338-Consumer-California</t>
  </si>
  <si>
    <t>US-2014-103905-Home Office-Illinois</t>
  </si>
  <si>
    <t>US-2014-104759-Consumer-Illinois</t>
  </si>
  <si>
    <t>US-2014-105137-Consumer-Ohio</t>
  </si>
  <si>
    <t>US-2014-105151-Corporate-New York</t>
  </si>
  <si>
    <t>US-2014-105767-Consumer-Pennsylvania</t>
  </si>
  <si>
    <t>US-2014-106299-Home Office-Missouri</t>
  </si>
  <si>
    <t>US-2014-106334-Consumer-California</t>
  </si>
  <si>
    <t>US-2014-106992-Corporate-Texas</t>
  </si>
  <si>
    <t>US-2014-107405-Corporate-North Carolina</t>
  </si>
  <si>
    <t>US-2014-107699-Consumer-Michigan</t>
  </si>
  <si>
    <t>US-2014-107993-Consumer-Oregon</t>
  </si>
  <si>
    <t>US-2014-109036-Consumer-Washington</t>
  </si>
  <si>
    <t>US-2014-109162-Corporate-Tennessee</t>
  </si>
  <si>
    <t>US-2014-109456-Consumer-California</t>
  </si>
  <si>
    <t>US-2014-110674-Consumer-California</t>
  </si>
  <si>
    <t>US-2014-111171-Consumer-Illinois</t>
  </si>
  <si>
    <t>US-2014-111353-Consumer-New York</t>
  </si>
  <si>
    <t>US-2014-112200-Home Office-Illinois</t>
  </si>
  <si>
    <t>US-2014-112564-Corporate-Pennsylvania</t>
  </si>
  <si>
    <t>US-2014-112795-Home Office-Michigan</t>
  </si>
  <si>
    <t>US-2014-112872-Consumer-Oregon</t>
  </si>
  <si>
    <t>US-2014-112914-Home Office-Texas</t>
  </si>
  <si>
    <t>US-2014-112949-Consumer-Oklahoma</t>
  </si>
  <si>
    <t>US-2014-112991-Corporate-Idaho</t>
  </si>
  <si>
    <t>US-2014-113124-Consumer-Minnesota</t>
  </si>
  <si>
    <t>US-2014-114188-Corporate-New Hampshire</t>
  </si>
  <si>
    <t>US-2014-114377-Consumer-Virginia</t>
  </si>
  <si>
    <t>US-2014-115189-Corporate-Pennsylvania</t>
  </si>
  <si>
    <t>US-2014-115196-Consumer-North Carolina</t>
  </si>
  <si>
    <t>US-2014-115413-Home Office-Delaware</t>
  </si>
  <si>
    <t>US-2014-115987-Consumer-Texas</t>
  </si>
  <si>
    <t>US-2014-117058-Consumer-Illinois</t>
  </si>
  <si>
    <t>US-2014-117135-Consumer-Virginia</t>
  </si>
  <si>
    <t>US-2014-117163-Consumer-California</t>
  </si>
  <si>
    <t>US-2014-117170-Consumer-North Carolina</t>
  </si>
  <si>
    <t>US-2014-117380-Home Office-Ohio</t>
  </si>
  <si>
    <t>US-2014-117744-Corporate-Texas</t>
  </si>
  <si>
    <t>US-2014-117968-Corporate-Connecticut</t>
  </si>
  <si>
    <t>US-2014-118486-Home Office-Pennsylvania</t>
  </si>
  <si>
    <t>US-2014-118997-Corporate-Alabama</t>
  </si>
  <si>
    <t>US-2014-119081-Home Office-Kansas</t>
  </si>
  <si>
    <t>US-2014-119137-Consumer-Arizona</t>
  </si>
  <si>
    <t>US-2014-120175-Corporate-Indiana</t>
  </si>
  <si>
    <t>US-2014-120236-Home Office-Texas</t>
  </si>
  <si>
    <t>US-2014-120313-Home Office-California</t>
  </si>
  <si>
    <t>US-2014-120740-Home Office-California</t>
  </si>
  <si>
    <t>US-2014-121566-Consumer-New York</t>
  </si>
  <si>
    <t>US-2014-121734-Consumer-Idaho</t>
  </si>
  <si>
    <t>US-2014-122021-Consumer-Ohio</t>
  </si>
  <si>
    <t>US-2014-122959-Corporate-Texas</t>
  </si>
  <si>
    <t>US-2014-123183-Corporate-Delaware</t>
  </si>
  <si>
    <t>US-2014-123519-Consumer-Ohio</t>
  </si>
  <si>
    <t>US-2014-124625-Corporate-Nebraska</t>
  </si>
  <si>
    <t>US-2014-125521-Home Office-Virginia</t>
  </si>
  <si>
    <t>US-2014-126340-Consumer-California</t>
  </si>
  <si>
    <t>US-2014-126571-Consumer-Pennsylvania</t>
  </si>
  <si>
    <t>US-2014-127635-Corporate-Texas</t>
  </si>
  <si>
    <t>US-2014-127978-Corporate-Ohio</t>
  </si>
  <si>
    <t>US-2014-128685-Corporate-California</t>
  </si>
  <si>
    <t>US-2014-129609-Consumer-Indiana</t>
  </si>
  <si>
    <t>US-2014-130358-Consumer-North Carolina</t>
  </si>
  <si>
    <t>US-2014-130379-Consumer-Illinois</t>
  </si>
  <si>
    <t>US-2014-131275-Home Office-California</t>
  </si>
  <si>
    <t>US-2014-131870-Home Office-Ohio</t>
  </si>
  <si>
    <t>US-2014-131982-Home Office-Washington</t>
  </si>
  <si>
    <t>US-2014-132745-Home Office-Nevada</t>
  </si>
  <si>
    <t>US-2014-133130-Consumer-California</t>
  </si>
  <si>
    <t>US-2014-133949-Home Office-Nevada</t>
  </si>
  <si>
    <t>US-2014-134054-Corporate-New Mexico</t>
  </si>
  <si>
    <t>US-2014-134187-Corporate-California</t>
  </si>
  <si>
    <t>US-2014-134614-Consumer-Illinois</t>
  </si>
  <si>
    <t>US-2014-134712-Corporate-Illinois</t>
  </si>
  <si>
    <t>US-2014-134733-Corporate-California</t>
  </si>
  <si>
    <t>US-2014-134971-Corporate-Illinois</t>
  </si>
  <si>
    <t>US-2014-135881-Consumer-New York</t>
  </si>
  <si>
    <t>US-2014-135972-Consumer-Washington</t>
  </si>
  <si>
    <t>US-2014-137155-Consumer-New York</t>
  </si>
  <si>
    <t>US-2014-137680-Consumer-Oregon</t>
  </si>
  <si>
    <t>US-2014-137869-Consumer-Iowa</t>
  </si>
  <si>
    <t>US-2014-138247-Home Office-California</t>
  </si>
  <si>
    <t>US-2014-138758-Consumer-Pennsylvania</t>
  </si>
  <si>
    <t>US-2014-138828-Consumer-New York</t>
  </si>
  <si>
    <t>US-2014-138835-Home Office-Virginia</t>
  </si>
  <si>
    <t>US-2014-139500-Consumer-Illinois</t>
  </si>
  <si>
    <t>US-2014-139640-Consumer-Oregon</t>
  </si>
  <si>
    <t>US-2014-140116-Consumer-Colorado</t>
  </si>
  <si>
    <t>US-2014-140452-Consumer-Illinois</t>
  </si>
  <si>
    <t>US-2014-140914-Consumer-Illinois</t>
  </si>
  <si>
    <t>US-2014-141215-Corporate-Texas</t>
  </si>
  <si>
    <t>US-2014-141257-Consumer-Washington</t>
  </si>
  <si>
    <t>US-2014-143231-Home Office-Massachusetts</t>
  </si>
  <si>
    <t>US-2014-143287-Home Office-New York</t>
  </si>
  <si>
    <t>US-2014-143581-Corporate-Georgia</t>
  </si>
  <si>
    <t>US-2014-143707-Home Office-New York</t>
  </si>
  <si>
    <t>US-2014-143721-Corporate-Texas</t>
  </si>
  <si>
    <t>US-2014-144078-Consumer-California</t>
  </si>
  <si>
    <t>US-2014-146353-Corporate-New Hampshire</t>
  </si>
  <si>
    <t>US-2014-147606-Consumer-Texas</t>
  </si>
  <si>
    <t>US-2014-147627-Consumer-Arkansas</t>
  </si>
  <si>
    <t>US-2014-147648-Home Office-California</t>
  </si>
  <si>
    <t>US-2014-147704-Home Office-Indiana</t>
  </si>
  <si>
    <t>US-2014-147774-Corporate-Tennessee</t>
  </si>
  <si>
    <t>US-2014-148194-Corporate-Washington</t>
  </si>
  <si>
    <t>US-2014-148838-Corporate-New York</t>
  </si>
  <si>
    <t>US-2014-149034-Consumer-Pennsylvania</t>
  </si>
  <si>
    <t>US-2014-150119-Home Office-Ohio</t>
  </si>
  <si>
    <t>US-2014-150126-Corporate-New York</t>
  </si>
  <si>
    <t>US-2014-150434-Corporate-Connecticut</t>
  </si>
  <si>
    <t>US-2014-150532-Consumer-Arizona</t>
  </si>
  <si>
    <t>US-2014-150574-Consumer-Florida</t>
  </si>
  <si>
    <t>US-2014-150924-Consumer-Texas</t>
  </si>
  <si>
    <t>US-2014-151015-Consumer-Illinois</t>
  </si>
  <si>
    <t>US-2014-151925-Consumer-California</t>
  </si>
  <si>
    <t>US-2014-152030-Home Office-Texas</t>
  </si>
  <si>
    <t>US-2014-152723-Corporate-Texas</t>
  </si>
  <si>
    <t>US-2014-154655-Corporate-Illinois</t>
  </si>
  <si>
    <t>US-2014-154879-Home Office-California</t>
  </si>
  <si>
    <t>US-2014-155502-Home Office-Virginia</t>
  </si>
  <si>
    <t>US-2014-155544-Consumer-Tennessee</t>
  </si>
  <si>
    <t>US-2014-155817-Home Office-North Carolina</t>
  </si>
  <si>
    <t>US-2014-155894-Consumer-Illinois</t>
  </si>
  <si>
    <t>US-2014-156216-Corporate-North Carolina</t>
  </si>
  <si>
    <t>US-2014-156559-Consumer-Arkansas</t>
  </si>
  <si>
    <t>US-2014-157021-Consumer-California</t>
  </si>
  <si>
    <t>US-2014-157070-Corporate-Michigan</t>
  </si>
  <si>
    <t>US-2014-157231-Corporate-Kentucky</t>
  </si>
  <si>
    <t>US-2014-157385-Consumer-California</t>
  </si>
  <si>
    <t>US-2014-157406-Home Office-Texas</t>
  </si>
  <si>
    <t>US-2014-157847-Consumer-Texas</t>
  </si>
  <si>
    <t>US-2014-158057-Consumer-North Carolina</t>
  </si>
  <si>
    <t>US-2014-158365-Consumer-Indiana</t>
  </si>
  <si>
    <t>US-2014-158400-Corporate-California</t>
  </si>
  <si>
    <t>US-2014-158638-Home Office-Pennsylvania</t>
  </si>
  <si>
    <t>US-2014-159611-Consumer-Ohio</t>
  </si>
  <si>
    <t>US-2014-159618-Corporate-Texas</t>
  </si>
  <si>
    <t>US-2014-159926-Consumer-Pennsylvania</t>
  </si>
  <si>
    <t>US-2014-160444-Consumer-Texas</t>
  </si>
  <si>
    <t>US-2014-160780-Consumer-Colorado</t>
  </si>
  <si>
    <t>US-2014-161305-Consumer-Illinois</t>
  </si>
  <si>
    <t>US-2014-161613-Corporate-Texas</t>
  </si>
  <si>
    <t>US-2014-163146-Consumer-California</t>
  </si>
  <si>
    <t>US-2014-163797-Home Office-Arizona</t>
  </si>
  <si>
    <t>US-2014-164406-Consumer-California</t>
  </si>
  <si>
    <t>US-2014-164616-Consumer-Ohio</t>
  </si>
  <si>
    <t>US-2014-164644-Consumer-Texas</t>
  </si>
  <si>
    <t>US-2014-164763-Corporate-Mississippi</t>
  </si>
  <si>
    <t>US-2014-165589-Consumer-Texas</t>
  </si>
  <si>
    <t>US-2014-165659-Consumer-Arkansas</t>
  </si>
  <si>
    <t>US-2014-165862-Corporate-California</t>
  </si>
  <si>
    <t>US-2014-166310-Home Office-Texas</t>
  </si>
  <si>
    <t>US-2014-166828-Consumer-Missouri</t>
  </si>
  <si>
    <t>US-2014-167262-Consumer-Arizona</t>
  </si>
  <si>
    <t>US-2014-167633-Consumer-Florida</t>
  </si>
  <si>
    <t>US-2014-167738-Corporate-California</t>
  </si>
  <si>
    <t>US-2014-168501-Corporate-Texas</t>
  </si>
  <si>
    <t>US-2014-169390-Corporate-New York</t>
  </si>
  <si>
    <t>US-2014-169789-Corporate-Arizona</t>
  </si>
  <si>
    <t>US-2015-100069-Neil Französisch-Home Office</t>
  </si>
  <si>
    <t>US-2015-100377-Todd Sumrall-Corporate</t>
  </si>
  <si>
    <t>US-2015-100531-Neoma Murray-Consumer</t>
  </si>
  <si>
    <t>US-2015-101399-Joni Sundaresam-Home Office</t>
  </si>
  <si>
    <t>US-2015-101511-Joel Eaton-Consumer</t>
  </si>
  <si>
    <t>US-2015-103471-Jim Radford-Consumer</t>
  </si>
  <si>
    <t>US-2015-103996-Richard Bierner-Consumer</t>
  </si>
  <si>
    <t>US-2015-104185-Jennifer Braxton-Corporate</t>
  </si>
  <si>
    <t>US-2015-104430-Liz Thompson-Consumer</t>
  </si>
  <si>
    <t>US-2015-105676-Neoma Murray-Consumer</t>
  </si>
  <si>
    <t>US-2015-106495-Amy Cox-Consumer</t>
  </si>
  <si>
    <t>US-2015-106873-Kunst Miller-Consumer</t>
  </si>
  <si>
    <t>US-2015-107349-Sara Luxemburg-Home Office</t>
  </si>
  <si>
    <t>US-2015-107944-Alice McCarthy-Corporate</t>
  </si>
  <si>
    <t>US-2015-108966-Sean O'Donnell-Consumer</t>
  </si>
  <si>
    <t>US-2015-109015-Brendan Sweed-Corporate</t>
  </si>
  <si>
    <t>US-2015-110163-Guy Armstrong-Consumer</t>
  </si>
  <si>
    <t>US-2015-110261-Patrick Ryan-Consumer</t>
  </si>
  <si>
    <t>US-2015-110569-Emily Burns-Consumer</t>
  </si>
  <si>
    <t>US-2015-111927-Lycoris Saunders-Consumer</t>
  </si>
  <si>
    <t>US-2015-112508-Ben Peterman-Corporate</t>
  </si>
  <si>
    <t>US-2015-113327-Ben Ferrer-Home Office</t>
  </si>
  <si>
    <t>US-2015-113593-Nathan Cano-Consumer</t>
  </si>
  <si>
    <t>US-2015-114741-Ivan Liston-Consumer</t>
  </si>
  <si>
    <t>US-2015-114839-Pierre Wener-Consumer</t>
  </si>
  <si>
    <t>US-2015-115238-Jane Waco-Corporate</t>
  </si>
  <si>
    <t>US-2015-115343-Frank Olsen-Consumer</t>
  </si>
  <si>
    <t>US-2015-116981-Suzanne McNair-Corporate</t>
  </si>
  <si>
    <t>US-2015-117184-Odella Nelson-Corporate</t>
  </si>
  <si>
    <t>US-2015-117492-Noel Staavos-Corporate</t>
  </si>
  <si>
    <t>US-2015-118766-Lindsay Shagiari-Home Office</t>
  </si>
  <si>
    <t>US-2015-118906-Ken Black-Corporate</t>
  </si>
  <si>
    <t>US-2015-118983-Harold Pawlan-Home Office</t>
  </si>
  <si>
    <t>US-2015-119312-Christopher Schild-Home Office</t>
  </si>
  <si>
    <t>US-2015-120161-Liz MacKendrick-Consumer</t>
  </si>
  <si>
    <t>US-2015-120502-Bill Tyler-Corporate</t>
  </si>
  <si>
    <t>US-2015-120572-Gary Hwang-Consumer</t>
  </si>
  <si>
    <t>US-2015-120712-Chad Sievert-Consumer</t>
  </si>
  <si>
    <t>US-2015-120957-Kristen Hastings-Corporate</t>
  </si>
  <si>
    <t>US-2015-122140-Michael Oakman-Consumer</t>
  </si>
  <si>
    <t>US-2015-122784-Russell Applegate-Consumer</t>
  </si>
  <si>
    <t>US-2015-122910-Larry Tron-Consumer</t>
  </si>
  <si>
    <t>US-2015-123218-Katherine Ducich-Consumer</t>
  </si>
  <si>
    <t>US-2015-123918-Claire Gute-Consumer</t>
  </si>
  <si>
    <t>US-2015-123960-Brian Dahlen-Consumer</t>
  </si>
  <si>
    <t>US-2015-124219-Kelly Williams-Consumer</t>
  </si>
  <si>
    <t>US-2015-125374-Julia Dunbar-Consumer</t>
  </si>
  <si>
    <t>US-2015-126214-John Stevenson-Consumer</t>
  </si>
  <si>
    <t>US-2015-126235-Guy Armstrong-Consumer</t>
  </si>
  <si>
    <t>US-2015-126753-Sung Pak-Corporate</t>
  </si>
  <si>
    <t>US-2015-126977-Peter Fuller-Consumer</t>
  </si>
  <si>
    <t>US-2015-127040-Speros Goranitis-Consumer</t>
  </si>
  <si>
    <t>US-2015-128090-John Murray-Consumer</t>
  </si>
  <si>
    <t>US-2015-128587-Harry Marie-Corporate</t>
  </si>
  <si>
    <t>US-2015-129007-Ken Dana-Corporate</t>
  </si>
  <si>
    <t>US-2015-129553-Patrick Gardner-Consumer</t>
  </si>
  <si>
    <t>US-2015-129637-Mick Crebagga-Consumer</t>
  </si>
  <si>
    <t>US-2015-130491-Brosina Hoffman-Consumer</t>
  </si>
  <si>
    <t>US-2015-130512-Sean Miller-Home Office</t>
  </si>
  <si>
    <t>US-2015-130519-Nat Gilpin-Corporate</t>
  </si>
  <si>
    <t>US-2015-131359-Frank Atkinson-Corporate</t>
  </si>
  <si>
    <t>US-2015-131842-Rick Reed-Corporate</t>
  </si>
  <si>
    <t>US-2015-132836-Ashley Jarboe-Consumer</t>
  </si>
  <si>
    <t>US-2015-134026-Joel Eaton-Consumer</t>
  </si>
  <si>
    <t>US-2015-134271-Roland Fjeld-Consumer</t>
  </si>
  <si>
    <t>US-2015-134558-Peter McVee-Home Office</t>
  </si>
  <si>
    <t>US-2015-136259-Christy Brittain-Consumer</t>
  </si>
  <si>
    <t>US-2015-136427-Justin MacKendrick-Consumer</t>
  </si>
  <si>
    <t>US-2015-136476-Greg Guthrie-Corporate</t>
  </si>
  <si>
    <t>US-2015-136749-Lena Hernandez-Consumer</t>
  </si>
  <si>
    <t>US-2015-136987-Andy Reiter-Consumer</t>
  </si>
  <si>
    <t>US-2015-137008-Jennifer Patt-Corporate</t>
  </si>
  <si>
    <t>US-2015-137533-Jim Kriz-Home Office</t>
  </si>
  <si>
    <t>US-2015-137960-Mitch Webber-Consumer</t>
  </si>
  <si>
    <t>US-2015-138093-Kalyca Meade-Corporate</t>
  </si>
  <si>
    <t>US-2015-138121-John Lee-Consumer</t>
  </si>
  <si>
    <t>US-2015-138303-Mike Gockenbach-Consumer</t>
  </si>
  <si>
    <t>US-2015-138716-Cari Sayre-Corporate</t>
  </si>
  <si>
    <t>US-2015-138919-Lindsay Shagiari-Home Office</t>
  </si>
  <si>
    <t>US-2015-139675-Nicole Fjeld-Home Office</t>
  </si>
  <si>
    <t>US-2015-139759-Nancy Lomonaco-Home Office</t>
  </si>
  <si>
    <t>US-2015-140200-Cynthia Arntzen-Consumer</t>
  </si>
  <si>
    <t>US-2015-140851-Neil Ducich-Corporate</t>
  </si>
  <si>
    <t>US-2015-141453-Deborah Brumfield-Home Office</t>
  </si>
  <si>
    <t>US-2015-141684-Michelle Moray-Consumer</t>
  </si>
  <si>
    <t>US-2015-142020-Tracy Collins-Home Office</t>
  </si>
  <si>
    <t>US-2015-142811-John Lucas-Consumer</t>
  </si>
  <si>
    <t>US-2015-144771-Chloris Kastensmidt-Consumer</t>
  </si>
  <si>
    <t>US-2015-145121-Michael Paige-Corporate</t>
  </si>
  <si>
    <t>US-2015-145422-Pierre Wener-Consumer</t>
  </si>
  <si>
    <t>US-2015-145436-Valerie Dominguez-Consumer</t>
  </si>
  <si>
    <t>US-2015-146745-Ann Steele-Home Office</t>
  </si>
  <si>
    <t>US-2015-147242-Edward Hooks-Corporate</t>
  </si>
  <si>
    <t>US-2015-147662-Karl Braun-Consumer</t>
  </si>
  <si>
    <t>US-2015-147739-Justin Deggeller-Corporate</t>
  </si>
  <si>
    <t>US-2015-148817-Keith Dawkins-Corporate</t>
  </si>
  <si>
    <t>US-2015-149629-Michael Paige-Corporate</t>
  </si>
  <si>
    <t>US-2015-149692-Katrina Willman-Consumer</t>
  </si>
  <si>
    <t>US-2015-150161-Ross Baird-Home Office</t>
  </si>
  <si>
    <t>US-2015-150231-Jim Kriz-Home Office</t>
  </si>
  <si>
    <t>US-2015-150630-Tracy Blumstein-Consumer</t>
  </si>
  <si>
    <t>US-2015-151407-Rob Dowd-Consumer</t>
  </si>
  <si>
    <t>US-2015-151435-Shaun Weien-Consumer</t>
  </si>
  <si>
    <t>US-2015-152128-Nathan Mautz-Home Office</t>
  </si>
  <si>
    <t>US-2015-153283-Eugene Barchas-Consumer</t>
  </si>
  <si>
    <t>US-2015-153374-Jill Fjeld-Consumer</t>
  </si>
  <si>
    <t>US-2015-153500-Deirdre Greer-Corporate</t>
  </si>
  <si>
    <t>US-2015-154389-Eugene Hildebrand-Home Office</t>
  </si>
  <si>
    <t>US-2015-155369-Patrick Gardner-Consumer</t>
  </si>
  <si>
    <t>US-2015-156496-William Brown-Consumer</t>
  </si>
  <si>
    <t>US-2015-156797-Philisse Overcash-Home Office</t>
  </si>
  <si>
    <t>US-2015-156867-Lena Cacioppo-Consumer</t>
  </si>
  <si>
    <t>US-2015-157014-Bryan Mills-Consumer</t>
  </si>
  <si>
    <t>US-2015-157154-Michael Moore-Consumer</t>
  </si>
  <si>
    <t>US-2015-158589-Kelly Williams-Consumer</t>
  </si>
  <si>
    <t>US-2015-158911-Roland Schwarz-Corporate</t>
  </si>
  <si>
    <t>US-2015-159499-Eudokia Martin-Corporate</t>
  </si>
  <si>
    <t>US-2015-159513-John Dryer-Consumer</t>
  </si>
  <si>
    <t>US-2015-159982-Dan Reichenbach-Corporate</t>
  </si>
  <si>
    <t>US-2015-160150-Thais Sissman-Consumer</t>
  </si>
  <si>
    <t>US-2015-160563-Noel Staavos-Corporate</t>
  </si>
  <si>
    <t>US-2015-160857-Natalie Webber-Consumer</t>
  </si>
  <si>
    <t>US-2015-161347-Harry Greene-Consumer</t>
  </si>
  <si>
    <t>US-2015-161466-Odella Nelson-Corporate</t>
  </si>
  <si>
    <t>US-2015-161991-Steven Cartwright-Consumer</t>
  </si>
  <si>
    <t>US-2015-163279-Justin Deggeller-Corporate</t>
  </si>
  <si>
    <t>US-2015-163433-Michael Paige-Corporate</t>
  </si>
  <si>
    <t>US-2015-163685-Katrina Edelman-Corporate</t>
  </si>
  <si>
    <t>US-2015-163783-Daniel Raglin-Home Office</t>
  </si>
  <si>
    <t>US-2015-163825-Lena Creighton-Consumer</t>
  </si>
  <si>
    <t>US-2015-164175-Paul Stevenson-Home Office</t>
  </si>
  <si>
    <t>US-2015-164238-Joni Wasserman-Consumer</t>
  </si>
  <si>
    <t>US-2015-164308-Steve Carroll-Home Office</t>
  </si>
  <si>
    <t>US-2015-164357-Sandra Flanagan-Consumer</t>
  </si>
  <si>
    <t>US-2015-164448-Damala Kotsonis-Corporate</t>
  </si>
  <si>
    <t>US-2015-164966-Gary Hansen-Home Office</t>
  </si>
  <si>
    <t>US-2015-165449-Anne Pryor-Home Office</t>
  </si>
  <si>
    <t>US-2015-165512-Vivek Sundaresam-Consumer</t>
  </si>
  <si>
    <t>US-2015-165743-Michelle Moray-Consumer</t>
  </si>
  <si>
    <t>US-2015-166520-Katrina Edelman-Corporate</t>
  </si>
  <si>
    <t>US-2015-167220-Joni Blumstein-Consumer</t>
  </si>
  <si>
    <t>US-2015-168704-Frank Preis-Consumer</t>
  </si>
  <si>
    <t>US-2015-168732-Khloe Miller-Consumer</t>
  </si>
  <si>
    <t>US-2015-168914-Joel Eaton-Consumer</t>
  </si>
  <si>
    <t>US-2015-168935-Denny Ordway-Consumer</t>
  </si>
  <si>
    <t>Валюта</t>
  </si>
  <si>
    <t>Курс</t>
  </si>
  <si>
    <t>UAH</t>
  </si>
  <si>
    <t>USD</t>
  </si>
  <si>
    <t>EUR</t>
  </si>
  <si>
    <t>Seles_in_selected_currency</t>
  </si>
  <si>
    <t>Order Date - Рік</t>
  </si>
  <si>
    <t>Order Date - Рік і місяць</t>
  </si>
  <si>
    <t>Central</t>
  </si>
  <si>
    <t>East</t>
  </si>
  <si>
    <t>South</t>
  </si>
  <si>
    <t>West</t>
  </si>
  <si>
    <t>2014</t>
  </si>
  <si>
    <t>2015</t>
  </si>
  <si>
    <t>2015-січ.</t>
  </si>
  <si>
    <t xml:space="preserve">        Technology Sales Analysis Dashboard </t>
  </si>
  <si>
    <t>2015-лют.</t>
  </si>
  <si>
    <t>2015-бер.</t>
  </si>
  <si>
    <t>2015-квіт.</t>
  </si>
  <si>
    <t>Years</t>
  </si>
  <si>
    <t>Currency exchange rate</t>
  </si>
  <si>
    <t>2015-трав.</t>
  </si>
  <si>
    <t>Sales_in_selected_currency</t>
  </si>
  <si>
    <t>2015-черв.</t>
  </si>
  <si>
    <t>Consumer</t>
  </si>
  <si>
    <t>2015-лип.</t>
  </si>
  <si>
    <t>Corporate</t>
  </si>
  <si>
    <t>2015-серп.</t>
  </si>
  <si>
    <t>Home Office</t>
  </si>
  <si>
    <t>2015-вер.</t>
  </si>
  <si>
    <t>Загальний результат</t>
  </si>
  <si>
    <t>2015-жовт.</t>
  </si>
  <si>
    <t>2015-лист.</t>
  </si>
  <si>
    <t>2015-груд.</t>
  </si>
  <si>
    <t>SUM з Quantity</t>
  </si>
  <si>
    <t>SUM з Sales</t>
  </si>
  <si>
    <t>Quincy Jones</t>
  </si>
  <si>
    <t>Joseph Holt</t>
  </si>
  <si>
    <t>Ellis Ballard</t>
  </si>
  <si>
    <t>Tracy Blumstein</t>
  </si>
  <si>
    <t>Katrina Willman</t>
  </si>
  <si>
    <t>Lena Creighton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</si>
</sst>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yyyy"/>
    <numFmt numFmtId="167" formatCode="m/d/yyyy h:mm:ss"/>
  </numFmts>
  <fonts count="13">
    <font>
      <sz val="10.0"/>
      <color rgb="FF000000"/>
      <name val="Verdana"/>
      <scheme val="minor"/>
    </font>
    <font>
      <b/>
      <color rgb="FFFFFFFF"/>
      <name val="Arial"/>
    </font>
    <font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sz val="9.0"/>
      <color rgb="FF000000"/>
      <name val="&quot;Google Sans Mono&quot;"/>
    </font>
    <font>
      <color theme="1"/>
      <name val="Verdana"/>
      <scheme val="minor"/>
    </font>
    <font>
      <b/>
      <color theme="1"/>
      <name val="Verdana"/>
      <scheme val="minor"/>
    </font>
    <font>
      <sz val="17.0"/>
      <color rgb="FFFFFFFF"/>
      <name val="Verdana"/>
      <scheme val="minor"/>
    </font>
    <font/>
    <font>
      <b/>
      <sz val="16.0"/>
      <color rgb="FFFFFFFF"/>
      <name val="Verdana"/>
      <scheme val="minor"/>
    </font>
    <font>
      <sz val="11.0"/>
      <color rgb="FFFFFFFF"/>
      <name val="Verdana"/>
      <scheme val="minor"/>
    </font>
    <font>
      <color rgb="FFFFFFFF"/>
      <name val="Verdana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1" fillId="4" fontId="3" numFmtId="0" xfId="0" applyAlignment="1" applyBorder="1" applyFill="1" applyFont="1">
      <alignment horizontal="center" vertical="bottom"/>
    </xf>
    <xf borderId="1" fillId="4" fontId="3" numFmtId="164" xfId="0" applyAlignment="1" applyBorder="1" applyFont="1" applyNumberFormat="1">
      <alignment horizontal="center" vertical="bottom"/>
    </xf>
    <xf borderId="1" fillId="4" fontId="3" numFmtId="4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5" fontId="5" numFmtId="0" xfId="0" applyFill="1" applyFont="1"/>
    <xf borderId="0" fillId="0" fontId="2" numFmtId="16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6" numFmtId="0" xfId="0" applyFont="1"/>
    <xf borderId="0" fillId="0" fontId="6" numFmtId="0" xfId="0" applyFont="1"/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Font="1"/>
    <xf borderId="0" fillId="6" fontId="6" numFmtId="0" xfId="0" applyFill="1" applyFont="1"/>
    <xf borderId="0" fillId="0" fontId="6" numFmtId="167" xfId="0" applyFont="1" applyNumberFormat="1"/>
    <xf borderId="0" fillId="0" fontId="6" numFmtId="3" xfId="0" applyFont="1" applyNumberFormat="1"/>
    <xf borderId="2" fillId="6" fontId="8" numFmtId="0" xfId="0" applyAlignment="1" applyBorder="1" applyFont="1">
      <alignment horizontal="left" readingOrder="0" vertical="center"/>
    </xf>
    <xf borderId="2" fillId="0" fontId="9" numFmtId="0" xfId="0" applyBorder="1" applyFont="1"/>
    <xf borderId="0" fillId="6" fontId="10" numFmtId="0" xfId="0" applyAlignment="1" applyFont="1">
      <alignment horizontal="left" readingOrder="0" vertical="center"/>
    </xf>
    <xf borderId="0" fillId="7" fontId="6" numFmtId="0" xfId="0" applyFill="1" applyFont="1"/>
    <xf borderId="0" fillId="7" fontId="11" numFmtId="0" xfId="0" applyAlignment="1" applyFont="1">
      <alignment readingOrder="0"/>
    </xf>
    <xf borderId="0" fillId="7" fontId="6" numFmtId="0" xfId="0" applyAlignment="1" applyFont="1">
      <alignment readingOrder="0"/>
    </xf>
    <xf borderId="3" fillId="7" fontId="12" numFmtId="0" xfId="0" applyAlignment="1" applyBorder="1" applyFont="1">
      <alignment horizontal="center"/>
    </xf>
    <xf borderId="0" fillId="0" fontId="6" numFmtId="1" xfId="0" applyFont="1" applyNumberFormat="1"/>
    <xf borderId="0" fillId="8" fontId="6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Аркуш7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838383"/>
                </a:solidFill>
                <a:latin typeface="+mn-lt"/>
              </a:defRPr>
            </a:pPr>
            <a:r>
              <a:rPr b="1" sz="2400">
                <a:solidFill>
                  <a:srgbClr val="838383"/>
                </a:solidFill>
                <a:latin typeface="+mn-lt"/>
              </a:rPr>
              <a:t>Sales by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Pt>
            <c:idx val="3"/>
            <c:spPr>
              <a:solidFill>
                <a:srgbClr val="EB560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Sales_Analysis_dashboard!$G$8:$G$11</c:f>
            </c:strRef>
          </c:cat>
          <c:val>
            <c:numRef>
              <c:f>Sales_Analysis_dashboard!$H$8:$H$11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838383"/>
                </a:solidFill>
                <a:latin typeface="+mn-lt"/>
              </a:defRPr>
            </a:pPr>
            <a:r>
              <a:rPr b="1" sz="2400">
                <a:solidFill>
                  <a:srgbClr val="838383"/>
                </a:solidFill>
                <a:latin typeface="+mn-lt"/>
              </a:rPr>
              <a:t>Changes in sales by region during the selected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Sales_Analysis_dashboard!$B$2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Sales_Analysis_dashboard!$A$3:$A$14</c:f>
            </c:strRef>
          </c:cat>
          <c:val>
            <c:numRef>
              <c:f>Sales_Analysis_dashboard!$B$3:$B$14</c:f>
              <c:numCache/>
            </c:numRef>
          </c:val>
          <c:smooth val="1"/>
        </c:ser>
        <c:ser>
          <c:idx val="1"/>
          <c:order val="1"/>
          <c:tx>
            <c:strRef>
              <c:f>Sales_Analysis_dashboard!$C$2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Sales_Analysis_dashboard!$A$3:$A$14</c:f>
            </c:strRef>
          </c:cat>
          <c:val>
            <c:numRef>
              <c:f>Sales_Analysis_dashboard!$C$3:$C$14</c:f>
              <c:numCache/>
            </c:numRef>
          </c:val>
          <c:smooth val="1"/>
        </c:ser>
        <c:ser>
          <c:idx val="2"/>
          <c:order val="2"/>
          <c:tx>
            <c:strRef>
              <c:f>Sales_Analysis_dashboard!$D$2</c:f>
            </c:strRef>
          </c:tx>
          <c:spPr>
            <a:ln cmpd="sng">
              <a:solidFill>
                <a:srgbClr val="1F3E78"/>
              </a:solidFill>
            </a:ln>
          </c:spPr>
          <c:marker>
            <c:symbol val="none"/>
          </c:marker>
          <c:cat>
            <c:strRef>
              <c:f>Sales_Analysis_dashboard!$A$3:$A$14</c:f>
            </c:strRef>
          </c:cat>
          <c:val>
            <c:numRef>
              <c:f>Sales_Analysis_dashboard!$D$3:$D$14</c:f>
              <c:numCache/>
            </c:numRef>
          </c:val>
          <c:smooth val="1"/>
        </c:ser>
        <c:ser>
          <c:idx val="3"/>
          <c:order val="3"/>
          <c:tx>
            <c:strRef>
              <c:f>Sales_Analysis_dashboard!$E$2</c:f>
            </c:strRef>
          </c:tx>
          <c:spPr>
            <a:ln cmpd="sng">
              <a:solidFill>
                <a:srgbClr val="EB5600"/>
              </a:solidFill>
            </a:ln>
          </c:spPr>
          <c:marker>
            <c:symbol val="none"/>
          </c:marker>
          <c:cat>
            <c:strRef>
              <c:f>Sales_Analysis_dashboard!$A$3:$A$14</c:f>
            </c:strRef>
          </c:cat>
          <c:val>
            <c:numRef>
              <c:f>Sales_Analysis_dashboard!$E$3:$E$14</c:f>
              <c:numCache/>
            </c:numRef>
          </c:val>
          <c:smooth val="1"/>
        </c:ser>
        <c:axId val="1619101329"/>
        <c:axId val="1153562093"/>
      </c:lineChart>
      <c:catAx>
        <c:axId val="1619101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53562093"/>
      </c:catAx>
      <c:valAx>
        <c:axId val="115356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1910132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838383"/>
                </a:solidFill>
                <a:latin typeface="+mn-lt"/>
              </a:defRPr>
            </a:pPr>
            <a:r>
              <a:rPr b="1" sz="2400">
                <a:solidFill>
                  <a:srgbClr val="838383"/>
                </a:solidFill>
                <a:latin typeface="+mn-lt"/>
              </a:rPr>
              <a:t>Total Sales by Segment (2014-2015)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Sales_Analysis_dashboard!$H$23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Sales_Analysis_dashboard!$G$24:$G$31</c:f>
            </c:strRef>
          </c:cat>
          <c:val>
            <c:numRef>
              <c:f>Sales_Analysis_dashboard!$H$24:$H$31</c:f>
              <c:numCache/>
            </c:numRef>
          </c:val>
        </c:ser>
        <c:axId val="119509032"/>
        <c:axId val="1570105297"/>
      </c:barChart>
      <c:catAx>
        <c:axId val="1195090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570105297"/>
      </c:catAx>
      <c:valAx>
        <c:axId val="15701052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95090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838383"/>
                </a:solidFill>
                <a:latin typeface="+mn-lt"/>
              </a:defRPr>
            </a:pPr>
            <a:r>
              <a:rPr b="1" sz="2400">
                <a:solidFill>
                  <a:srgbClr val="838383"/>
                </a:solidFill>
                <a:latin typeface="+mn-lt"/>
              </a:rPr>
              <a:t>Sales by Region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Sales_Analysis_dashboard!$B$2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Sales_Analysis_dashboard!$A$3:$A$14</c:f>
            </c:strRef>
          </c:cat>
          <c:val>
            <c:numRef>
              <c:f>Sales_Analysis_dashboard!$B$3:$B$14</c:f>
              <c:numCache/>
            </c:numRef>
          </c:val>
        </c:ser>
        <c:ser>
          <c:idx val="1"/>
          <c:order val="1"/>
          <c:tx>
            <c:strRef>
              <c:f>Sales_Analysis_dashboard!$C$2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Sales_Analysis_dashboard!$A$3:$A$14</c:f>
            </c:strRef>
          </c:cat>
          <c:val>
            <c:numRef>
              <c:f>Sales_Analysis_dashboard!$C$3:$C$14</c:f>
              <c:numCache/>
            </c:numRef>
          </c:val>
        </c:ser>
        <c:ser>
          <c:idx val="2"/>
          <c:order val="2"/>
          <c:tx>
            <c:strRef>
              <c:f>Sales_Analysis_dashboard!$D$2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Sales_Analysis_dashboard!$A$3:$A$14</c:f>
            </c:strRef>
          </c:cat>
          <c:val>
            <c:numRef>
              <c:f>Sales_Analysis_dashboard!$D$3:$D$14</c:f>
              <c:numCache/>
            </c:numRef>
          </c:val>
        </c:ser>
        <c:ser>
          <c:idx val="3"/>
          <c:order val="3"/>
          <c:tx>
            <c:strRef>
              <c:f>Sales_Analysis_dashboard!$E$2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Sales_Analysis_dashboard!$A$3:$A$14</c:f>
            </c:strRef>
          </c:cat>
          <c:val>
            <c:numRef>
              <c:f>Sales_Analysis_dashboard!$E$3:$E$14</c:f>
              <c:numCache/>
            </c:numRef>
          </c:val>
        </c:ser>
        <c:overlap val="100"/>
        <c:axId val="134247692"/>
        <c:axId val="460350114"/>
      </c:barChart>
      <c:catAx>
        <c:axId val="13424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60350114"/>
      </c:catAx>
      <c:valAx>
        <c:axId val="46035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4247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200025</xdr:colOff>
      <xdr:row>8</xdr:row>
      <xdr:rowOff>104775</xdr:rowOff>
    </xdr:from>
    <xdr:ext cx="7019925" cy="4362450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133350</xdr:colOff>
      <xdr:row>8</xdr:row>
      <xdr:rowOff>104775</xdr:rowOff>
    </xdr:from>
    <xdr:ext cx="7305675" cy="4362450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200025</xdr:colOff>
      <xdr:row>30</xdr:row>
      <xdr:rowOff>133350</xdr:rowOff>
    </xdr:from>
    <xdr:ext cx="7019925" cy="4400550"/>
    <xdr:graphicFrame>
      <xdr:nvGraphicFramePr>
        <xdr:cNvPr id="3" name="Chart 3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133350</xdr:colOff>
      <xdr:row>30</xdr:row>
      <xdr:rowOff>133350</xdr:rowOff>
    </xdr:from>
    <xdr:ext cx="7305675" cy="4400550"/>
    <xdr:graphicFrame>
      <xdr:nvGraphicFramePr>
        <xdr:cNvPr id="4" name="Chart 4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008" sheet="ДАНІ"/>
  </cacheSource>
  <cacheFields>
    <cacheField name="Order ID" numFmtId="0">
      <sharedItems>
        <s v="CA-2014-100006"/>
        <s v="CA-2014-100090"/>
        <s v="CA-2014-100293"/>
        <s v="CA-2014-100328"/>
        <s v="CA-2014-100363"/>
        <s v="CA-2014-100391"/>
        <s v="CA-2014-100678"/>
        <s v="CA-2014-100706"/>
        <s v="CA-2014-100762"/>
        <s v="CA-2014-100860"/>
        <s v="CA-2014-100867"/>
        <s v="CA-2014-100881"/>
        <s v="CA-2014-100895"/>
        <s v="CA-2014-100916"/>
        <s v="CA-2014-100972"/>
        <s v="CA-2014-101147"/>
        <s v="CA-2014-101175"/>
        <s v="CA-2014-101266"/>
        <s v="CA-2014-101364"/>
        <s v="CA-2014-101392"/>
        <s v="CA-2014-101427"/>
        <s v="CA-2014-101462"/>
        <s v="CA-2014-101476"/>
        <s v="CA-2014-101560"/>
        <s v="CA-2014-101602"/>
        <s v="CA-2014-101770"/>
        <s v="CA-2014-101833"/>
        <s v="CA-2014-101931"/>
        <s v="CA-2014-102008"/>
        <s v="CA-2014-102085"/>
        <s v="CA-2014-102274"/>
        <s v="CA-2014-102295"/>
        <s v="CA-2014-102330"/>
        <s v="CA-2014-102645"/>
        <s v="CA-2014-102652"/>
        <s v="CA-2014-102673"/>
        <s v="CA-2014-102869"/>
        <s v="CA-2014-102988"/>
        <s v="CA-2014-103058"/>
        <s v="CA-2014-103086"/>
        <s v="CA-2014-103100"/>
        <s v="CA-2014-103191"/>
        <s v="CA-2014-103219"/>
        <s v="CA-2014-103310"/>
        <s v="CA-2014-103317"/>
        <s v="CA-2014-103331"/>
        <s v="CA-2014-103366"/>
        <s v="CA-2014-103373"/>
        <s v="CA-2014-103401"/>
        <s v="CA-2014-103429"/>
        <s v="CA-2014-103492"/>
        <s v="CA-2014-103527"/>
        <s v="CA-2014-103590"/>
        <s v="CA-2014-103660"/>
        <s v="CA-2014-103702"/>
        <s v="CA-2014-103744"/>
        <s v="CA-2014-103800"/>
        <s v="CA-2014-103807"/>
        <s v="CA-2014-103849"/>
        <s v="CA-2014-103940"/>
        <s v="CA-2014-103989"/>
        <s v="CA-2014-104178"/>
        <s v="CA-2014-104269"/>
        <s v="CA-2014-104283"/>
        <s v="CA-2014-104402"/>
        <s v="CA-2014-104472"/>
        <s v="CA-2014-104563"/>
        <s v="CA-2014-104738"/>
        <s v="CA-2014-104773"/>
        <s v="CA-2014-104780"/>
        <s v="CA-2014-104808"/>
        <s v="CA-2014-104829"/>
        <s v="CA-2014-104976"/>
        <s v="CA-2014-105165"/>
        <s v="CA-2014-105172"/>
        <s v="CA-2014-105249"/>
        <s v="CA-2014-105270"/>
        <s v="CA-2014-105340"/>
        <s v="CA-2014-105417"/>
        <s v="CA-2014-105648"/>
        <s v="CA-2014-105872"/>
        <s v="CA-2014-105893"/>
        <s v="CA-2014-105984"/>
        <s v="CA-2014-106054"/>
        <s v="CA-2014-106229"/>
        <s v="CA-2014-106264"/>
        <s v="CA-2014-106376"/>
        <s v="CA-2014-106439"/>
        <s v="CA-2014-106572"/>
        <s v="CA-2014-106719"/>
        <s v="CA-2014-106726"/>
        <s v="CA-2014-106803"/>
        <s v="CA-2014-106810"/>
        <s v="CA-2014-106971"/>
        <s v="CA-2014-107139"/>
        <s v="CA-2014-107153"/>
        <s v="CA-2014-107181"/>
        <s v="CA-2014-107398"/>
        <s v="CA-2014-107454"/>
        <s v="CA-2014-107524"/>
        <s v="CA-2014-107573"/>
        <s v="CA-2014-107594"/>
        <s v="CA-2014-107706"/>
        <s v="CA-2014-107755"/>
        <s v="CA-2014-107769"/>
        <s v="CA-2014-107811"/>
        <s v="CA-2014-107818"/>
        <s v="CA-2014-107916"/>
        <s v="CA-2014-108147"/>
        <s v="CA-2014-108182"/>
        <s v="CA-2014-108189"/>
        <s v="CA-2014-108273"/>
        <s v="CA-2014-108609"/>
        <s v="CA-2014-108707"/>
        <s v="CA-2014-108861"/>
        <s v="CA-2014-108903"/>
        <s v="CA-2014-109043"/>
        <s v="CA-2014-109127"/>
        <s v="CA-2014-109134"/>
        <s v="CA-2014-109218"/>
        <s v="CA-2014-109232"/>
        <s v="CA-2014-109302"/>
        <s v="CA-2014-109491"/>
        <s v="CA-2014-109680"/>
        <s v="CA-2014-109855"/>
        <s v="CA-2014-109890"/>
        <s v="CA-2014-109897"/>
        <s v="CA-2014-109904"/>
        <s v="CA-2014-109918"/>
        <s v="CA-2014-109932"/>
        <s v="CA-2014-110030"/>
        <s v="CA-2014-110065"/>
        <s v="CA-2014-110072"/>
        <s v="CA-2014-110100"/>
        <s v="CA-2014-110184"/>
        <s v="CA-2014-110219"/>
        <s v="CA-2014-110352"/>
        <s v="CA-2014-110408"/>
        <s v="CA-2014-110422"/>
        <s v="CA-2014-110527"/>
        <s v="CA-2014-110555"/>
        <s v="CA-2014-110611"/>
        <s v="CA-2014-110639"/>
        <s v="CA-2014-110786"/>
        <s v="CA-2014-110849"/>
        <s v="CA-2014-111003"/>
        <s v="CA-2014-111059"/>
        <s v="CA-2014-111150"/>
        <s v="CA-2014-111157"/>
        <s v="CA-2014-111192"/>
        <s v="CA-2014-111360"/>
        <s v="CA-2014-111451"/>
        <s v="CA-2014-111500"/>
        <s v="CA-2014-111773"/>
        <s v="CA-2014-111857"/>
        <s v="CA-2014-111871"/>
        <s v="CA-2014-111899"/>
        <s v="CA-2014-111934"/>
        <s v="CA-2014-111962"/>
        <s v="CA-2014-112158"/>
        <s v="CA-2014-112291"/>
        <s v="CA-2014-112326"/>
        <s v="CA-2014-112403"/>
        <s v="CA-2014-112718"/>
        <s v="CA-2014-112837"/>
        <s v="CA-2014-112851"/>
        <s v="CA-2014-113047"/>
        <s v="CA-2014-113166"/>
        <s v="CA-2014-113257"/>
        <s v="CA-2014-113271"/>
        <s v="CA-2014-113320"/>
        <s v="CA-2014-113362"/>
        <s v="CA-2014-113383"/>
        <s v="CA-2014-113579"/>
        <s v="CA-2014-113768"/>
        <s v="CA-2014-113859"/>
        <s v="CA-2014-113880"/>
        <s v="CA-2014-113887"/>
        <s v="CA-2014-113929"/>
        <s v="CA-2014-113964"/>
        <s v="CA-2014-114125"/>
        <s v="CA-2014-114181"/>
        <s v="CA-2014-114195"/>
        <s v="CA-2014-114251"/>
        <s v="CA-2014-114314"/>
        <s v="CA-2014-114321"/>
        <s v="CA-2014-114335"/>
        <s v="CA-2014-114433"/>
        <s v="CA-2014-114510"/>
        <s v="CA-2014-114517"/>
        <s v="CA-2014-114643"/>
        <s v="CA-2014-114790"/>
        <s v="CA-2014-115049"/>
        <s v="CA-2014-115056"/>
        <s v="CA-2014-115084"/>
        <s v="CA-2014-115133"/>
        <s v="CA-2014-115161"/>
        <s v="CA-2014-115259"/>
        <s v="CA-2014-115336"/>
        <s v="CA-2014-115357"/>
        <s v="CA-2014-115791"/>
        <s v="CA-2014-115812"/>
        <s v="CA-2014-115889"/>
        <s v="CA-2014-115973"/>
        <s v="CA-2014-115980"/>
        <s v="CA-2014-116190"/>
        <s v="CA-2014-116239"/>
        <s v="CA-2014-116246"/>
        <s v="CA-2014-116407"/>
        <s v="CA-2014-116568"/>
        <s v="CA-2014-116666"/>
        <s v="CA-2014-116673"/>
        <s v="CA-2014-116757"/>
        <s v="CA-2014-116785"/>
        <s v="CA-2014-116834"/>
        <s v="CA-2014-116904"/>
        <s v="CA-2014-116932"/>
        <s v="CA-2014-117016"/>
        <s v="CA-2014-117317"/>
        <s v="CA-2014-117345"/>
        <s v="CA-2014-117429"/>
        <s v="CA-2014-117464"/>
        <s v="CA-2014-117478"/>
        <s v="CA-2014-117639"/>
        <s v="CA-2014-117709"/>
        <s v="CA-2014-117765"/>
        <s v="CA-2014-118192"/>
        <s v="CA-2014-118276"/>
        <s v="CA-2014-118304"/>
        <s v="CA-2014-118339"/>
        <s v="CA-2014-118962"/>
        <s v="CA-2014-118976"/>
        <s v="CA-2014-119032"/>
        <s v="CA-2014-119144"/>
        <s v="CA-2014-119151"/>
        <s v="CA-2014-119172"/>
        <s v="CA-2014-119375"/>
        <s v="CA-2014-119466"/>
        <s v="CA-2014-119529"/>
        <s v="CA-2014-119977"/>
        <s v="CA-2014-120096"/>
        <s v="CA-2014-120243"/>
        <s v="CA-2014-120278"/>
        <s v="CA-2014-120411"/>
        <s v="CA-2014-120432"/>
        <s v="CA-2014-120474"/>
        <s v="CA-2014-120544"/>
        <s v="CA-2014-120670"/>
        <s v="CA-2014-120768"/>
        <s v="CA-2014-120775"/>
        <s v="CA-2014-120838"/>
        <s v="CA-2014-120852"/>
        <s v="CA-2014-120887"/>
        <s v="CA-2014-120950"/>
        <s v="CA-2014-121006"/>
        <s v="CA-2014-121167"/>
        <s v="CA-2014-121286"/>
        <s v="CA-2014-121573"/>
        <s v="CA-2014-121629"/>
        <s v="CA-2014-121664"/>
        <s v="CA-2014-121727"/>
        <s v="CA-2014-121762"/>
        <s v="CA-2014-121769"/>
        <s v="CA-2014-122070"/>
        <s v="CA-2014-122217"/>
        <s v="CA-2014-122336"/>
        <s v="CA-2014-122567"/>
        <s v="CA-2014-122588"/>
        <s v="CA-2014-122609"/>
        <s v="CA-2014-122679"/>
        <s v="CA-2014-122749"/>
        <s v="CA-2014-122882"/>
        <s v="CA-2014-122931"/>
        <s v="CA-2014-123064"/>
        <s v="CA-2014-123127"/>
        <s v="CA-2014-123225"/>
        <s v="CA-2014-123253"/>
        <s v="CA-2014-123260"/>
        <s v="CA-2014-123295"/>
        <s v="CA-2014-123316"/>
        <s v="CA-2014-123323"/>
        <s v="CA-2014-123344"/>
        <s v="CA-2014-123400"/>
        <s v="CA-2014-123477"/>
        <s v="CA-2014-123498"/>
        <s v="CA-2014-123855"/>
        <s v="CA-2014-123925"/>
        <s v="CA-2014-124023"/>
        <s v="CA-2014-124079"/>
        <s v="CA-2014-124247"/>
        <s v="CA-2014-124394"/>
        <s v="CA-2014-124429"/>
        <s v="CA-2014-124464"/>
        <s v="CA-2014-124478"/>
        <s v="CA-2014-124513"/>
        <s v="CA-2014-124618"/>
        <s v="CA-2014-124646"/>
        <s v="CA-2014-124688"/>
        <s v="CA-2014-124702"/>
        <s v="CA-2014-124709"/>
        <s v="CA-2014-124723"/>
        <s v="CA-2014-124730"/>
        <s v="CA-2014-124737"/>
        <s v="CA-2014-124807"/>
        <s v="CA-2014-124856"/>
        <s v="CA-2014-125136"/>
        <s v="CA-2014-125150"/>
        <s v="CA-2014-125171"/>
        <s v="CA-2014-125514"/>
        <s v="CA-2014-125542"/>
        <s v="CA-2014-125556"/>
        <s v="CA-2014-125612"/>
        <s v="CA-2014-125682"/>
        <s v="CA-2014-125731"/>
        <s v="CA-2014-125759"/>
        <s v="CA-2014-125829"/>
        <s v="CA-2014-125997"/>
        <s v="CA-2014-126032"/>
        <s v="CA-2014-126193"/>
        <s v="CA-2014-126200"/>
        <s v="CA-2014-126277"/>
        <s v="CA-2014-126333"/>
        <s v="CA-2014-126361"/>
        <s v="CA-2014-126403"/>
        <s v="CA-2014-126480"/>
        <s v="CA-2014-126522"/>
        <s v="CA-2014-126683"/>
        <s v="CA-2014-126760"/>
        <s v="CA-2014-126802"/>
        <s v="CA-2014-126907"/>
        <s v="CA-2014-126963"/>
        <s v="CA-2014-127012"/>
        <s v="CA-2014-127131"/>
        <s v="CA-2014-127159"/>
        <s v="CA-2014-127166"/>
        <s v="CA-2014-127187"/>
        <s v="CA-2014-127299"/>
        <s v="CA-2014-127383"/>
        <s v="CA-2014-127446"/>
        <s v="CA-2014-127488"/>
        <s v="CA-2014-127523"/>
        <s v="CA-2014-127558"/>
        <s v="CA-2014-127586"/>
        <s v="CA-2014-127614"/>
        <s v="CA-2014-127691"/>
        <s v="CA-2014-127859"/>
        <s v="CA-2014-127866"/>
        <s v="CA-2014-127936"/>
        <s v="CA-2014-127964"/>
        <s v="CA-2014-128055"/>
        <s v="CA-2014-128062"/>
        <s v="CA-2014-128146"/>
        <s v="CA-2014-128209"/>
        <s v="CA-2014-128237"/>
        <s v="CA-2014-128524"/>
        <s v="CA-2014-128538"/>
        <s v="CA-2014-128622"/>
        <s v="CA-2014-128839"/>
        <s v="CA-2014-128846"/>
        <s v="CA-2014-128888"/>
        <s v="CA-2014-128986"/>
        <s v="CA-2014-129091"/>
        <s v="CA-2014-129147"/>
        <s v="CA-2014-129168"/>
        <s v="CA-2014-129189"/>
        <s v="CA-2014-129364"/>
        <s v="CA-2014-129574"/>
        <s v="CA-2014-129819"/>
        <s v="CA-2014-129924"/>
        <s v="CA-2014-129938"/>
        <s v="CA-2014-130092"/>
        <s v="CA-2014-130155"/>
        <s v="CA-2014-130274"/>
        <s v="CA-2014-130421"/>
        <s v="CA-2014-130428"/>
        <s v="CA-2014-130449"/>
        <s v="CA-2014-130575"/>
        <s v="CA-2014-130624"/>
        <s v="CA-2014-130673"/>
        <s v="CA-2014-130729"/>
        <s v="CA-2014-130813"/>
        <s v="CA-2014-130869"/>
        <s v="CA-2014-130918"/>
        <s v="CA-2014-130960"/>
        <s v="CA-2014-131002"/>
        <s v="CA-2014-131009"/>
        <s v="CA-2014-131051"/>
        <s v="CA-2014-131247"/>
        <s v="CA-2014-131310"/>
        <s v="CA-2014-131387"/>
        <s v="CA-2014-131450"/>
        <s v="CA-2014-131527"/>
        <s v="CA-2014-131541"/>
        <s v="CA-2014-131800"/>
        <s v="CA-2014-131905"/>
        <s v="CA-2014-131926"/>
        <s v="CA-2014-131947"/>
        <s v="CA-2014-132010"/>
        <s v="CA-2014-132227"/>
        <s v="CA-2014-132451"/>
        <s v="CA-2014-132500"/>
        <s v="CA-2014-132542"/>
        <s v="CA-2014-132612"/>
        <s v="CA-2014-132787"/>
        <s v="CA-2014-132801"/>
        <s v="CA-2014-132864"/>
        <s v="CA-2014-132913"/>
        <s v="CA-2014-132962"/>
        <s v="CA-2014-132983"/>
        <s v="CA-2014-133158"/>
        <s v="CA-2014-133228"/>
        <s v="CA-2014-133270"/>
        <s v="CA-2014-133305"/>
        <s v="CA-2014-133354"/>
        <s v="CA-2014-133389"/>
        <s v="CA-2014-133424"/>
        <s v="CA-2014-133543"/>
        <s v="CA-2014-133592"/>
        <s v="CA-2014-133634"/>
        <s v="CA-2014-133690"/>
        <s v="CA-2014-133704"/>
        <s v="CA-2014-133753"/>
        <s v="CA-2014-133809"/>
        <s v="CA-2014-133830"/>
        <s v="CA-2014-133851"/>
        <s v="CA-2014-133963"/>
        <s v="CA-2014-134061"/>
        <s v="CA-2014-134103"/>
        <s v="CA-2014-134215"/>
        <s v="CA-2014-134278"/>
        <s v="CA-2014-134313"/>
        <s v="CA-2014-134551"/>
        <s v="CA-2014-134572"/>
        <s v="CA-2014-134621"/>
        <s v="CA-2014-134677"/>
        <s v="CA-2014-134726"/>
        <s v="CA-2014-135090"/>
        <s v="CA-2014-135405"/>
        <s v="CA-2014-135608"/>
        <s v="CA-2014-135657"/>
        <s v="CA-2014-135699"/>
        <s v="CA-2014-135755"/>
        <s v="CA-2014-135993"/>
        <s v="CA-2014-136280"/>
        <s v="CA-2014-136336"/>
        <s v="CA-2014-136399"/>
        <s v="CA-2014-136567"/>
        <s v="CA-2014-136644"/>
        <s v="CA-2014-136742"/>
        <s v="CA-2014-136861"/>
        <s v="CA-2014-137092"/>
        <s v="CA-2014-137274"/>
        <s v="CA-2014-137351"/>
        <s v="CA-2014-137575"/>
        <s v="CA-2014-137589"/>
        <s v="CA-2014-137911"/>
        <s v="CA-2014-138023"/>
        <s v="CA-2014-138072"/>
        <s v="CA-2014-138100"/>
        <s v="CA-2014-138128"/>
        <s v="CA-2014-138177"/>
        <s v="CA-2014-138198"/>
        <s v="CA-2014-138240"/>
        <s v="CA-2014-138296"/>
        <s v="CA-2014-138317"/>
        <s v="CA-2014-138359"/>
        <s v="CA-2014-138436"/>
        <s v="CA-2014-138450"/>
        <s v="CA-2014-138513"/>
        <s v="CA-2014-138527"/>
        <s v="CA-2014-138681"/>
        <s v="CA-2014-138709"/>
        <s v="CA-2014-138737"/>
        <s v="CA-2014-138940"/>
        <s v="CA-2014-139017"/>
        <s v="CA-2014-139192"/>
        <s v="CA-2014-139283"/>
        <s v="CA-2014-139423"/>
        <s v="CA-2014-139451"/>
        <s v="CA-2014-139542"/>
        <s v="CA-2014-139598"/>
        <s v="CA-2014-139633"/>
        <s v="CA-2014-139857"/>
        <s v="CA-2014-139892"/>
        <s v="CA-2014-140004"/>
        <s v="CA-2014-140032"/>
        <s v="CA-2014-140039"/>
        <s v="CA-2014-140165"/>
        <s v="CA-2014-140228"/>
        <s v="CA-2014-140396"/>
        <s v="CA-2014-140403"/>
        <s v="CA-2014-140473"/>
        <s v="CA-2014-140487"/>
        <s v="CA-2014-140662"/>
        <s v="CA-2014-140732"/>
        <s v="CA-2014-140795"/>
        <s v="CA-2014-140816"/>
        <s v="CA-2014-140858"/>
        <s v="CA-2014-140886"/>
        <s v="CA-2014-141005"/>
        <s v="CA-2014-141110"/>
        <s v="CA-2014-141152"/>
        <s v="CA-2014-141173"/>
        <s v="CA-2014-141278"/>
        <s v="CA-2014-141299"/>
        <s v="CA-2014-141313"/>
        <s v="CA-2014-141355"/>
        <s v="CA-2014-141607"/>
        <s v="CA-2014-141649"/>
        <s v="CA-2014-141726"/>
        <s v="CA-2014-141796"/>
        <s v="CA-2014-141817"/>
        <s v="CA-2014-141838"/>
        <s v="CA-2014-141901"/>
        <s v="CA-2014-142048"/>
        <s v="CA-2014-142314"/>
        <s v="CA-2014-142510"/>
        <s v="CA-2014-142587"/>
        <s v="CA-2014-142727"/>
        <s v="CA-2014-142769"/>
        <s v="CA-2014-142839"/>
        <s v="CA-2014-142951"/>
        <s v="CA-2014-142965"/>
        <s v="CA-2014-142979"/>
        <s v="CA-2014-143168"/>
        <s v="CA-2014-143182"/>
        <s v="CA-2014-143210"/>
        <s v="CA-2014-143336"/>
        <s v="CA-2014-143371"/>
        <s v="CA-2014-143385"/>
        <s v="CA-2014-143413"/>
        <s v="CA-2014-143637"/>
        <s v="CA-2014-143840"/>
        <s v="CA-2014-143903"/>
        <s v="CA-2014-143917"/>
        <s v="CA-2014-144029"/>
        <s v="CA-2014-144071"/>
        <s v="CA-2014-144281"/>
        <s v="CA-2014-144407"/>
        <s v="CA-2014-144414"/>
        <s v="CA-2014-144624"/>
        <s v="CA-2014-144666"/>
        <s v="CA-2014-144974"/>
        <s v="CA-2014-145212"/>
        <s v="CA-2014-145254"/>
        <s v="CA-2014-145317"/>
        <s v="CA-2014-145387"/>
        <s v="CA-2014-145541"/>
        <s v="CA-2014-145576"/>
        <s v="CA-2014-145800"/>
        <s v="CA-2014-145926"/>
        <s v="CA-2014-146283"/>
        <s v="CA-2014-146500"/>
        <s v="CA-2014-146528"/>
        <s v="CA-2014-146591"/>
        <s v="CA-2014-146640"/>
        <s v="CA-2014-146703"/>
        <s v="CA-2014-146731"/>
        <s v="CA-2014-146815"/>
        <s v="CA-2014-146843"/>
        <s v="CA-2014-146864"/>
        <s v="CA-2014-146885"/>
        <s v="CA-2014-146969"/>
        <s v="CA-2014-146990"/>
        <s v="CA-2014-146997"/>
        <s v="CA-2014-147235"/>
        <s v="CA-2014-147298"/>
        <s v="CA-2014-147543"/>
        <s v="CA-2014-147900"/>
        <s v="CA-2014-147914"/>
        <s v="CA-2014-148040"/>
        <s v="CA-2014-148285"/>
        <s v="CA-2014-148369"/>
        <s v="CA-2014-148383"/>
        <s v="CA-2014-148425"/>
        <s v="CA-2014-148488"/>
        <s v="CA-2014-148586"/>
        <s v="CA-2014-148614"/>
        <s v="CA-2014-148761"/>
        <s v="CA-2014-148782"/>
        <s v="CA-2014-148915"/>
        <s v="CA-2014-148950"/>
        <s v="CA-2014-149020"/>
        <s v="CA-2014-149055"/>
        <s v="CA-2014-149104"/>
        <s v="CA-2014-149244"/>
        <s v="CA-2014-149524"/>
        <s v="CA-2014-149538"/>
        <s v="CA-2014-149594"/>
        <s v="CA-2014-149643"/>
        <s v="CA-2014-149958"/>
        <s v="CA-2014-150203"/>
        <s v="CA-2014-150245"/>
        <s v="CA-2014-150301"/>
        <s v="CA-2014-150329"/>
        <s v="CA-2014-150490"/>
        <s v="CA-2014-150518"/>
        <s v="CA-2014-150581"/>
        <s v="CA-2014-150798"/>
        <s v="CA-2014-151001"/>
        <s v="CA-2014-151078"/>
        <s v="CA-2014-151162"/>
        <s v="CA-2014-151295"/>
        <s v="CA-2014-151330"/>
        <s v="CA-2014-151379"/>
        <s v="CA-2014-151554"/>
        <s v="CA-2014-151708"/>
        <s v="CA-2014-151792"/>
        <s v="CA-2014-151897"/>
        <s v="CA-2014-151946"/>
        <s v="CA-2014-151953"/>
        <s v="CA-2014-151967"/>
        <s v="CA-2014-151995"/>
        <s v="CA-2014-152100"/>
        <s v="CA-2014-152233"/>
        <s v="CA-2014-152254"/>
        <s v="CA-2014-152268"/>
        <s v="CA-2014-152296"/>
        <s v="CA-2014-152345"/>
        <s v="CA-2014-152422"/>
        <s v="CA-2014-152443"/>
        <s v="CA-2014-152562"/>
        <s v="CA-2014-152618"/>
        <s v="CA-2014-152849"/>
        <s v="CA-2014-152905"/>
        <s v="CA-2014-153087"/>
        <s v="CA-2014-153150"/>
        <s v="CA-2014-153479"/>
        <s v="CA-2014-153619"/>
        <s v="CA-2014-153808"/>
        <s v="CA-2014-153850"/>
        <s v="CA-2014-153913"/>
        <s v="CA-2014-153927"/>
        <s v="CA-2014-153969"/>
        <s v="CA-2014-153976"/>
        <s v="CA-2014-153983"/>
        <s v="CA-2014-154095"/>
        <s v="CA-2014-154158"/>
        <s v="CA-2014-154165"/>
        <s v="CA-2014-154186"/>
        <s v="CA-2014-154592"/>
        <s v="CA-2014-154599"/>
        <s v="CA-2014-154627"/>
        <s v="CA-2014-154641"/>
        <s v="CA-2014-154669"/>
        <s v="CA-2014-154781"/>
        <s v="CA-2014-154837"/>
        <s v="CA-2014-154893"/>
        <s v="CA-2014-154963"/>
        <s v="CA-2014-155208"/>
        <s v="CA-2014-155264"/>
        <s v="CA-2014-155271"/>
        <s v="CA-2014-155390"/>
        <s v="CA-2014-155593"/>
        <s v="CA-2014-155796"/>
        <s v="CA-2014-155852"/>
        <s v="CA-2014-155887"/>
        <s v="CA-2014-156006"/>
        <s v="CA-2014-156160"/>
        <s v="CA-2014-156244"/>
        <s v="CA-2014-156314"/>
        <s v="CA-2014-156342"/>
        <s v="CA-2014-156349"/>
        <s v="CA-2014-156433"/>
        <s v="CA-2014-156545"/>
        <s v="CA-2014-156587"/>
        <s v="CA-2014-156594"/>
        <s v="CA-2014-156601"/>
        <s v="CA-2014-156790"/>
        <s v="CA-2014-156993"/>
        <s v="CA-2014-157147"/>
        <s v="CA-2014-157546"/>
        <s v="CA-2014-157609"/>
        <s v="CA-2014-157623"/>
        <s v="CA-2014-157644"/>
        <s v="CA-2014-157721"/>
        <s v="CA-2014-157784"/>
        <s v="CA-2014-157882"/>
        <s v="CA-2014-157924"/>
        <s v="CA-2014-158029"/>
        <s v="CA-2014-158064"/>
        <s v="CA-2014-158225"/>
        <s v="CA-2014-158274"/>
        <s v="CA-2014-158281"/>
        <s v="CA-2014-158337"/>
        <s v="CA-2014-158372"/>
        <s v="CA-2014-158442"/>
        <s v="CA-2014-158470"/>
        <s v="CA-2014-158540"/>
        <s v="CA-2014-158771"/>
        <s v="CA-2014-159121"/>
        <s v="CA-2014-159184"/>
        <s v="CA-2014-159310"/>
        <s v="CA-2014-159338"/>
        <s v="CA-2014-159478"/>
        <s v="CA-2014-159520"/>
        <s v="CA-2014-159625"/>
        <s v="CA-2014-159681"/>
        <s v="CA-2014-159709"/>
        <s v="CA-2014-159800"/>
        <s v="CA-2014-159814"/>
        <s v="CA-2014-159835"/>
        <s v="CA-2014-159849"/>
        <s v="CA-2014-160066"/>
        <s v="CA-2014-160094"/>
        <s v="CA-2014-160157"/>
        <s v="CA-2014-160262"/>
        <s v="CA-2014-160276"/>
        <s v="CA-2014-160738"/>
        <s v="CA-2014-160766"/>
        <s v="CA-2014-160773"/>
        <s v="CA-2014-161032"/>
        <s v="CA-2014-161249"/>
        <s v="CA-2014-161508"/>
        <s v="CA-2014-161634"/>
        <s v="CA-2014-162089"/>
        <s v="CA-2014-162278"/>
        <s v="CA-2014-162362"/>
        <s v="CA-2014-162684"/>
        <s v="CA-2014-162775"/>
        <s v="CA-2014-162866"/>
        <s v="CA-2014-162992"/>
        <s v="CA-2014-163013"/>
        <s v="CA-2014-163034"/>
        <s v="CA-2014-163223"/>
        <s v="CA-2014-163293"/>
        <s v="CA-2014-163412"/>
        <s v="CA-2014-163419"/>
        <s v="CA-2014-163447"/>
        <s v="CA-2014-163468"/>
        <s v="CA-2014-163552"/>
        <s v="CA-2014-163559"/>
        <s v="CA-2014-163650"/>
        <s v="CA-2014-163748"/>
        <s v="CA-2014-163867"/>
        <s v="CA-2014-164182"/>
        <s v="CA-2014-164210"/>
        <s v="CA-2014-164224"/>
        <s v="CA-2014-164259"/>
        <s v="CA-2014-164315"/>
        <s v="CA-2014-164385"/>
        <s v="CA-2014-164469"/>
        <s v="CA-2014-164721"/>
        <s v="CA-2014-164742"/>
        <s v="CA-2014-164749"/>
        <s v="CA-2014-164861"/>
        <s v="CA-2014-164903"/>
        <s v="CA-2014-164910"/>
        <s v="CA-2014-164973"/>
        <s v="CA-2014-165309"/>
        <s v="CA-2014-165379"/>
        <s v="CA-2014-165393"/>
        <s v="CA-2014-165428"/>
        <s v="CA-2014-165477"/>
        <s v="CA-2014-165540"/>
        <s v="CA-2014-165568"/>
        <s v="CA-2014-165764"/>
        <s v="CA-2014-165806"/>
        <s v="CA-2014-165974"/>
        <s v="CA-2014-166051"/>
        <s v="CA-2014-166086"/>
        <s v="CA-2014-166191"/>
        <s v="CA-2014-166457"/>
        <s v="CA-2014-166471"/>
        <s v="CA-2014-166555"/>
        <s v="CA-2014-166590"/>
        <s v="CA-2014-166716"/>
        <s v="CA-2014-166730"/>
        <s v="CA-2014-166744"/>
        <s v="CA-2014-166863"/>
        <s v="CA-2014-166884"/>
        <s v="CA-2014-166891"/>
        <s v="CA-2014-166954"/>
        <s v="CA-2014-166961"/>
        <s v="CA-2014-166989"/>
        <s v="CA-2014-167164"/>
        <s v="CA-2014-167199"/>
        <s v="CA-2014-167360"/>
        <s v="CA-2014-167486"/>
        <s v="CA-2014-167724"/>
        <s v="CA-2014-167850"/>
        <s v="CA-2014-167927"/>
        <s v="CA-2014-167997"/>
        <s v="CA-2014-168130"/>
        <s v="CA-2014-168158"/>
        <s v="CA-2014-168305"/>
        <s v="CA-2014-168312"/>
        <s v="CA-2014-168368"/>
        <s v="CA-2014-168473"/>
        <s v="CA-2014-168494"/>
        <s v="CA-2014-168592"/>
        <s v="CA-2014-168823"/>
        <s v="CA-2014-168984"/>
        <s v="CA-2014-169019"/>
        <s v="CA-2014-169033"/>
        <s v="CA-2014-169061"/>
        <s v="CA-2014-169257"/>
        <s v="CA-2014-169446"/>
        <s v="CA-2014-169460"/>
        <s v="CA-2014-169642"/>
        <s v="CA-2014-169649"/>
        <s v="CA-2014-169684"/>
        <s v="CA-2014-169726"/>
        <s v="CA-2014-169775"/>
        <s v="CA-2014-169803"/>
        <s v="CA-2014-169852"/>
        <s v="CA-2015-100146"/>
        <s v="CA-2015-100216"/>
        <s v="CA-2015-100251"/>
        <s v="CA-2015-100454"/>
        <s v="CA-2015-100545"/>
        <s v="CA-2015-100573"/>
        <s v="CA-2015-100657"/>
        <s v="CA-2015-100685"/>
        <s v="CA-2015-100734"/>
        <s v="CA-2015-100769"/>
        <s v="CA-2015-100818"/>
        <s v="CA-2015-100888"/>
        <s v="CA-2015-101000"/>
        <s v="CA-2015-101007"/>
        <s v="CA-2015-101091"/>
        <s v="CA-2015-101126"/>
        <s v="CA-2015-101154"/>
        <s v="CA-2015-101707"/>
        <s v="CA-2015-101868"/>
        <s v="CA-2015-101889"/>
        <s v="CA-2015-101910"/>
        <s v="CA-2015-101924"/>
        <s v="CA-2015-102015"/>
        <s v="CA-2015-102036"/>
        <s v="CA-2015-102260"/>
        <s v="CA-2015-102281"/>
        <s v="CA-2015-102316"/>
        <s v="CA-2015-102491"/>
        <s v="CA-2015-102582"/>
        <s v="CA-2015-102722"/>
        <s v="CA-2015-102778"/>
        <s v="CA-2015-102806"/>
        <s v="CA-2015-102848"/>
        <s v="CA-2015-102855"/>
        <s v="CA-2015-102876"/>
        <s v="CA-2015-103072"/>
        <s v="CA-2015-103093"/>
        <s v="CA-2015-103135"/>
        <s v="CA-2015-103177"/>
        <s v="CA-2015-103205"/>
        <s v="CA-2015-103716"/>
        <s v="CA-2015-103723"/>
        <s v="CA-2015-103772"/>
        <s v="CA-2015-103793"/>
        <s v="CA-2015-103835"/>
        <s v="CA-2015-103870"/>
        <s v="CA-2015-103933"/>
        <s v="CA-2015-103954"/>
        <s v="CA-2015-103961"/>
        <s v="CA-2015-104038"/>
        <s v="CA-2015-104052"/>
        <s v="CA-2015-104059"/>
        <s v="CA-2015-104115"/>
        <s v="CA-2015-104129"/>
        <s v="CA-2015-104241"/>
        <s v="CA-2015-104297"/>
        <s v="CA-2015-104346"/>
        <s v="CA-2015-104486"/>
        <s v="CA-2015-104493"/>
        <s v="CA-2015-104514"/>
        <s v="CA-2015-104626"/>
        <s v="CA-2015-104871"/>
        <s v="CA-2015-104941"/>
        <s v="CA-2015-104948"/>
        <s v="CA-2015-105102"/>
        <s v="CA-2015-105158"/>
        <s v="CA-2015-105221"/>
        <s v="CA-2015-105312"/>
        <s v="CA-2015-105347"/>
        <s v="CA-2015-105361"/>
        <s v="CA-2015-105508"/>
        <s v="CA-2015-105571"/>
        <s v="CA-2015-105599"/>
        <s v="CA-2015-105613"/>
        <s v="CA-2015-105627"/>
        <s v="CA-2015-105634"/>
        <s v="CA-2015-105690"/>
        <s v="CA-2015-105725"/>
        <s v="CA-2015-105844"/>
        <s v="CA-2015-105970"/>
        <s v="CA-2015-106187"/>
        <s v="CA-2015-106208"/>
        <s v="CA-2015-106215"/>
        <s v="CA-2015-106257"/>
        <s v="CA-2015-106320"/>
        <s v="CA-2015-106362"/>
        <s v="CA-2015-106565"/>
        <s v="CA-2015-106978"/>
        <s v="CA-2015-107020"/>
        <s v="CA-2015-107083"/>
        <s v="CA-2015-107468"/>
        <s v="CA-2015-107678"/>
        <s v="CA-2015-107685"/>
        <s v="CA-2015-107741"/>
        <s v="CA-2015-107902"/>
        <s v="CA-2015-107937"/>
        <s v="CA-2015-108119"/>
        <s v="CA-2015-108259"/>
        <s v="CA-2015-108532"/>
        <s v="CA-2015-108588"/>
        <s v="CA-2015-108665"/>
        <s v="CA-2015-108672"/>
        <s v="CA-2015-109001"/>
        <s v="CA-2015-109113"/>
        <s v="CA-2015-109169"/>
        <s v="CA-2015-109190"/>
        <s v="CA-2015-109197"/>
        <s v="CA-2015-109337"/>
        <s v="CA-2015-109386"/>
        <s v="CA-2015-109470"/>
        <s v="CA-2015-109512"/>
        <s v="CA-2015-109575"/>
        <s v="CA-2015-109603"/>
        <s v="CA-2015-109638"/>
        <s v="CA-2015-109708"/>
        <s v="CA-2015-109736"/>
        <s v="CA-2015-109862"/>
        <s v="CA-2015-109939"/>
        <s v="CA-2015-110016"/>
        <s v="CA-2015-110093"/>
        <s v="CA-2015-110247"/>
        <s v="CA-2015-110289"/>
        <s v="CA-2015-110324"/>
        <s v="CA-2015-110345"/>
        <s v="CA-2015-110457"/>
        <s v="CA-2015-110548"/>
        <s v="CA-2015-110632"/>
        <s v="CA-2015-110667"/>
        <s v="CA-2015-110744"/>
        <s v="CA-2015-110765"/>
        <s v="CA-2015-110814"/>
        <s v="CA-2015-110863"/>
        <s v="CA-2015-110870"/>
        <s v="CA-2015-110877"/>
        <s v="CA-2015-110891"/>
        <s v="CA-2015-110947"/>
        <s v="CA-2015-111017"/>
        <s v="CA-2015-111038"/>
        <s v="CA-2015-111073"/>
        <s v="CA-2015-111094"/>
        <s v="CA-2015-111164"/>
        <s v="CA-2015-111199"/>
        <s v="CA-2015-111206"/>
        <s v="CA-2015-111234"/>
        <s v="CA-2015-111297"/>
        <s v="CA-2015-111325"/>
        <s v="CA-2015-111339"/>
        <s v="CA-2015-111395"/>
        <s v="CA-2015-111458"/>
        <s v="CA-2015-111507"/>
        <s v="CA-2015-111514"/>
        <s v="CA-2015-111612"/>
        <s v="CA-2015-111703"/>
        <s v="CA-2015-111780"/>
        <s v="CA-2015-111829"/>
        <s v="CA-2015-111864"/>
        <s v="CA-2015-111948"/>
        <s v="CA-2015-111990"/>
        <s v="CA-2015-112014"/>
        <s v="CA-2015-112053"/>
        <s v="CA-2015-112116"/>
        <s v="CA-2015-112130"/>
        <s v="CA-2015-112144"/>
        <s v="CA-2015-112214"/>
        <s v="CA-2015-112305"/>
        <s v="CA-2015-112319"/>
        <s v="CA-2015-112375"/>
        <s v="CA-2015-112452"/>
        <s v="CA-2015-112522"/>
        <s v="CA-2015-112557"/>
        <s v="CA-2015-112571"/>
        <s v="CA-2015-112711"/>
        <s v="CA-2015-112767"/>
        <s v="CA-2015-112823"/>
        <s v="CA-2015-113040"/>
        <s v="CA-2015-113110"/>
        <s v="CA-2015-113131"/>
        <s v="CA-2015-113145"/>
        <s v="CA-2015-113152"/>
        <s v="CA-2015-113173"/>
        <s v="CA-2015-113215"/>
        <s v="CA-2015-113222"/>
        <s v="CA-2015-113404"/>
        <s v="CA-2015-113523"/>
        <s v="CA-2015-113628"/>
        <s v="CA-2015-113740"/>
        <s v="CA-2015-113901"/>
        <s v="CA-2015-113971"/>
        <s v="CA-2015-114048"/>
        <s v="CA-2015-114069"/>
        <s v="CA-2015-114237"/>
        <s v="CA-2015-114300"/>
        <s v="CA-2015-114468"/>
        <s v="CA-2015-114503"/>
        <s v="CA-2015-114811"/>
        <s v="CA-2015-114923"/>
        <s v="CA-2015-115091"/>
        <s v="CA-2015-115168"/>
        <s v="CA-2015-115392"/>
        <s v="CA-2015-115399"/>
        <s v="CA-2015-115420"/>
        <s v="CA-2015-115511"/>
        <s v="CA-2015-115567"/>
        <s v="CA-2015-115693"/>
        <s v="CA-2015-115742"/>
        <s v="CA-2015-115798"/>
        <s v="CA-2015-115847"/>
        <s v="CA-2015-115924"/>
        <s v="CA-2015-115938"/>
        <s v="CA-2015-115945"/>
        <s v="CA-2015-116092"/>
        <s v="CA-2015-116260"/>
        <s v="CA-2015-116484"/>
        <s v="CA-2015-116512"/>
        <s v="CA-2015-116638"/>
        <s v="CA-2015-116687"/>
        <s v="CA-2015-116750"/>
        <s v="CA-2015-116841"/>
        <s v="CA-2015-116876"/>
        <s v="CA-2015-117086"/>
        <s v="CA-2015-117415"/>
        <s v="CA-2015-117611"/>
        <s v="CA-2015-117772"/>
        <s v="CA-2015-117800"/>
        <s v="CA-2015-117828"/>
        <s v="CA-2015-117884"/>
        <s v="CA-2015-117898"/>
        <s v="CA-2015-117961"/>
        <s v="CA-2015-118227"/>
        <s v="CA-2015-118423"/>
        <s v="CA-2015-118444"/>
        <s v="CA-2015-118738"/>
        <s v="CA-2015-118843"/>
        <s v="CA-2015-118871"/>
        <s v="CA-2015-118948"/>
        <s v="CA-2015-118955"/>
        <s v="CA-2015-119102"/>
        <s v="CA-2015-119214"/>
        <s v="CA-2015-119291"/>
        <s v="CA-2015-119480"/>
        <s v="CA-2015-119508"/>
        <s v="CA-2015-119550"/>
        <s v="CA-2015-119592"/>
        <s v="CA-2015-119627"/>
        <s v="CA-2015-119634"/>
        <s v="CA-2015-119690"/>
        <s v="CA-2015-119697"/>
        <s v="CA-2015-119879"/>
        <s v="CA-2015-119907"/>
        <s v="CA-2015-119942"/>
        <s v="CA-2015-120103"/>
        <s v="CA-2015-120320"/>
        <s v="CA-2015-120341"/>
        <s v="CA-2015-120362"/>
        <s v="CA-2015-120397"/>
        <s v="CA-2015-120439"/>
        <s v="CA-2015-120446"/>
        <s v="CA-2015-120516"/>
        <s v="CA-2015-120551"/>
        <s v="CA-2015-120621"/>
        <s v="CA-2015-120677"/>
        <s v="CA-2015-120782"/>
        <s v="CA-2015-120810"/>
        <s v="CA-2015-120845"/>
        <s v="CA-2015-120880"/>
        <s v="CA-2015-120901"/>
        <s v="CA-2015-120915"/>
        <s v="CA-2015-121041"/>
        <s v="CA-2015-121097"/>
        <s v="CA-2015-121132"/>
        <s v="CA-2015-121188"/>
        <s v="CA-2015-121272"/>
        <s v="CA-2015-121391"/>
        <s v="CA-2015-121405"/>
        <s v="CA-2015-121552"/>
        <s v="CA-2015-121608"/>
        <s v="CA-2015-121650"/>
        <s v="CA-2015-121699"/>
        <s v="CA-2015-121720"/>
        <s v="CA-2015-121776"/>
        <s v="CA-2015-121783"/>
        <s v="CA-2015-121797"/>
        <s v="CA-2015-121965"/>
        <s v="CA-2015-122168"/>
        <s v="CA-2015-122210"/>
        <s v="CA-2015-122259"/>
        <s v="CA-2015-122266"/>
        <s v="CA-2015-122287"/>
        <s v="CA-2015-122371"/>
        <s v="CA-2015-122406"/>
        <s v="CA-2015-122623"/>
        <s v="CA-2015-122756"/>
        <s v="CA-2015-122826"/>
        <s v="CA-2015-122973"/>
        <s v="CA-2015-123092"/>
        <s v="CA-2015-123113"/>
        <s v="CA-2015-123141"/>
        <s v="CA-2015-123155"/>
        <s v="CA-2015-123232"/>
        <s v="CA-2015-123330"/>
        <s v="CA-2015-123456"/>
        <s v="CA-2015-123505"/>
        <s v="CA-2015-123568"/>
        <s v="CA-2015-123673"/>
        <s v="CA-2015-123939"/>
        <s v="CA-2015-124044"/>
        <s v="CA-2015-124058"/>
        <s v="CA-2015-124107"/>
        <s v="CA-2015-124268"/>
        <s v="CA-2015-124450"/>
        <s v="CA-2015-124499"/>
        <s v="CA-2015-124541"/>
        <s v="CA-2015-124653"/>
        <s v="CA-2015-124800"/>
        <s v="CA-2015-124891"/>
        <s v="CA-2015-124919"/>
        <s v="CA-2015-124933"/>
        <s v="CA-2015-124975"/>
        <s v="CA-2015-125066"/>
        <s v="CA-2015-125178"/>
        <s v="CA-2015-125185"/>
        <s v="CA-2015-125234"/>
        <s v="CA-2015-125395"/>
        <s v="CA-2015-125416"/>
        <s v="CA-2015-125423"/>
        <s v="CA-2015-125563"/>
        <s v="CA-2015-125696"/>
        <s v="CA-2015-125710"/>
        <s v="CA-2015-125934"/>
        <s v="CA-2015-125976"/>
        <s v="CA-2015-126137"/>
        <s v="CA-2015-126186"/>
        <s v="CA-2015-126347"/>
        <s v="CA-2015-126445"/>
        <s v="CA-2015-126466"/>
        <s v="CA-2015-126557"/>
        <s v="CA-2015-126669"/>
        <s v="CA-2015-126697"/>
        <s v="CA-2015-126725"/>
        <s v="CA-2015-126739"/>
        <s v="CA-2015-126970"/>
        <s v="CA-2015-127019"/>
        <s v="CA-2015-127110"/>
        <s v="CA-2015-127173"/>
        <s v="CA-2015-127327"/>
        <s v="CA-2015-127418"/>
        <s v="CA-2015-127453"/>
        <s v="CA-2015-127481"/>
        <s v="CA-2015-127502"/>
        <s v="CA-2015-127509"/>
        <s v="CA-2015-127544"/>
        <s v="CA-2015-127593"/>
        <s v="CA-2015-127607"/>
        <s v="CA-2015-127754"/>
        <s v="CA-2015-127824"/>
        <s v="CA-2015-128013"/>
        <s v="CA-2015-128027"/>
        <s v="CA-2015-128083"/>
        <s v="CA-2015-128125"/>
        <s v="CA-2015-128139"/>
        <s v="CA-2015-128167"/>
        <s v="CA-2015-128356"/>
        <s v="CA-2015-128608"/>
        <s v="CA-2015-128860"/>
        <s v="CA-2015-128958"/>
        <s v="CA-2015-128993"/>
        <s v="CA-2015-129042"/>
        <s v="CA-2015-129098"/>
        <s v="CA-2015-129112"/>
        <s v="CA-2015-129217"/>
        <s v="CA-2015-129322"/>
        <s v="CA-2015-129392"/>
        <s v="CA-2015-129476"/>
        <s v="CA-2015-129525"/>
        <s v="CA-2015-129532"/>
        <s v="CA-2015-129546"/>
        <s v="CA-2015-129700"/>
        <s v="CA-2015-129770"/>
        <s v="CA-2015-129854"/>
        <s v="CA-2015-129896"/>
        <s v="CA-2015-129917"/>
        <s v="CA-2015-130022"/>
        <s v="CA-2015-130113"/>
        <s v="CA-2015-130183"/>
        <s v="CA-2015-130204"/>
        <s v="CA-2015-130218"/>
        <s v="CA-2015-130253"/>
        <s v="CA-2015-130365"/>
        <s v="CA-2015-130456"/>
        <s v="CA-2015-130554"/>
        <s v="CA-2015-130610"/>
        <s v="CA-2015-130659"/>
        <s v="CA-2015-130736"/>
        <s v="CA-2015-130785"/>
        <s v="CA-2015-130792"/>
        <s v="CA-2015-130848"/>
        <s v="CA-2015-130855"/>
        <s v="CA-2015-130876"/>
        <s v="CA-2015-130883"/>
        <s v="CA-2015-130890"/>
        <s v="CA-2015-130974"/>
        <s v="CA-2015-130995"/>
        <s v="CA-2015-131072"/>
        <s v="CA-2015-131128"/>
        <s v="CA-2015-131338"/>
        <s v="CA-2015-131352"/>
        <s v="CA-2015-131422"/>
        <s v="CA-2015-131457"/>
        <s v="CA-2015-131534"/>
        <s v="CA-2015-131597"/>
        <s v="CA-2015-131758"/>
        <s v="CA-2015-131779"/>
        <s v="CA-2015-131856"/>
        <s v="CA-2015-131884"/>
        <s v="CA-2015-132080"/>
        <s v="CA-2015-132101"/>
        <s v="CA-2015-132136"/>
        <s v="CA-2015-132276"/>
        <s v="CA-2015-132318"/>
        <s v="CA-2015-132374"/>
        <s v="CA-2015-132388"/>
        <s v="CA-2015-132465"/>
        <s v="CA-2015-132486"/>
        <s v="CA-2015-132507"/>
        <s v="CA-2015-132570"/>
        <s v="CA-2015-132626"/>
        <s v="CA-2015-132633"/>
        <s v="CA-2015-132815"/>
        <s v="CA-2015-132906"/>
        <s v="CA-2015-132941"/>
        <s v="CA-2015-132948"/>
        <s v="CA-2015-133025"/>
        <s v="CA-2015-133242"/>
        <s v="CA-2015-133396"/>
        <s v="CA-2015-133445"/>
        <s v="CA-2015-133452"/>
        <s v="CA-2015-133494"/>
        <s v="CA-2015-133536"/>
        <s v="CA-2015-133585"/>
        <s v="CA-2015-133627"/>
        <s v="CA-2015-133837"/>
        <s v="CA-2015-133977"/>
        <s v="CA-2015-134075"/>
        <s v="CA-2015-134082"/>
        <s v="CA-2015-134117"/>
        <s v="CA-2015-134201"/>
        <s v="CA-2015-134257"/>
        <s v="CA-2015-134719"/>
        <s v="CA-2015-134747"/>
        <s v="CA-2015-134782"/>
        <s v="CA-2015-134859"/>
        <s v="CA-2015-134894"/>
        <s v="CA-2015-134922"/>
        <s v="CA-2015-134943"/>
        <s v="CA-2015-134992"/>
        <s v="CA-2015-135020"/>
        <s v="CA-2015-135174"/>
        <s v="CA-2015-135251"/>
        <s v="CA-2015-135272"/>
        <s v="CA-2015-135314"/>
        <s v="CA-2015-135363"/>
        <s v="CA-2015-135391"/>
        <s v="CA-2015-135489"/>
        <s v="CA-2015-135510"/>
        <s v="CA-2015-135538"/>
        <s v="CA-2015-135545"/>
        <s v="CA-2015-135580"/>
        <s v="CA-2015-135622"/>
        <s v="CA-2015-135685"/>
        <s v="CA-2015-135727"/>
        <s v="CA-2015-135853"/>
        <s v="CA-2015-136105"/>
        <s v="CA-2015-136147"/>
        <s v="CA-2015-136196"/>
        <s v="CA-2015-136224"/>
        <s v="CA-2015-136378"/>
        <s v="CA-2015-136420"/>
        <s v="CA-2015-136469"/>
        <s v="CA-2015-136658"/>
        <s v="CA-2015-136700"/>
        <s v="CA-2015-136728"/>
        <s v="CA-2015-136735"/>
        <s v="CA-2015-136798"/>
        <s v="CA-2015-136805"/>
        <s v="CA-2015-137064"/>
        <s v="CA-2015-137071"/>
        <s v="CA-2015-137106"/>
        <s v="CA-2015-137113"/>
        <s v="CA-2015-137225"/>
        <s v="CA-2015-137281"/>
        <s v="CA-2015-137302"/>
        <s v="CA-2015-137512"/>
        <s v="CA-2015-137526"/>
        <s v="CA-2015-137603"/>
        <s v="CA-2015-137708"/>
        <s v="CA-2015-137750"/>
        <s v="CA-2015-137897"/>
        <s v="CA-2015-137925"/>
        <s v="CA-2015-137946"/>
        <s v="CA-2015-137974"/>
        <s v="CA-2015-138002"/>
        <s v="CA-2015-138009"/>
        <s v="CA-2015-138219"/>
        <s v="CA-2015-138331"/>
        <s v="CA-2015-138457"/>
        <s v="CA-2015-138485"/>
        <s v="CA-2015-138492"/>
        <s v="CA-2015-138534"/>
        <s v="CA-2015-138625"/>
        <s v="CA-2015-138674"/>
        <s v="CA-2015-138898"/>
        <s v="CA-2015-138954"/>
        <s v="CA-2015-139094"/>
        <s v="CA-2015-139164"/>
        <s v="CA-2015-139248"/>
        <s v="CA-2015-139290"/>
        <s v="CA-2015-139374"/>
        <s v="CA-2015-139584"/>
        <s v="CA-2015-139731"/>
        <s v="CA-2015-139738"/>
        <s v="CA-2015-139780"/>
        <s v="CA-2015-139850"/>
        <s v="CA-2015-139962"/>
        <s v="CA-2015-140025"/>
        <s v="CA-2015-140144"/>
        <s v="CA-2015-140221"/>
        <s v="CA-2015-140375"/>
        <s v="CA-2015-140410"/>
        <s v="CA-2015-140557"/>
        <s v="CA-2015-140718"/>
        <s v="CA-2015-140830"/>
        <s v="CA-2015-140921"/>
        <s v="CA-2015-140984"/>
        <s v="CA-2015-141012"/>
        <s v="CA-2015-141040"/>
        <s v="CA-2015-141145"/>
        <s v="CA-2015-141243"/>
        <s v="CA-2015-141250"/>
        <s v="CA-2015-141327"/>
        <s v="CA-2015-141565"/>
        <s v="CA-2015-141593"/>
        <s v="CA-2015-141740"/>
        <s v="CA-2015-141754"/>
        <s v="CA-2015-141768"/>
        <s v="CA-2015-141810"/>
        <s v="CA-2015-141936"/>
        <s v="CA-2015-142027"/>
        <s v="CA-2015-142041"/>
        <s v="CA-2015-142055"/>
        <s v="CA-2015-142139"/>
        <s v="CA-2015-142202"/>
        <s v="CA-2015-142237"/>
        <s v="CA-2015-142377"/>
        <s v="CA-2015-142419"/>
        <s v="CA-2015-142433"/>
        <s v="CA-2015-142454"/>
        <s v="CA-2015-142475"/>
        <s v="CA-2015-142601"/>
        <s v="CA-2015-142692"/>
        <s v="CA-2015-142734"/>
        <s v="CA-2015-142755"/>
        <s v="CA-2015-142930"/>
        <s v="CA-2015-142937"/>
        <s v="CA-2015-142944"/>
        <s v="CA-2015-142993"/>
        <s v="CA-2015-143077"/>
        <s v="CA-2015-143105"/>
        <s v="CA-2015-143119"/>
        <s v="CA-2015-143147"/>
        <s v="CA-2015-143238"/>
        <s v="CA-2015-143364"/>
        <s v="CA-2015-143490"/>
        <s v="CA-2015-143532"/>
        <s v="CA-2015-143602"/>
        <s v="CA-2015-143616"/>
        <s v="CA-2015-143700"/>
        <s v="CA-2015-143882"/>
        <s v="CA-2015-143980"/>
        <s v="CA-2015-144043"/>
        <s v="CA-2015-144099"/>
        <s v="CA-2015-144190"/>
        <s v="CA-2015-144253"/>
        <s v="CA-2015-144267"/>
        <s v="CA-2015-144274"/>
        <s v="CA-2015-144288"/>
        <s v="CA-2015-144302"/>
        <s v="CA-2015-144386"/>
        <s v="CA-2015-144519"/>
        <s v="CA-2015-144652"/>
        <s v="CA-2015-144722"/>
        <s v="CA-2015-144806"/>
        <s v="CA-2015-144890"/>
        <s v="CA-2015-145065"/>
        <s v="CA-2015-145184"/>
        <s v="CA-2015-145324"/>
        <s v="CA-2015-145352"/>
        <s v="CA-2015-145394"/>
        <s v="CA-2015-145401"/>
        <s v="CA-2015-145415"/>
        <s v="CA-2015-145457"/>
        <s v="CA-2015-145485"/>
        <s v="CA-2015-145758"/>
        <s v="CA-2015-145814"/>
        <s v="CA-2015-145821"/>
        <s v="CA-2015-145828"/>
        <s v="CA-2015-145835"/>
        <s v="CA-2015-145849"/>
        <s v="CA-2015-146038"/>
        <s v="CA-2015-146087"/>
        <s v="CA-2015-146255"/>
        <s v="CA-2015-146262"/>
        <s v="CA-2015-146290"/>
        <s v="CA-2015-146465"/>
        <s v="CA-2015-146486"/>
        <s v="CA-2015-146563"/>
        <s v="CA-2015-146675"/>
        <s v="CA-2015-146696"/>
        <s v="CA-2015-146829"/>
        <s v="CA-2015-146948"/>
        <s v="CA-2015-147011"/>
        <s v="CA-2015-147102"/>
        <s v="CA-2015-147501"/>
        <s v="CA-2015-147529"/>
        <s v="CA-2015-147690"/>
        <s v="CA-2015-147788"/>
        <s v="CA-2015-147816"/>
        <s v="CA-2015-147830"/>
        <s v="CA-2015-147851"/>
        <s v="CA-2015-147879"/>
        <s v="CA-2015-148180"/>
        <s v="CA-2015-148250"/>
        <s v="CA-2015-148376"/>
        <s v="CA-2015-148432"/>
        <s v="CA-2015-148495"/>
        <s v="CA-2015-148628"/>
        <s v="CA-2015-148635"/>
        <s v="CA-2015-148705"/>
        <s v="CA-2015-148712"/>
        <s v="CA-2015-148859"/>
        <s v="CA-2015-148873"/>
        <s v="CA-2015-148964"/>
        <s v="CA-2015-149083"/>
        <s v="CA-2015-149097"/>
        <s v="CA-2015-149300"/>
        <s v="CA-2015-149342"/>
        <s v="CA-2015-149384"/>
        <s v="CA-2015-149517"/>
        <s v="CA-2015-149566"/>
        <s v="CA-2015-149587"/>
        <s v="CA-2015-149601"/>
        <s v="CA-2015-149636"/>
        <s v="CA-2015-149650"/>
        <s v="CA-2015-149678"/>
        <s v="CA-2015-149713"/>
        <s v="CA-2015-149734"/>
        <s v="CA-2015-149748"/>
        <s v="CA-2015-149811"/>
        <s v="CA-2015-149846"/>
        <s v="CA-2015-149909"/>
        <s v="CA-2015-149972"/>
        <s v="CA-2015-149993"/>
        <s v="CA-2015-150196"/>
        <s v="CA-2015-150308"/>
        <s v="CA-2015-150413"/>
        <s v="CA-2015-150441"/>
        <s v="CA-2015-150511"/>
        <s v="CA-2015-150560"/>
        <s v="CA-2015-150714"/>
        <s v="CA-2015-150749"/>
        <s v="CA-2015-150770"/>
        <s v="CA-2015-150791"/>
        <s v="CA-2015-150875"/>
        <s v="CA-2015-151043"/>
        <s v="CA-2015-151253"/>
        <s v="CA-2015-151470"/>
        <s v="CA-2015-151547"/>
        <s v="CA-2015-151589"/>
        <s v="CA-2015-151624"/>
        <s v="CA-2015-151680"/>
        <s v="CA-2015-151722"/>
        <s v="CA-2015-151785"/>
        <s v="CA-2015-151841"/>
        <s v="CA-2015-151869"/>
        <s v="CA-2015-152513"/>
        <s v="CA-2015-152527"/>
        <s v="CA-2015-152611"/>
        <s v="CA-2015-152681"/>
        <s v="CA-2015-152891"/>
        <s v="CA-2015-153038"/>
        <s v="CA-2015-153073"/>
        <s v="CA-2015-153108"/>
        <s v="CA-2015-153220"/>
        <s v="CA-2015-153325"/>
        <s v="CA-2015-153381"/>
        <s v="CA-2015-153388"/>
        <s v="CA-2015-153416"/>
        <s v="CA-2015-153423"/>
        <s v="CA-2015-153535"/>
        <s v="CA-2015-153549"/>
        <s v="CA-2015-153612"/>
        <s v="CA-2015-153626"/>
        <s v="CA-2015-153717"/>
        <s v="CA-2015-153738"/>
        <s v="CA-2015-153752"/>
        <s v="CA-2015-153794"/>
        <s v="CA-2015-153878"/>
        <s v="CA-2015-153906"/>
        <s v="CA-2015-154144"/>
        <s v="CA-2015-154200"/>
        <s v="CA-2015-154284"/>
        <s v="CA-2015-154291"/>
        <s v="CA-2015-154326"/>
        <s v="CA-2015-154340"/>
        <s v="CA-2015-154620"/>
        <s v="CA-2015-154746"/>
        <s v="CA-2015-154795"/>
        <s v="CA-2015-154823"/>
        <s v="CA-2015-154886"/>
        <s v="CA-2015-154900"/>
        <s v="CA-2015-154921"/>
        <s v="CA-2015-154956"/>
        <s v="CA-2015-154970"/>
        <s v="CA-2015-155040"/>
        <s v="CA-2015-155054"/>
        <s v="CA-2015-155068"/>
        <s v="CA-2015-155124"/>
        <s v="CA-2015-155145"/>
        <s v="CA-2015-155306"/>
        <s v="CA-2015-155334"/>
        <s v="CA-2015-155453"/>
        <s v="CA-2015-155586"/>
        <s v="CA-2015-155600"/>
        <s v="CA-2015-155635"/>
        <s v="CA-2015-155761"/>
        <s v="CA-2015-156013"/>
        <s v="CA-2015-156104"/>
        <s v="CA-2015-156118"/>
        <s v="CA-2015-156146"/>
        <s v="CA-2015-156153"/>
        <s v="CA-2015-156328"/>
        <s v="CA-2015-156335"/>
        <s v="CA-2015-156377"/>
        <s v="CA-2015-156440"/>
        <s v="CA-2015-156482"/>
        <s v="CA-2015-156510"/>
        <s v="CA-2015-156524"/>
        <s v="CA-2015-156566"/>
        <s v="CA-2015-156608"/>
        <s v="CA-2015-156734"/>
        <s v="CA-2015-156755"/>
        <s v="CA-2015-156853"/>
        <s v="CA-2015-156923"/>
        <s v="CA-2015-157028"/>
        <s v="CA-2015-157035"/>
        <s v="CA-2015-157084"/>
        <s v="CA-2015-157133"/>
        <s v="CA-2015-157287"/>
        <s v="CA-2015-157322"/>
        <s v="CA-2015-157343"/>
        <s v="CA-2015-157434"/>
        <s v="CA-2015-157770"/>
        <s v="CA-2015-157805"/>
        <s v="CA-2015-157812"/>
        <s v="CA-2015-157959"/>
        <s v="CA-2015-158148"/>
        <s v="CA-2015-158323"/>
        <s v="CA-2015-158351"/>
        <s v="CA-2015-158421"/>
        <s v="CA-2015-158456"/>
        <s v="CA-2015-158491"/>
        <s v="CA-2015-158554"/>
        <s v="CA-2015-158659"/>
        <s v="CA-2015-158701"/>
        <s v="CA-2015-158792"/>
        <s v="CA-2015-158918"/>
        <s v="CA-2015-158939"/>
        <s v="CA-2015-159380"/>
        <s v="CA-2015-159534"/>
        <s v="CA-2015-159590"/>
        <s v="CA-2015-159779"/>
        <s v="CA-2015-159786"/>
        <s v="CA-2015-159863"/>
        <s v="CA-2015-160059"/>
        <s v="CA-2015-160171"/>
        <s v="CA-2015-160213"/>
        <s v="CA-2015-160227"/>
        <s v="CA-2015-160472"/>
        <s v="CA-2015-160696"/>
        <s v="CA-2015-160787"/>
        <s v="CA-2015-160794"/>
        <s v="CA-2015-160864"/>
        <s v="CA-2015-161214"/>
        <s v="CA-2015-161242"/>
        <s v="CA-2015-161263"/>
        <s v="CA-2015-161445"/>
        <s v="CA-2015-161452"/>
        <s v="CA-2015-161627"/>
        <s v="CA-2015-161711"/>
        <s v="CA-2015-161718"/>
        <s v="CA-2015-161767"/>
        <s v="CA-2015-161795"/>
        <s v="CA-2015-161830"/>
        <s v="CA-2015-161998"/>
        <s v="CA-2015-162047"/>
        <s v="CA-2015-162166"/>
        <s v="CA-2015-162201"/>
        <s v="CA-2015-162369"/>
        <s v="CA-2015-162376"/>
        <s v="CA-2015-162537"/>
        <s v="CA-2015-162544"/>
        <s v="CA-2015-162607"/>
        <s v="CA-2015-162621"/>
        <s v="CA-2015-162761"/>
        <s v="CA-2015-162782"/>
        <s v="CA-2015-162887"/>
        <s v="CA-2015-162950"/>
        <s v="CA-2015-162964"/>
        <s v="CA-2015-163055"/>
        <s v="CA-2015-163090"/>
        <s v="CA-2015-163104"/>
        <s v="CA-2015-163181"/>
        <s v="CA-2015-163237"/>
        <s v="CA-2015-163440"/>
        <s v="CA-2015-163587"/>
        <s v="CA-2015-163734"/>
        <s v="CA-2015-163762"/>
        <s v="CA-2015-163895"/>
        <s v="CA-2015-163923"/>
        <s v="CA-2015-163965"/>
        <s v="CA-2015-164007"/>
        <s v="CA-2015-164084"/>
        <s v="CA-2015-164301"/>
        <s v="CA-2015-164336"/>
        <s v="CA-2015-164427"/>
        <s v="CA-2015-164441"/>
        <s v="CA-2015-164497"/>
        <s v="CA-2015-164539"/>
        <s v="CA-2015-164567"/>
        <s v="CA-2015-164623"/>
        <s v="CA-2015-164777"/>
        <s v="CA-2015-164833"/>
        <s v="CA-2015-164882"/>
        <s v="CA-2015-165050"/>
        <s v="CA-2015-165057"/>
        <s v="CA-2015-165085"/>
        <s v="CA-2015-165162"/>
        <s v="CA-2015-165414"/>
        <s v="CA-2015-165554"/>
        <s v="CA-2015-165624"/>
        <s v="CA-2015-165799"/>
        <s v="CA-2015-165813"/>
        <s v="CA-2015-166135"/>
        <s v="CA-2015-166219"/>
        <s v="CA-2015-166338"/>
        <s v="CA-2015-166464"/>
        <s v="CA-2015-166492"/>
        <s v="CA-2015-166583"/>
        <s v="CA-2015-166604"/>
        <s v="CA-2015-166800"/>
        <s v="CA-2015-166947"/>
        <s v="CA-2015-166975"/>
        <s v="CA-2015-167010"/>
        <s v="CA-2015-167255"/>
        <s v="CA-2015-167269"/>
        <s v="CA-2015-167374"/>
        <s v="CA-2015-167479"/>
        <s v="CA-2015-167696"/>
        <s v="CA-2015-167745"/>
        <s v="CA-2015-168004"/>
        <s v="CA-2015-168088"/>
        <s v="CA-2015-168186"/>
        <s v="CA-2015-168207"/>
        <s v="CA-2015-168277"/>
        <s v="CA-2015-168459"/>
        <s v="CA-2015-168480"/>
        <s v="CA-2015-168529"/>
        <s v="CA-2015-168564"/>
        <s v="CA-2015-168634"/>
        <s v="CA-2015-168746"/>
        <s v="CA-2015-168760"/>
        <s v="CA-2015-168767"/>
        <s v="CA-2015-168809"/>
        <s v="CA-2015-169201"/>
        <s v="CA-2015-169278"/>
        <s v="CA-2015-169299"/>
        <s v="CA-2015-169397"/>
        <s v="CA-2015-169537"/>
        <s v="CA-2015-169572"/>
        <s v="CA-2015-169656"/>
        <s v="CA-2015-169677"/>
        <s v="CA-2015-169733"/>
        <s v="CA-2015-169740"/>
        <s v="CA-2015-169796"/>
        <s v="US-2014-100279"/>
        <s v="US-2014-100853"/>
        <s v="US-2014-102071"/>
        <s v="US-2014-102631"/>
        <s v="US-2014-102715"/>
        <s v="US-2014-103338"/>
        <s v="US-2014-103905"/>
        <s v="US-2014-104759"/>
        <s v="US-2014-105137"/>
        <s v="US-2014-105151"/>
        <s v="US-2014-105767"/>
        <s v="US-2014-106299"/>
        <s v="US-2014-106334"/>
        <s v="US-2014-106992"/>
        <s v="US-2014-107405"/>
        <s v="US-2014-107699"/>
        <s v="US-2014-107993"/>
        <s v="US-2014-109036"/>
        <s v="US-2014-109162"/>
        <s v="US-2014-109456"/>
        <s v="US-2014-110674"/>
        <s v="US-2014-111171"/>
        <s v="US-2014-111353"/>
        <s v="US-2014-112200"/>
        <s v="US-2014-112564"/>
        <s v="US-2014-112795"/>
        <s v="US-2014-112872"/>
        <s v="US-2014-112914"/>
        <s v="US-2014-112949"/>
        <s v="US-2014-112991"/>
        <s v="US-2014-113124"/>
        <s v="US-2014-114188"/>
        <s v="US-2014-114377"/>
        <s v="US-2014-115189"/>
        <s v="US-2014-115196"/>
        <s v="US-2014-115413"/>
        <s v="US-2014-115987"/>
        <s v="US-2014-117058"/>
        <s v="US-2014-117135"/>
        <s v="US-2014-117163"/>
        <s v="US-2014-117170"/>
        <s v="US-2014-117380"/>
        <s v="US-2014-117744"/>
        <s v="US-2014-117968"/>
        <s v="US-2014-118486"/>
        <s v="US-2014-118997"/>
        <s v="US-2014-119081"/>
        <s v="US-2014-119137"/>
        <s v="US-2014-120175"/>
        <s v="US-2014-120236"/>
        <s v="US-2014-120313"/>
        <s v="US-2014-120740"/>
        <s v="US-2014-121566"/>
        <s v="US-2014-121734"/>
        <s v="US-2014-122021"/>
        <s v="US-2014-122959"/>
        <s v="US-2014-123183"/>
        <s v="US-2014-123519"/>
        <s v="US-2014-124625"/>
        <s v="US-2014-125521"/>
        <s v="US-2014-126340"/>
        <s v="US-2014-126571"/>
        <s v="US-2014-127635"/>
        <s v="US-2014-127978"/>
        <s v="US-2014-128685"/>
        <s v="US-2014-129609"/>
        <s v="US-2014-130358"/>
        <s v="US-2014-130379"/>
        <s v="US-2014-131275"/>
        <s v="US-2014-131870"/>
        <s v="US-2014-131982"/>
        <s v="US-2014-132745"/>
        <s v="US-2014-133130"/>
        <s v="US-2014-133949"/>
        <s v="US-2014-134054"/>
        <s v="US-2014-134187"/>
        <s v="US-2014-134614"/>
        <s v="US-2014-134712"/>
        <s v="US-2014-134733"/>
        <s v="US-2014-134971"/>
        <s v="US-2014-135881"/>
        <s v="US-2014-135972"/>
        <s v="US-2014-137155"/>
        <s v="US-2014-137680"/>
        <s v="US-2014-137869"/>
        <s v="US-2014-138247"/>
        <s v="US-2014-138758"/>
        <s v="US-2014-138828"/>
        <s v="US-2014-138835"/>
        <s v="US-2014-139500"/>
        <s v="US-2014-139640"/>
        <s v="US-2014-140116"/>
        <s v="US-2014-140452"/>
        <s v="US-2014-140914"/>
        <s v="US-2014-141215"/>
        <s v="US-2014-141257"/>
        <s v="US-2014-143231"/>
        <s v="US-2014-143287"/>
        <s v="US-2014-143581"/>
        <s v="US-2014-143707"/>
        <s v="US-2014-143721"/>
        <s v="US-2014-144078"/>
        <s v="US-2014-146353"/>
        <s v="US-2014-147606"/>
        <s v="US-2014-147627"/>
        <s v="US-2014-147648"/>
        <s v="US-2014-147704"/>
        <s v="US-2014-147774"/>
        <s v="US-2014-148194"/>
        <s v="US-2014-148838"/>
        <s v="US-2014-149034"/>
        <s v="US-2014-150119"/>
        <s v="US-2014-150126"/>
        <s v="US-2014-150434"/>
        <s v="US-2014-150532"/>
        <s v="US-2014-150574"/>
        <s v="US-2014-150924"/>
        <s v="US-2014-151015"/>
        <s v="US-2014-151925"/>
        <s v="US-2014-152030"/>
        <s v="US-2014-152723"/>
        <s v="US-2014-154655"/>
        <s v="US-2014-154879"/>
        <s v="US-2014-155502"/>
        <s v="US-2014-155544"/>
        <s v="US-2014-155817"/>
        <s v="US-2014-155894"/>
        <s v="US-2014-156216"/>
        <s v="US-2014-156559"/>
        <s v="US-2014-157021"/>
        <s v="US-2014-157070"/>
        <s v="US-2014-157231"/>
        <s v="US-2014-157385"/>
        <s v="US-2014-157406"/>
        <s v="US-2014-157847"/>
        <s v="US-2014-158057"/>
        <s v="US-2014-158365"/>
        <s v="US-2014-158400"/>
        <s v="US-2014-158638"/>
        <s v="US-2014-159611"/>
        <s v="US-2014-159618"/>
        <s v="US-2014-159926"/>
        <s v="US-2014-160444"/>
        <s v="US-2014-160780"/>
        <s v="US-2014-161305"/>
        <s v="US-2014-161613"/>
        <s v="US-2014-163146"/>
        <s v="US-2014-163797"/>
        <s v="US-2014-164406"/>
        <s v="US-2014-164616"/>
        <s v="US-2014-164644"/>
        <s v="US-2014-164763"/>
        <s v="US-2014-165589"/>
        <s v="US-2014-165659"/>
        <s v="US-2014-165862"/>
        <s v="US-2014-166310"/>
        <s v="US-2014-166828"/>
        <s v="US-2014-167262"/>
        <s v="US-2014-167633"/>
        <s v="US-2014-167738"/>
        <s v="US-2014-168501"/>
        <s v="US-2014-169390"/>
        <s v="US-2014-169789"/>
        <s v="US-2015-100069"/>
        <s v="US-2015-100377"/>
        <s v="US-2015-100531"/>
        <s v="US-2015-101399"/>
        <s v="US-2015-101511"/>
        <s v="US-2015-103471"/>
        <s v="US-2015-103996"/>
        <s v="US-2015-104185"/>
        <s v="US-2015-104430"/>
        <s v="US-2015-105676"/>
        <s v="US-2015-106495"/>
        <s v="US-2015-106873"/>
        <s v="US-2015-107349"/>
        <s v="US-2015-107944"/>
        <s v="US-2015-108966"/>
        <s v="US-2015-109015"/>
        <s v="US-2015-110163"/>
        <s v="US-2015-110261"/>
        <s v="US-2015-110569"/>
        <s v="US-2015-111927"/>
        <s v="US-2015-112508"/>
        <s v="US-2015-113327"/>
        <s v="US-2015-113593"/>
        <s v="US-2015-114741"/>
        <s v="US-2015-114839"/>
        <s v="US-2015-115238"/>
        <s v="US-2015-115343"/>
        <s v="US-2015-116981"/>
        <s v="US-2015-117184"/>
        <s v="US-2015-117492"/>
        <s v="US-2015-118766"/>
        <s v="US-2015-118906"/>
        <s v="US-2015-118983"/>
        <s v="US-2015-119312"/>
        <s v="US-2015-120161"/>
        <s v="US-2015-120502"/>
        <s v="US-2015-120572"/>
        <s v="US-2015-120712"/>
        <s v="US-2015-120957"/>
        <s v="US-2015-122140"/>
        <s v="US-2015-122784"/>
        <s v="US-2015-122910"/>
        <s v="US-2015-123218"/>
        <s v="US-2015-123918"/>
        <s v="US-2015-123960"/>
        <s v="US-2015-124219"/>
        <s v="US-2015-125374"/>
        <s v="US-2015-126214"/>
        <s v="US-2015-126235"/>
        <s v="US-2015-126753"/>
        <s v="US-2015-126977"/>
        <s v="US-2015-127040"/>
        <s v="US-2015-128090"/>
        <s v="US-2015-128587"/>
        <s v="US-2015-129007"/>
        <s v="US-2015-129553"/>
        <s v="US-2015-129637"/>
        <s v="US-2015-130491"/>
        <s v="US-2015-130512"/>
        <s v="US-2015-130519"/>
        <s v="US-2015-131359"/>
        <s v="US-2015-131842"/>
        <s v="US-2015-132836"/>
        <s v="US-2015-134026"/>
        <s v="US-2015-134271"/>
        <s v="US-2015-134558"/>
        <s v="US-2015-136259"/>
        <s v="US-2015-136427"/>
        <s v="US-2015-136476"/>
        <s v="US-2015-136749"/>
        <s v="US-2015-136987"/>
        <s v="US-2015-137008"/>
        <s v="US-2015-137533"/>
        <s v="US-2015-137960"/>
        <s v="US-2015-138093"/>
        <s v="US-2015-138121"/>
        <s v="US-2015-138303"/>
        <s v="US-2015-138716"/>
        <s v="US-2015-138919"/>
        <s v="US-2015-139675"/>
        <s v="US-2015-139759"/>
        <s v="US-2015-140200"/>
        <s v="US-2015-140851"/>
        <s v="US-2015-141453"/>
        <s v="US-2015-141684"/>
        <s v="US-2015-142020"/>
        <s v="US-2015-142811"/>
        <s v="US-2015-144771"/>
        <s v="US-2015-145121"/>
        <s v="US-2015-145422"/>
        <s v="US-2015-145436"/>
        <s v="US-2015-146745"/>
        <s v="US-2015-147242"/>
        <s v="US-2015-147662"/>
        <s v="US-2015-147739"/>
        <s v="US-2015-148817"/>
        <s v="US-2015-149629"/>
        <s v="US-2015-149692"/>
        <s v="US-2015-150161"/>
        <s v="US-2015-150231"/>
        <s v="US-2015-150630"/>
        <s v="US-2015-151407"/>
        <s v="US-2015-151435"/>
        <s v="US-2015-152128"/>
        <s v="US-2015-153283"/>
        <s v="US-2015-153374"/>
        <s v="US-2015-153500"/>
        <s v="US-2015-154389"/>
        <s v="US-2015-155369"/>
        <s v="US-2015-156496"/>
        <s v="US-2015-156797"/>
        <s v="US-2015-156867"/>
        <s v="US-2015-157014"/>
        <s v="US-2015-157154"/>
        <s v="US-2015-158589"/>
        <s v="US-2015-158911"/>
        <s v="US-2015-159499"/>
        <s v="US-2015-159513"/>
        <s v="US-2015-159982"/>
        <s v="US-2015-160150"/>
        <s v="US-2015-160563"/>
        <s v="US-2015-160857"/>
        <s v="US-2015-161347"/>
        <s v="US-2015-161466"/>
        <s v="US-2015-161991"/>
        <s v="US-2015-163279"/>
        <s v="US-2015-163433"/>
        <s v="US-2015-163685"/>
        <s v="US-2015-163783"/>
        <s v="US-2015-163825"/>
        <s v="US-2015-164175"/>
        <s v="US-2015-164238"/>
        <s v="US-2015-164308"/>
        <s v="US-2015-164357"/>
        <s v="US-2015-164448"/>
        <s v="US-2015-164966"/>
        <s v="US-2015-165449"/>
        <s v="US-2015-165512"/>
        <s v="US-2015-165743"/>
        <s v="US-2015-166520"/>
        <s v="US-2015-167220"/>
        <s v="US-2015-168704"/>
        <s v="US-2015-168732"/>
        <s v="US-2015-168914"/>
        <s v="US-2015-168935"/>
      </sharedItems>
    </cacheField>
    <cacheField name="Order Date" numFmtId="164">
      <sharedItems containsSemiMixedTypes="0" containsDate="1" containsString="0">
        <d v="2014-09-07T00:00:00Z"/>
        <d v="2014-07-08T00:00:00Z"/>
        <d v="2014-03-14T00:00:00Z"/>
        <d v="2014-01-28T00:00:00Z"/>
        <d v="2014-04-08T00:00:00Z"/>
        <d v="2014-05-25T00:00:00Z"/>
        <d v="2014-04-18T00:00:00Z"/>
        <d v="2014-12-16T00:00:00Z"/>
        <d v="2014-11-24T00:00:00Z"/>
        <d v="2014-03-26T00:00:00Z"/>
        <d v="2014-10-19T00:00:00Z"/>
        <d v="2014-03-28T00:00:00Z"/>
        <d v="2014-06-02T00:00:00Z"/>
        <d v="2014-10-21T00:00:00Z"/>
        <d v="2014-11-19T00:00:00Z"/>
        <d v="2014-12-02T00:00:00Z"/>
        <d v="2014-12-09T00:00:00Z"/>
        <d v="2014-08-27T00:00:00Z"/>
        <d v="2014-12-22T00:00:00Z"/>
        <d v="2014-12-07T00:00:00Z"/>
        <d v="2014-12-26T00:00:00Z"/>
        <d v="2014-04-20T00:00:00Z"/>
        <d v="2014-09-12T00:00:00Z"/>
        <d v="2014-11-28T00:00:00Z"/>
        <d v="2014-12-15T00:00:00Z"/>
        <d v="2014-03-31T00:00:00Z"/>
        <d v="2014-11-17T00:00:00Z"/>
        <d v="2014-10-28T00:00:00Z"/>
        <d v="2014-09-30T00:00:00Z"/>
        <d v="2014-10-04T00:00:00Z"/>
        <d v="2014-11-21T00:00:00Z"/>
        <d v="2014-12-29T00:00:00Z"/>
        <d v="2014-01-23T00:00:00Z"/>
        <d v="2014-04-06T00:00:00Z"/>
        <d v="2014-11-01T00:00:00Z"/>
        <d v="2014-09-09T00:00:00Z"/>
        <d v="2014-04-05T00:00:00Z"/>
        <d v="2014-07-23T00:00:00Z"/>
        <d v="2014-10-17T00:00:00Z"/>
        <d v="2014-12-20T00:00:00Z"/>
        <d v="2014-09-22T00:00:00Z"/>
        <d v="2014-11-09T00:00:00Z"/>
        <d v="2014-05-10T00:00:00Z"/>
        <d v="2014-07-05T00:00:00Z"/>
        <d v="2014-08-26T00:00:00Z"/>
        <d v="2014-01-15T00:00:00Z"/>
        <d v="2014-05-18T00:00:00Z"/>
        <d v="2014-05-30T00:00:00Z"/>
        <d v="2014-10-10T00:00:00Z"/>
        <d v="2014-11-30T00:00:00Z"/>
        <d v="2014-08-25T00:00:00Z"/>
        <d v="2014-02-23T00:00:00Z"/>
        <d v="2014-01-03T00:00:00Z"/>
        <d v="2014-05-11T00:00:00Z"/>
        <d v="2014-09-17T00:00:00Z"/>
        <d v="2014-03-19T00:00:00Z"/>
        <d v="2014-03-01T00:00:00Z"/>
        <d v="2014-06-27T00:00:00Z"/>
        <d v="2014-06-17T00:00:00Z"/>
        <d v="2014-03-07T00:00:00Z"/>
        <d v="2014-12-30T00:00:00Z"/>
        <d v="2014-12-08T00:00:00Z"/>
        <d v="2014-05-21T00:00:00Z"/>
        <d v="2014-02-04T00:00:00Z"/>
        <d v="2014-11-18T00:00:00Z"/>
        <d v="2014-04-04T00:00:00Z"/>
        <d v="2014-11-11T00:00:00Z"/>
        <d v="2014-11-22T00:00:00Z"/>
        <d v="2014-01-07T00:00:00Z"/>
        <d v="2014-03-03T00:00:00Z"/>
        <d v="2014-01-06T00:00:00Z"/>
        <d v="2014-06-07T00:00:00Z"/>
        <d v="2014-12-05T00:00:00Z"/>
        <d v="2014-10-31T00:00:00Z"/>
        <d v="2014-09-05T00:00:00Z"/>
        <d v="2014-08-24T00:00:00Z"/>
        <d v="2014-12-06T00:00:00Z"/>
        <d v="2014-05-14T00:00:00Z"/>
        <d v="2014-09-02T00:00:00Z"/>
        <d v="2014-09-28T00:00:00Z"/>
        <d v="2014-11-02T00:00:00Z"/>
        <d v="2014-03-02T00:00:00Z"/>
        <d v="2014-12-12T00:00:00Z"/>
        <d v="2014-07-02T00:00:00Z"/>
        <d v="2014-02-14T00:00:00Z"/>
        <d v="2014-02-07T00:00:00Z"/>
        <d v="2014-04-29T00:00:00Z"/>
        <d v="2014-09-08T00:00:00Z"/>
        <d v="2014-06-08T00:00:00Z"/>
        <d v="2014-02-06T00:00:00Z"/>
        <d v="2014-10-02T00:00:00Z"/>
        <d v="2014-10-24T00:00:00Z"/>
        <d v="2014-05-28T00:00:00Z"/>
        <d v="2014-10-03T00:00:00Z"/>
        <d v="2014-08-15T00:00:00Z"/>
        <d v="2014-12-21T00:00:00Z"/>
        <d v="2014-11-05T00:00:00Z"/>
        <d v="2014-06-30T00:00:00Z"/>
        <d v="2014-01-13T00:00:00Z"/>
        <d v="2014-08-12T00:00:00Z"/>
        <d v="2014-02-20T00:00:00Z"/>
        <d v="2014-10-06T00:00:00Z"/>
        <d v="2014-09-01T00:00:00Z"/>
        <d v="2014-07-21T00:00:00Z"/>
        <d v="2014-07-14T00:00:00Z"/>
        <d v="2014-08-05T00:00:00Z"/>
        <d v="2014-10-22T00:00:00Z"/>
        <d v="2014-04-25T00:00:00Z"/>
        <d v="2014-07-12T00:00:00Z"/>
        <d v="2014-05-05T00:00:00Z"/>
        <d v="2014-11-23T00:00:00Z"/>
        <d v="2014-10-18T00:00:00Z"/>
        <d v="2014-01-21T00:00:00Z"/>
        <d v="2014-08-09T00:00:00Z"/>
        <d v="2014-04-11T00:00:00Z"/>
        <d v="2014-08-23T00:00:00Z"/>
        <d v="2014-06-01T00:00:00Z"/>
        <d v="2014-02-03T00:00:00Z"/>
        <d v="2014-12-31T00:00:00Z"/>
        <d v="2014-07-30T00:00:00Z"/>
        <d v="2014-08-17T00:00:00Z"/>
        <d v="2014-06-29T00:00:00Z"/>
        <d v="2014-04-23T00:00:00Z"/>
        <d v="2014-03-18T00:00:00Z"/>
        <d v="2014-05-04T00:00:00Z"/>
        <d v="2014-09-29T00:00:00Z"/>
        <d v="2014-04-03T00:00:00Z"/>
        <d v="2014-01-04T00:00:00Z"/>
        <d v="2014-09-11T00:00:00Z"/>
        <d v="2014-12-24T00:00:00Z"/>
        <d v="2014-07-09T00:00:00Z"/>
        <d v="2014-09-14T00:00:00Z"/>
        <d v="2014-09-10T00:00:00Z"/>
        <d v="2014-12-13T00:00:00Z"/>
        <d v="2014-05-13T00:00:00Z"/>
        <d v="2014-09-13T00:00:00Z"/>
        <d v="2014-06-16T00:00:00Z"/>
        <d v="2014-09-23T00:00:00Z"/>
        <d v="2014-10-11T00:00:00Z"/>
        <d v="2014-08-20T00:00:00Z"/>
        <d v="2014-12-23T00:00:00Z"/>
        <d v="2014-06-13T00:00:00Z"/>
        <d v="2014-03-11T00:00:00Z"/>
        <d v="2014-09-26T00:00:00Z"/>
        <d v="2014-05-02T00:00:00Z"/>
        <d v="2014-01-31T00:00:00Z"/>
        <d v="2014-08-06T00:00:00Z"/>
        <d v="2014-01-16T00:00:00Z"/>
        <d v="2014-06-09T00:00:00Z"/>
        <d v="2014-07-15T00:00:00Z"/>
        <d v="2014-07-26T00:00:00Z"/>
        <d v="2014-03-04T00:00:00Z"/>
        <d v="2014-11-15T00:00:00Z"/>
        <d v="2014-12-14T00:00:00Z"/>
        <d v="2014-05-08T00:00:00Z"/>
        <d v="2014-04-26T00:00:00Z"/>
        <d v="2014-08-01T00:00:00Z"/>
        <d v="2014-10-07T00:00:00Z"/>
        <d v="2014-07-22T00:00:00Z"/>
        <d v="2014-09-21T00:00:00Z"/>
        <d v="2014-03-17T00:00:00Z"/>
        <d v="2014-04-28T00:00:00Z"/>
        <d v="2014-11-27T00:00:00Z"/>
        <d v="2014-11-16T00:00:00Z"/>
        <d v="2014-11-25T00:00:00Z"/>
        <d v="2014-11-03T00:00:00Z"/>
        <d v="2014-10-08T00:00:00Z"/>
        <d v="2014-07-04T00:00:00Z"/>
        <d v="2014-12-27T00:00:00Z"/>
        <d v="2014-11-07T00:00:00Z"/>
        <d v="2014-09-20T00:00:00Z"/>
        <d v="2014-12-01T00:00:00Z"/>
        <d v="2014-12-19T00:00:00Z"/>
        <d v="2014-03-23T00:00:00Z"/>
        <d v="2014-09-27T00:00:00Z"/>
        <d v="2014-11-06T00:00:00Z"/>
        <d v="2014-11-10T00:00:00Z"/>
        <d v="2014-11-04T00:00:00Z"/>
        <d v="2014-05-06T00:00:00Z"/>
        <d v="2014-08-19T00:00:00Z"/>
        <d v="2014-04-22T00:00:00Z"/>
        <d v="2014-04-13T00:00:00Z"/>
        <d v="2014-02-16T00:00:00Z"/>
        <d v="2014-11-12T00:00:00Z"/>
        <d v="2014-12-03T00:00:00Z"/>
        <d v="2014-07-11T00:00:00Z"/>
        <d v="2014-08-22T00:00:00Z"/>
        <d v="2014-07-18T00:00:00Z"/>
        <d v="2014-10-13T00:00:00Z"/>
        <d v="2014-09-24T00:00:00Z"/>
        <d v="2014-02-02T00:00:00Z"/>
        <d v="2014-01-18T00:00:00Z"/>
        <d v="2014-06-18T00:00:00Z"/>
        <d v="2014-12-17T00:00:00Z"/>
        <d v="2014-04-07T00:00:00Z"/>
        <d v="2014-05-27T00:00:00Z"/>
        <d v="2014-08-08T00:00:00Z"/>
        <d v="2014-06-22T00:00:00Z"/>
        <d v="2014-07-27T00:00:00Z"/>
        <d v="2014-11-26T00:00:00Z"/>
        <d v="2014-05-16T00:00:00Z"/>
        <d v="2014-09-03T00:00:00Z"/>
        <d v="2014-11-14T00:00:00Z"/>
        <d v="2014-08-03T00:00:00Z"/>
        <d v="2014-02-08T00:00:00Z"/>
        <d v="2014-06-23T00:00:00Z"/>
        <d v="2014-08-04T00:00:00Z"/>
        <d v="2014-06-15T00:00:00Z"/>
        <d v="2014-08-11T00:00:00Z"/>
        <d v="2014-05-12T00:00:00Z"/>
        <d v="2014-12-04T00:00:00Z"/>
        <d v="2014-09-19T00:00:00Z"/>
        <d v="2014-02-11T00:00:00Z"/>
        <d v="2014-07-20T00:00:00Z"/>
        <d v="2014-06-21T00:00:00Z"/>
        <d v="2014-03-25T00:00:00Z"/>
        <d v="2014-05-26T00:00:00Z"/>
        <d v="2014-01-11T00:00:00Z"/>
        <d v="2014-05-19T00:00:00Z"/>
        <d v="2014-05-03T00:00:00Z"/>
        <d v="2014-09-06T00:00:00Z"/>
        <d v="2014-05-20T00:00:00Z"/>
        <d v="2014-03-30T00:00:00Z"/>
        <d v="2014-07-28T00:00:00Z"/>
        <d v="2014-06-06T00:00:00Z"/>
        <d v="2014-02-22T00:00:00Z"/>
        <d v="2014-01-30T00:00:00Z"/>
        <d v="2014-07-06T00:00:00Z"/>
        <d v="2014-01-09T00:00:00Z"/>
        <d v="2014-06-03T00:00:00Z"/>
        <d v="2014-08-29T00:00:00Z"/>
        <d v="2014-11-29T00:00:00Z"/>
        <d v="2014-04-21T00:00:00Z"/>
        <d v="2014-10-20T00:00:00Z"/>
        <d v="2014-03-29T00:00:00Z"/>
        <d v="2014-10-09T00:00:00Z"/>
        <d v="2014-09-15T00:00:00Z"/>
        <d v="2014-04-01T00:00:00Z"/>
        <d v="2014-05-23T00:00:00Z"/>
        <d v="2014-10-12T00:00:00Z"/>
        <d v="2014-10-25T00:00:00Z"/>
        <d v="2014-03-21T00:00:00Z"/>
        <d v="2014-11-20T00:00:00Z"/>
        <d v="2014-06-14T00:00:00Z"/>
        <d v="2014-02-01T00:00:00Z"/>
        <d v="2014-06-28T00:00:00Z"/>
        <d v="2014-09-16T00:00:00Z"/>
        <d v="2014-12-28T00:00:00Z"/>
        <d v="2014-09-25T00:00:00Z"/>
        <d v="2014-01-05T00:00:00Z"/>
        <d v="2014-08-16T00:00:00Z"/>
        <d v="2014-04-12T00:00:00Z"/>
        <d v="2014-10-15T00:00:00Z"/>
        <d v="2014-08-31T00:00:00Z"/>
        <d v="2014-05-24T00:00:00Z"/>
        <d v="2014-03-24T00:00:00Z"/>
        <d v="2014-05-22T00:00:00Z"/>
        <d v="2014-07-25T00:00:00Z"/>
        <d v="2014-06-10T00:00:00Z"/>
        <d v="2014-08-30T00:00:00Z"/>
        <d v="2014-01-19T00:00:00Z"/>
        <d v="2014-06-04T00:00:00Z"/>
        <d v="2014-03-22T00:00:00Z"/>
        <d v="2014-10-27T00:00:00Z"/>
        <d v="2014-12-10T00:00:00Z"/>
        <d v="2014-01-20T00:00:00Z"/>
        <d v="2014-05-17T00:00:00Z"/>
        <d v="2014-01-10T00:00:00Z"/>
        <d v="2014-01-14T00:00:00Z"/>
        <d v="2014-03-15T00:00:00Z"/>
        <d v="2014-10-14T00:00:00Z"/>
        <d v="2014-10-05T00:00:00Z"/>
        <d v="2014-02-18T00:00:00Z"/>
        <d v="2014-07-01T00:00:00Z"/>
        <d v="2014-02-17T00:00:00Z"/>
        <d v="2014-10-29T00:00:00Z"/>
        <d v="2014-04-16T00:00:00Z"/>
        <d v="2014-04-30T00:00:00Z"/>
        <d v="2014-02-27T00:00:00Z"/>
        <d v="2014-03-16T00:00:00Z"/>
        <d v="2014-04-19T00:00:00Z"/>
        <d v="2014-05-09T00:00:00Z"/>
        <d v="2014-06-25T00:00:00Z"/>
        <d v="2014-06-24T00:00:00Z"/>
        <d v="2014-04-02T00:00:00Z"/>
        <d v="2014-10-26T00:00:00Z"/>
        <d v="2014-02-21T00:00:00Z"/>
        <d v="2014-02-15T00:00:00Z"/>
        <d v="2014-05-31T00:00:00Z"/>
        <d v="2014-05-07T00:00:00Z"/>
        <d v="2014-06-20T00:00:00Z"/>
        <d v="2014-01-26T00:00:00Z"/>
        <d v="2014-07-19T00:00:00Z"/>
        <d v="2014-03-05T00:00:00Z"/>
        <d v="2015-05-14T00:00:00Z"/>
        <d v="2015-04-13T00:00:00Z"/>
        <d v="2015-05-17T00:00:00Z"/>
        <d v="2015-11-20T00:00:00Z"/>
        <d v="2015-11-22T00:00:00Z"/>
        <d v="2015-09-25T00:00:00Z"/>
        <d v="2015-11-02T00:00:00Z"/>
        <d v="2015-12-19T00:00:00Z"/>
        <d v="2015-09-15T00:00:00Z"/>
        <d v="2015-05-16T00:00:00Z"/>
        <d v="2015-05-31T00:00:00Z"/>
        <d v="2015-04-06T00:00:00Z"/>
        <d v="2015-04-09T00:00:00Z"/>
        <d v="2015-02-09T00:00:00Z"/>
        <d v="2015-12-05T00:00:00Z"/>
        <d v="2015-02-10T00:00:00Z"/>
        <d v="2015-09-18T00:00:00Z"/>
        <d v="2015-08-27T00:00:00Z"/>
        <d v="2015-06-09T00:00:00Z"/>
        <d v="2015-12-27T00:00:00Z"/>
        <d v="2015-11-27T00:00:00Z"/>
        <d v="2015-09-04T00:00:00Z"/>
        <d v="2015-09-12T00:00:00Z"/>
        <d v="2015-09-21T00:00:00Z"/>
        <d v="2015-09-22T00:00:00Z"/>
        <d v="2015-10-12T00:00:00Z"/>
        <d v="2015-03-01T00:00:00Z"/>
        <d v="2015-08-24T00:00:00Z"/>
        <d v="2015-04-18T00:00:00Z"/>
        <d v="2015-11-21T00:00:00Z"/>
        <d v="2015-05-21T00:00:00Z"/>
        <d v="2015-11-07T00:00:00Z"/>
        <d v="2015-04-05T00:00:00Z"/>
        <d v="2015-09-07T00:00:00Z"/>
        <d v="2015-09-27T00:00:00Z"/>
        <d v="2015-02-03T00:00:00Z"/>
        <d v="2015-07-24T00:00:00Z"/>
        <d v="2015-05-30T00:00:00Z"/>
        <d v="2015-12-08T00:00:00Z"/>
        <d v="2015-04-30T00:00:00Z"/>
        <d v="2015-12-01T00:00:00Z"/>
        <d v="2015-06-28T00:00:00Z"/>
        <d v="2015-03-26T00:00:00Z"/>
        <d v="2015-09-24T00:00:00Z"/>
        <d v="2015-08-09T00:00:00Z"/>
        <d v="2015-11-05T00:00:00Z"/>
        <d v="2015-02-06T00:00:00Z"/>
        <d v="2015-06-13T00:00:00Z"/>
        <d v="2015-06-12T00:00:00Z"/>
        <d v="2015-02-27T00:00:00Z"/>
        <d v="2015-01-04T00:00:00Z"/>
        <d v="2015-05-29T00:00:00Z"/>
        <d v="2015-12-11T00:00:00Z"/>
        <d v="2015-05-01T00:00:00Z"/>
        <d v="2015-10-02T00:00:00Z"/>
        <d v="2015-01-02T00:00:00Z"/>
        <d v="2015-09-01T00:00:00Z"/>
        <d v="2015-03-30T00:00:00Z"/>
        <d v="2015-11-13T00:00:00Z"/>
        <d v="2015-09-05T00:00:00Z"/>
        <d v="2015-11-01T00:00:00Z"/>
        <d v="2015-11-06T00:00:00Z"/>
        <d v="2015-11-24T00:00:00Z"/>
        <d v="2015-03-29T00:00:00Z"/>
        <d v="2015-10-18T00:00:00Z"/>
        <d v="2015-03-08T00:00:00Z"/>
        <d v="2015-11-08T00:00:00Z"/>
        <d v="2015-02-18T00:00:00Z"/>
        <d v="2015-10-25T00:00:00Z"/>
        <d v="2015-03-02T00:00:00Z"/>
        <d v="2015-06-23T00:00:00Z"/>
        <d v="2015-12-10T00:00:00Z"/>
        <d v="2015-04-16T00:00:00Z"/>
        <d v="2015-03-20T00:00:00Z"/>
        <d v="2015-09-28T00:00:00Z"/>
        <d v="2015-07-10T00:00:00Z"/>
        <d v="2015-12-18T00:00:00Z"/>
        <d v="2015-04-21T00:00:00Z"/>
        <d v="2015-11-30T00:00:00Z"/>
        <d v="2015-08-28T00:00:00Z"/>
        <d v="2015-05-03T00:00:00Z"/>
        <d v="2015-08-29T00:00:00Z"/>
        <d v="2015-01-05T00:00:00Z"/>
        <d v="2015-07-06T00:00:00Z"/>
        <d v="2015-09-10T00:00:00Z"/>
        <d v="2015-03-05T00:00:00Z"/>
        <d v="2015-04-20T00:00:00Z"/>
        <d v="2015-10-23T00:00:00Z"/>
        <d v="2015-12-31T00:00:00Z"/>
        <d v="2015-01-26T00:00:00Z"/>
        <d v="2015-12-15T00:00:00Z"/>
        <d v="2015-05-25T00:00:00Z"/>
        <d v="2015-10-10T00:00:00Z"/>
        <d v="2015-05-08T00:00:00Z"/>
        <d v="2015-11-29T00:00:00Z"/>
        <d v="2015-12-03T00:00:00Z"/>
        <d v="2015-12-04T00:00:00Z"/>
        <d v="2015-10-29T00:00:00Z"/>
        <d v="2015-03-09T00:00:00Z"/>
        <d v="2015-05-04T00:00:00Z"/>
        <d v="2015-03-17T00:00:00Z"/>
        <d v="2015-04-04T00:00:00Z"/>
        <d v="2015-10-16T00:00:00Z"/>
        <d v="2015-11-17T00:00:00Z"/>
        <d v="2015-12-12T00:00:00Z"/>
        <d v="2015-07-31T00:00:00Z"/>
        <d v="2015-12-26T00:00:00Z"/>
        <d v="2015-07-09T00:00:00Z"/>
        <d v="2015-04-11T00:00:00Z"/>
        <d v="2015-07-18T00:00:00Z"/>
        <d v="2015-08-17T00:00:00Z"/>
        <d v="2015-11-23T00:00:00Z"/>
        <d v="2015-09-26T00:00:00Z"/>
        <d v="2015-08-31T00:00:00Z"/>
        <d v="2015-11-28T00:00:00Z"/>
        <d v="2015-07-02T00:00:00Z"/>
        <d v="2015-12-25T00:00:00Z"/>
        <d v="2015-03-19T00:00:00Z"/>
        <d v="2015-06-19T00:00:00Z"/>
        <d v="2015-11-11T00:00:00Z"/>
        <d v="2015-08-13T00:00:00Z"/>
        <d v="2015-10-11T00:00:00Z"/>
        <d v="2015-03-16T00:00:00Z"/>
        <d v="2015-08-05T00:00:00Z"/>
        <d v="2015-12-21T00:00:00Z"/>
        <d v="2015-04-25T00:00:00Z"/>
        <d v="2015-07-12T00:00:00Z"/>
        <d v="2015-08-02T00:00:00Z"/>
        <d v="2015-11-15T00:00:00Z"/>
        <d v="2015-09-03T00:00:00Z"/>
        <d v="2015-11-09T00:00:00Z"/>
        <d v="2015-07-16T00:00:00Z"/>
        <d v="2015-11-12T00:00:00Z"/>
        <d v="2015-10-19T00:00:00Z"/>
        <d v="2015-12-14T00:00:00Z"/>
        <d v="2015-07-13T00:00:00Z"/>
        <d v="2015-03-13T00:00:00Z"/>
        <d v="2015-10-13T00:00:00Z"/>
        <d v="2015-08-23T00:00:00Z"/>
        <d v="2015-02-08T00:00:00Z"/>
        <d v="2015-10-05T00:00:00Z"/>
        <d v="2015-06-05T00:00:00Z"/>
        <d v="2015-10-01T00:00:00Z"/>
        <d v="2015-09-13T00:00:00Z"/>
        <d v="2015-09-19T00:00:00Z"/>
        <d v="2015-09-14T00:00:00Z"/>
        <d v="2015-06-26T00:00:00Z"/>
        <d v="2015-06-25T00:00:00Z"/>
        <d v="2015-02-15T00:00:00Z"/>
        <d v="2015-01-28T00:00:00Z"/>
        <d v="2015-05-02T00:00:00Z"/>
        <d v="2015-07-05T00:00:00Z"/>
        <d v="2015-04-14T00:00:00Z"/>
        <d v="2015-02-14T00:00:00Z"/>
        <d v="2015-12-23T00:00:00Z"/>
        <d v="2015-03-22T00:00:00Z"/>
        <d v="2015-11-26T00:00:00Z"/>
        <d v="2015-04-24T00:00:00Z"/>
        <d v="2015-03-24T00:00:00Z"/>
        <d v="2015-10-24T00:00:00Z"/>
        <d v="2015-05-28T00:00:00Z"/>
        <d v="2015-06-16T00:00:00Z"/>
        <d v="2015-05-23T00:00:00Z"/>
        <d v="2015-01-23T00:00:00Z"/>
        <d v="2015-01-09T00:00:00Z"/>
        <d v="2015-08-11T00:00:00Z"/>
        <d v="2015-12-28T00:00:00Z"/>
        <d v="2015-12-24T00:00:00Z"/>
        <d v="2015-06-14T00:00:00Z"/>
        <d v="2015-11-16T00:00:00Z"/>
        <d v="2015-03-21T00:00:00Z"/>
        <d v="2015-04-28T00:00:00Z"/>
        <d v="2015-07-23T00:00:00Z"/>
        <d v="2015-11-03T00:00:00Z"/>
        <d v="2015-01-03T00:00:00Z"/>
        <d v="2015-07-17T00:00:00Z"/>
        <d v="2015-10-04T00:00:00Z"/>
        <d v="2015-08-10T00:00:00Z"/>
        <d v="2015-06-11T00:00:00Z"/>
        <d v="2015-02-16T00:00:00Z"/>
        <d v="2015-11-10T00:00:00Z"/>
        <d v="2015-01-30T00:00:00Z"/>
        <d v="2015-08-21T00:00:00Z"/>
        <d v="2015-10-31T00:00:00Z"/>
        <d v="2015-04-26T00:00:00Z"/>
        <d v="2015-06-18T00:00:00Z"/>
        <d v="2015-11-14T00:00:00Z"/>
        <d v="2015-06-21T00:00:00Z"/>
        <d v="2015-10-30T00:00:00Z"/>
        <d v="2015-10-09T00:00:00Z"/>
        <d v="2015-07-04T00:00:00Z"/>
        <d v="2015-04-27T00:00:00Z"/>
        <d v="2015-06-22T00:00:00Z"/>
        <d v="2015-10-03T00:00:00Z"/>
        <d v="2015-12-13T00:00:00Z"/>
        <d v="2015-10-08T00:00:00Z"/>
        <d v="2015-09-11T00:00:00Z"/>
        <d v="2015-09-20T00:00:00Z"/>
        <d v="2015-08-08T00:00:00Z"/>
        <d v="2015-07-26T00:00:00Z"/>
        <d v="2015-03-12T00:00:00Z"/>
        <d v="2015-03-31T00:00:00Z"/>
        <d v="2015-07-03T00:00:00Z"/>
        <d v="2015-01-12T00:00:00Z"/>
        <d v="2015-06-29T00:00:00Z"/>
        <d v="2015-01-24T00:00:00Z"/>
        <d v="2015-05-10T00:00:00Z"/>
        <d v="2015-07-08T00:00:00Z"/>
        <d v="2015-10-15T00:00:00Z"/>
        <d v="2015-02-21T00:00:00Z"/>
        <d v="2015-08-22T00:00:00Z"/>
        <d v="2015-06-15T00:00:00Z"/>
        <d v="2015-03-23T00:00:00Z"/>
        <d v="2015-04-07T00:00:00Z"/>
        <d v="2015-12-07T00:00:00Z"/>
        <d v="2015-12-29T00:00:00Z"/>
        <d v="2015-05-12T00:00:00Z"/>
        <d v="2015-03-28T00:00:00Z"/>
        <d v="2015-12-06T00:00:00Z"/>
        <d v="2015-02-23T00:00:00Z"/>
        <d v="2015-02-22T00:00:00Z"/>
        <d v="2015-07-30T00:00:00Z"/>
        <d v="2015-03-27T00:00:00Z"/>
        <d v="2015-09-17T00:00:00Z"/>
        <d v="2015-09-06T00:00:00Z"/>
        <d v="2015-12-17T00:00:00Z"/>
        <d v="2015-04-10T00:00:00Z"/>
        <d v="2015-08-06T00:00:00Z"/>
        <d v="2015-12-30T00:00:00Z"/>
        <d v="2015-05-11T00:00:00Z"/>
        <d v="2015-04-02T00:00:00Z"/>
        <d v="2015-07-11T00:00:00Z"/>
        <d v="2015-12-20T00:00:00Z"/>
        <d v="2015-05-07T00:00:00Z"/>
        <d v="2015-01-13T00:00:00Z"/>
        <d v="2015-08-07T00:00:00Z"/>
        <d v="2015-05-15T00:00:00Z"/>
        <d v="2015-07-25T00:00:00Z"/>
        <d v="2015-10-26T00:00:00Z"/>
        <d v="2015-06-20T00:00:00Z"/>
        <d v="2015-01-19T00:00:00Z"/>
        <d v="2015-06-07T00:00:00Z"/>
        <d v="2015-08-15T00:00:00Z"/>
        <d v="2015-03-06T00:00:00Z"/>
        <d v="2015-05-26T00:00:00Z"/>
        <d v="2015-07-14T00:00:00Z"/>
        <d v="2015-04-12T00:00:00Z"/>
        <d v="2015-11-19T00:00:00Z"/>
        <d v="2015-05-13T00:00:00Z"/>
        <d v="2015-03-07T00:00:00Z"/>
        <d v="2015-03-10T00:00:00Z"/>
        <d v="2015-02-07T00:00:00Z"/>
        <d v="2015-04-17T00:00:00Z"/>
        <d v="2015-10-20T00:00:00Z"/>
        <d v="2015-01-31T00:00:00Z"/>
        <d v="2015-01-06T00:00:00Z"/>
        <d v="2015-05-22T00:00:00Z"/>
        <d v="2015-04-22T00:00:00Z"/>
        <d v="2015-01-17T00:00:00Z"/>
        <d v="2015-09-08T00:00:00Z"/>
        <d v="2015-10-17T00:00:00Z"/>
        <d v="2015-02-20T00:00:00Z"/>
        <d v="2015-08-01T00:00:00Z"/>
        <d v="2015-05-20T00:00:00Z"/>
        <d v="2015-12-22T00:00:00Z"/>
        <d v="2015-02-25T00:00:00Z"/>
        <d v="2015-03-15T00:00:00Z"/>
        <d v="2015-05-09T00:00:00Z"/>
        <d v="2015-12-09T00:00:00Z"/>
        <d v="2015-04-29T00:00:00Z"/>
        <d v="2015-06-04T00:00:00Z"/>
        <d v="2015-07-20T00:00:00Z"/>
        <d v="2015-06-01T00:00:00Z"/>
        <d v="2015-06-08T00:00:00Z"/>
        <d v="2015-10-28T00:00:00Z"/>
        <d v="2015-12-16T00:00:00Z"/>
        <d v="2015-03-14T00:00:00Z"/>
        <d v="2015-01-27T00:00:00Z"/>
        <d v="2015-05-18T00:00:00Z"/>
        <d v="2015-09-16T00:00:00Z"/>
        <d v="2015-08-25T00:00:00Z"/>
        <d v="2015-10-22T00:00:00Z"/>
        <d v="2014-03-10T00:00:00Z"/>
        <d v="2014-08-02T00:00:00Z"/>
        <d v="2014-10-16T00:00:00Z"/>
        <d v="2014-02-12T00:00:00Z"/>
        <d v="2014-01-27T00:00:00Z"/>
        <d v="2014-04-15T00:00:00Z"/>
        <d v="2014-11-08T00:00:00Z"/>
        <d v="2014-10-01T00:00:00Z"/>
        <d v="2014-02-24T00:00:00Z"/>
        <d v="2014-07-07T00:00:00Z"/>
        <d v="2014-07-13T00:00:00Z"/>
        <d v="2015-08-16T00:00:00Z"/>
        <d v="2015-07-27T00:00:00Z"/>
        <d v="2015-02-28T00:00:00Z"/>
        <d v="2015-04-19T00:00:00Z"/>
        <d v="2015-01-10T00:00:00Z"/>
        <d v="2015-07-19T00:00:00Z"/>
        <d v="2015-11-25T00:00:00Z"/>
        <d v="2015-05-24T00:00:00Z"/>
      </sharedItems>
    </cacheField>
    <cacheField name="Segment" numFmtId="0">
      <sharedItems>
        <s v="Consumer"/>
        <s v="Corporate"/>
        <s v="Home Office"/>
        <s v="Claudia Bergmann"/>
        <s v="Heather Jas"/>
        <s v="Dianna Vittorini"/>
        <s v="Brian Moss"/>
        <s v="Irene Maddox"/>
        <s v="Anne McFarland"/>
        <s v="Scot Wooten"/>
        <s v="Suzanne McNair"/>
        <s v="Ann Chong"/>
        <s v="Tracy Hopkins"/>
        <s v="Janet Molinari"/>
        <s v="Mark Hamilton"/>
        <s v="Ivan Gibson"/>
        <s v="Michael Stewart"/>
        <s v="Nona Balk"/>
        <s v="Charlotte Melton"/>
        <s v="Philip Fox"/>
        <s v="Max Jones"/>
        <s v="David Bremer"/>
        <s v="Carlos Daly"/>
        <s v="Ken Black"/>
        <s v="Tamara Manning"/>
        <s v="Chad Sievert"/>
        <s v="Sanjit Jacobs"/>
        <s v="Mark Packer"/>
        <s v="Dave Hallsten"/>
        <s v="Katrina Willman"/>
        <s v="Natalie Webber"/>
        <s v="Kelly Williams"/>
        <s v="John Huston"/>
        <s v="Henry Goldwyn"/>
        <s v="Karen Bern"/>
        <s v="Jennifer Ferguson"/>
        <s v="Lisa Ryan"/>
        <s v="Helen Wasserman"/>
        <s v="Frank Olsen"/>
        <s v="Shirley Schmidt"/>
        <s v="Edward Nazzal"/>
        <s v="Joel Jenkins"/>
        <s v="Beth Thompson"/>
        <s v="Benjamin Venier"/>
        <s v="Shaun Chance"/>
        <s v="Sung Pak"/>
        <s v="Dan Reichenbach"/>
        <s v="Hallie Redmond"/>
        <s v="Nathan Gelder"/>
        <s v="Lori Olson"/>
        <s v="Tracy Poddar"/>
        <s v="Frank Carlisle"/>
        <s v="Jonathan Howell"/>
        <s v="Erin Smith"/>
        <s v="Andrew Gjertsen"/>
        <s v="Chad Cunningham"/>
        <s v="Patrick O'Brill"/>
        <s v="Ed Braxton"/>
        <s v="Daniel Raglin"/>
        <s v="Keith Herrera"/>
        <s v="Brendan Murry"/>
        <s v="Valerie Mitchum"/>
        <s v="Meg Tillman"/>
        <s v="Darren Powers"/>
        <s v="Chad McGuire"/>
        <s v="Jamie Frazer"/>
        <s v="Christine Phan"/>
        <s v="Marc Crier"/>
        <s v="Kristina Nunn"/>
        <s v="Dana Kaydos"/>
        <s v="Helen Abelman"/>
        <s v="Carol Adams"/>
        <s v="Guy Thornton"/>
        <s v="Pete Armstrong"/>
        <s v="Randy Ferguson"/>
        <s v="Julia West"/>
        <s v="Brad Norvell"/>
        <s v="Eugene Barchas"/>
        <s v="Emily Burns"/>
        <s v="Lena Creighton"/>
        <s v="Bart Watters"/>
        <s v="Zuschuss Carroll"/>
        <s v="Mike Vittorini"/>
        <s v="Brenda Bowman"/>
        <s v="Michael Kennedy"/>
        <s v="Juliana Krohn"/>
        <s v="John Murray"/>
        <s v="Fred Chung"/>
        <s v="Julia Barnett"/>
        <s v="MaryBeth Skach"/>
        <s v="Noel Staavos"/>
        <s v="Brooke Gillingham"/>
        <s v="Kalyca Meade"/>
        <s v="Frank Atkinson"/>
        <s v="Katherine Nockton"/>
        <s v="Eileen Kiefer"/>
        <s v="Olvera Toch"/>
        <s v="Craig Carroll"/>
        <s v="Jas O'Carroll"/>
        <s v="Denise Leinenbach"/>
        <s v="Rob Haberlin"/>
        <s v="Karen Carlisle"/>
        <s v="Luke Foster"/>
        <s v="Ken Heidel"/>
        <s v="Elizabeth Moffitt"/>
        <s v="Joseph Holt"/>
        <s v="Craig Yedwab"/>
        <s v="Denny Joy"/>
        <s v="Heather Kirkland"/>
        <s v="Allen Armold"/>
        <s v="Bill Tyler"/>
        <s v="Alejandro Ballentine"/>
        <s v="Ritsa Hightower"/>
        <s v="Matt Abelman"/>
        <s v="Toby Gnade"/>
        <s v="Dave Kipp"/>
        <s v="Anna Häberlin"/>
        <s v="Harold Ryan"/>
        <s v="Nicole Fjeld"/>
        <s v="Helen Andreada"/>
        <s v="Michael Paige"/>
        <s v="Brian Derr"/>
        <s v="Anna Andreadi"/>
        <s v="Karen Daniels"/>
        <s v="Joe Elijah"/>
        <s v="Phillina Ober"/>
        <s v="Anthony Garverick"/>
        <s v="Steve Chapman"/>
        <s v="Lindsay Castell"/>
        <s v="Mick Crebagga"/>
        <s v="Sanjit Engle"/>
        <s v="Joe Kamberova"/>
        <s v="Roland Fjeld"/>
        <s v="Ann Blume"/>
        <s v="Victoria Pisteka"/>
        <s v="Victoria Brennan"/>
        <s v="Victoria Wilson"/>
        <s v="Scott Cohen"/>
        <s v="Karl Braun"/>
        <s v="Ralph Arnett"/>
        <s v="Fred Hopkins"/>
        <s v="Paul Prost"/>
        <s v="Duane Benoit"/>
        <s v="Odella Nelson"/>
        <s v="Shahid Hopkins"/>
        <s v="Jeremy Ellison"/>
        <s v="Stewart Visinsky"/>
        <s v="Katrina Bavinger"/>
        <s v="Andrew Roberts"/>
        <s v="Roger Demir"/>
        <s v="Nat Carroll"/>
        <s v="David Philippe"/>
        <s v="John Lucas"/>
        <s v="Daniel Lacy"/>
        <s v="Fred McMath"/>
        <s v="Darren Koutras"/>
        <s v="Ryan Akin"/>
        <s v="Berenike Kampe"/>
        <s v="Maria Bertelson"/>
        <s v="Valerie Dominguez"/>
        <s v="Jim Karlsson"/>
        <s v="Dean Katz"/>
        <s v="Cathy Prescott"/>
        <s v="Eleni McCrary"/>
        <s v="Shahid Collister"/>
        <s v="Nicole Hansen"/>
        <s v="Eric Hoffmann"/>
        <s v="Natalie DeCherney"/>
        <s v="Art Foster"/>
        <s v="Tamara Dahlen"/>
        <s v="Keith Dawkins"/>
        <s v="Lisa Hazard"/>
        <s v="Robert Marley"/>
        <s v="Arthur Gainer"/>
        <s v="Linda Southworth"/>
        <s v="Ken Lonsdale"/>
        <s v="Tracy Collins"/>
        <s v="Brad Eason"/>
        <s v="Sue Ann Reed"/>
        <s v="Alan Barnes"/>
        <s v="Justin MacKendrick"/>
        <s v="Barbara Fisher"/>
        <s v="Jamie Kunitz"/>
        <s v="Noah Childs"/>
        <s v="Theone Pippenger"/>
        <s v="Ted Trevino"/>
        <s v="Quincy Jones"/>
        <s v="Steve Nguyen"/>
        <s v="Maria Zettner"/>
        <s v="Matt Collins"/>
        <s v="Bradley Drucker"/>
        <s v="Debra Catini"/>
        <s v="Tim Brockman"/>
        <s v="Guy Phonely"/>
        <s v="Deborah Brumfield"/>
        <s v="Dennis Pardue"/>
        <s v="Harry Marie"/>
        <s v="Neil Knudson"/>
        <s v="Lycoris Saunders"/>
        <s v="Kristen Hastings"/>
        <s v="Carl Weiss"/>
        <s v="Jesus Ocampo"/>
        <s v="Tracy Zic"/>
        <s v="Roger Barcio"/>
        <s v="Muhammed MacIntyre"/>
        <s v="Steven Cartwright"/>
        <s v="Barry Weirich"/>
        <s v="Mark Van Huff"/>
        <s v="Eric Murdock"/>
        <s v="Shahid Shariari"/>
        <s v="Logan Currie"/>
        <s v="Maribeth Schnelling"/>
        <s v="Sarah Foster"/>
        <s v="Christina Anderson"/>
        <s v="Richard Bierner"/>
        <s v="Alan Dominguez"/>
        <s v="John Grady"/>
        <s v="Clytie Kelty"/>
        <s v="Sonia Sunley"/>
        <s v="Bill Donatelli"/>
        <s v="Shirley Daniels"/>
        <s v="Marina Lichtenstein"/>
        <s v="Barry Gonzalez"/>
        <s v="Jennifer Jackson"/>
        <s v="Chris Selesnick"/>
        <s v="Sylvia Foulston"/>
        <s v="Cassandra Brandow"/>
        <s v="Denny Ordway"/>
        <s v="Alex Avila"/>
        <s v="Fred Wasserman"/>
        <s v="Jennifer Braxton"/>
        <s v="Jim Epp"/>
        <s v="Rob Dowd"/>
        <s v="Philisse Overcash"/>
        <s v="Charles Crestani"/>
        <s v="Logan Haushalter"/>
        <s v="William Brown"/>
        <s v="Harold Pawlan"/>
        <s v="Skye Norling"/>
        <s v="Bryan Spruell"/>
        <s v="Rick Duston"/>
        <s v="Pauline Johnson"/>
        <s v="Jack Garza"/>
        <s v="Annie Thurman"/>
        <s v="Gary Zandusky"/>
        <s v="Doug Jacobs"/>
        <s v="Emily Phan"/>
        <s v="Kean Nguyen"/>
        <s v="Andy Reiter"/>
        <s v="Sanjit Chand"/>
        <s v="Cathy Hwang"/>
        <s v="Maurice Satty"/>
        <s v="Melanie Seite"/>
        <s v="Greg Tran"/>
        <s v="Thomas Thornton"/>
        <s v="Rick Wilson"/>
        <s v="Rick Hansen"/>
        <s v="Stephanie Phelps"/>
        <s v="David Flashing"/>
        <s v="Michael Grace"/>
        <s v="Mary Zewe"/>
        <s v="Alan Haines"/>
        <s v="Laura Armstrong"/>
        <s v="Kelly Collister"/>
        <s v="Patrick Ryan"/>
        <s v="Nora Pelletier"/>
        <s v="Brian Thompson"/>
        <s v="Bruce Stewart"/>
        <s v="George Bell"/>
        <s v="Ashley Jarboe"/>
        <s v="Rob Lucas"/>
        <s v="Doug O'Connell"/>
        <s v="Stuart Van"/>
        <s v="Brian Stugart"/>
        <s v="Justin Hirsh"/>
        <s v="Elpida Rittenbach"/>
        <s v="Gene McClure"/>
        <s v="Pauline Webber"/>
        <s v="Jay Kimmel"/>
        <s v="Jonathan Doherty"/>
        <s v="Adam Shillingsburg"/>
        <s v="Duane Huffman"/>
        <s v="Cyma Kinney"/>
        <s v="John Castell"/>
        <s v="Monica Federle"/>
        <s v="Christopher Martinez"/>
        <s v="Edward Becker"/>
        <s v="Bruce Degenhardt"/>
        <s v="Resi Pölking"/>
        <s v="Cindy Schnelling"/>
        <s v="Cyra Reiten"/>
        <s v="Craig Carreira"/>
        <s v="Anthony Witt"/>
        <s v="Denny Blanton"/>
        <s v="Darrin Martin"/>
        <s v="Yana Sorensen"/>
        <s v="Roy Phan"/>
        <s v="Peter Fuller"/>
        <s v="Henry MacAllister"/>
        <s v="Julie Kriz"/>
        <s v="Aaron Hawkins"/>
        <s v="Sheri Gordon"/>
        <s v="David Smith"/>
        <s v="Frank Merwin"/>
        <s v="Victor Preis"/>
        <s v="Jeremy Farry"/>
        <s v="Russell Applegate"/>
        <s v="Deirdre Greer"/>
        <s v="Roy Französisch"/>
        <s v="Annie Zypern"/>
        <s v="Tracy Blumstein"/>
        <s v="Naresj Patel"/>
        <s v="Gene Hale"/>
        <s v="Stefania Perrino"/>
        <s v="Laurel Elliston"/>
        <s v="James Galang"/>
        <s v="Dennis Kane"/>
        <s v="Dave Poirier"/>
        <s v="Penelope Sewall"/>
        <s v="Don Miller"/>
        <s v="Jay Fein"/>
        <s v="Corey Catlett"/>
        <s v="Kean Thornton"/>
        <s v="Meg O'Connel"/>
        <s v="Grace Kelly"/>
        <s v="Craig Molinari"/>
        <s v="Sample Company A"/>
        <s v="Thea Hendricks"/>
        <s v="Alyssa Tate"/>
        <s v="Jim Kriz"/>
        <s v="Paul Gonzalez"/>
        <s v="Eugene Hildebrand"/>
        <s v="John Dryer"/>
        <s v="Maribeth Dona"/>
        <s v="Stephanie Ulpright"/>
        <s v="Maxwell Schwartz"/>
        <s v="Benjamin Patterson"/>
        <s v="Rachel Payne"/>
        <s v="Chloris Kastensmidt"/>
        <s v="Giulietta Weimer"/>
        <s v="Tamara Willingham"/>
        <s v="Kunst Miller"/>
        <s v="Clay Ludtke"/>
        <s v="Tonja Turnell"/>
        <s v="Mike Pelletier"/>
        <s v="Paul Stevenson"/>
        <s v="Cynthia Arntzen"/>
        <s v="Sam Zeldin"/>
        <s v="Tom Prescott"/>
        <s v="Muhammed Lee"/>
        <s v="Cari Sayre"/>
        <s v="Todd Sumrall"/>
        <s v="Bobby Odegard"/>
        <s v="Nathan Mautz"/>
        <s v="Trudy Schmidt"/>
        <s v="Emily Ducich"/>
        <s v="Anna Gayman"/>
        <s v="Philip Brown"/>
        <s v="Marc Harrigan"/>
        <s v="Jill Fjeld"/>
        <s v="Patrick Jones"/>
        <s v="Janet Lee"/>
        <s v="Doug Bickford"/>
        <s v="Lauren Leatherbury"/>
        <s v="Bart Pistole"/>
        <s v="Nora Paige"/>
        <s v="Jessica Myrick"/>
        <s v="Emily Grady"/>
        <s v="Maya Herman"/>
        <s v="Christine Sundaresam"/>
        <s v="Russell D'Ascenzo"/>
        <s v="Maribeth Yedwab"/>
        <s v="Alex Russell"/>
        <s v="Joel Eaton"/>
        <s v="Giulietta Baptist"/>
        <s v="Dean percer"/>
        <s v="Stewart Carmichael"/>
        <s v="Corinna Mitchell"/>
        <s v="Tanja Norvell"/>
        <s v="Trudy Glocke"/>
        <s v="Amy Hunt"/>
        <s v="Paul MacIntyre"/>
        <s v="Lena Radford"/>
        <s v="Darren Budd"/>
        <s v="Evan Minnotte"/>
        <s v="Barry Blumstein"/>
        <s v="Parhena Norris"/>
        <s v="Justin Ritter"/>
        <s v="Erica Smith"/>
        <s v="Richard Eichhorn"/>
        <s v="Bill Stewart"/>
        <s v="Deanra Eno"/>
        <s v="Denise Monton"/>
        <s v="Evan Bailliet"/>
        <s v="Sandra Flanagan"/>
        <s v="Kelly Andreada"/>
        <s v="Pamela Stobb"/>
        <s v="Dan Campbell"/>
        <s v="Jill Stevenson"/>
        <s v="Saphhira Shifley"/>
        <s v="Alan Shonely"/>
        <s v="Dennis Bolton"/>
        <s v="Nathan Cano"/>
        <s v="Alan Schoenberger"/>
        <s v="Nick Zandusky"/>
        <s v="Pierre Wener"/>
        <s v="Maria Etezadi"/>
        <s v="Grant Thornton"/>
        <s v="Arthur Wiediger"/>
        <s v="Gary Hwang"/>
        <s v="Sean Miller"/>
        <s v="Justin Deggeller"/>
        <s v="Matt Connell"/>
        <s v="Jeremy Pistek"/>
        <s v="Robert Dilbeck"/>
        <s v="Barry Französisch"/>
        <s v="Katherine Ducich"/>
        <s v="Ben Ferrer"/>
        <s v="Carol Triggs"/>
        <s v="Sarah Jordon"/>
        <s v="Eugene Moren"/>
        <s v="Patrick Bzostek"/>
        <s v="Sarah Brown"/>
        <s v="Toby Swindell"/>
        <s v="Michael Granlund"/>
        <s v="Corey-Lock"/>
        <s v="Damala Kotsonis"/>
        <s v="Sam Craven"/>
        <s v="Carlos Meador"/>
        <s v="Natalie Fritzler"/>
        <s v="Chris Cortes"/>
        <s v="Mike Caudle"/>
        <s v="Katherine Murray"/>
        <s v="Michelle Huthwaite"/>
        <s v="Fred Harton"/>
        <s v="Ruben Dartt"/>
        <s v="Sally Hughsby"/>
        <s v="Brosina Hoffman"/>
        <s v="Theresa Swint"/>
        <s v="Trudy Brown"/>
        <s v="Julie Creighton"/>
        <s v="Cynthia Delaney"/>
        <s v="Guy Armstrong"/>
        <s v="Steven Roelle"/>
        <s v="Rick Reed"/>
        <s v="Cari Schnelling"/>
        <s v="Adam Bellavance"/>
        <s v="Shaun Weien"/>
        <s v="Lena Cacioppo"/>
        <s v="Chuck Clark"/>
        <s v="Maureen Gastineau"/>
        <s v="Tony Chapman"/>
        <s v="Ivan Liston"/>
        <s v="Carlos Soltero"/>
        <s v="Julie Prescott"/>
        <s v="Robert Barroso"/>
        <s v="Yoseph Carroll"/>
        <s v="Shui Tom"/>
        <s v="Pauline Chand"/>
        <s v="Sara Luxemburg"/>
        <s v="Dionis Lloyd"/>
        <s v="Alejandro Grove"/>
        <s v="Rose O'Brian"/>
        <s v="Sean Braxton"/>
        <s v="Bruce Geld"/>
        <s v="Liz Thompson"/>
        <s v="Sung Shariari"/>
        <s v="Erin Ashbrook"/>
        <s v="Alan Hwang"/>
        <s v="Karen Seio"/>
        <s v="George Ashbrook"/>
        <s v="Ruben Ausman"/>
        <s v="Xylona Preis"/>
        <s v="Max Engle"/>
        <s v="Stuart Calhoun"/>
        <s v="Tamara Chand"/>
        <s v="Raymond Messe"/>
        <s v="Matt Hagelstein"/>
        <s v="Erica Hackney"/>
        <s v="Dan Lawera"/>
        <s v="Michelle Tran"/>
        <s v="Michelle Arnett"/>
        <s v="Ken Brennan"/>
        <s v="Harold Dahlen"/>
        <s v="Rick Huthwaite"/>
        <s v="Dean Braden"/>
        <s v="Becky Castell"/>
        <s v="Kean Takahito"/>
        <s v="Becky Pak"/>
        <s v="James Lanier"/>
        <s v="Brian Dahlen"/>
        <s v="Arianne Irving"/>
        <s v="Cindy Stewart"/>
        <s v="Ralph Kennedy"/>
        <s v="Thomas Brumley"/>
        <s v="Anthony Rawles"/>
        <s v="Bryan Mills"/>
        <s v="Catherine Glotzbach"/>
        <s v="Mark Cousins"/>
        <s v="Sean O'Donnell"/>
        <s v="Adam Hart"/>
        <s v="Neoma Murray"/>
        <s v="Tim Taslimi"/>
        <s v="Sandra Glassco"/>
        <s v="Cathy Armstrong"/>
        <s v="Sonia Cooley"/>
        <s v="Dorothy Wardle"/>
        <s v="Greg Hansen"/>
        <s v="Adrian Barton"/>
        <s v="Eudokia Martin"/>
        <s v="Brendan Dodson"/>
        <s v="Maureen Gnade"/>
        <s v="Andy Gerbode"/>
        <s v="Ellis Ballard"/>
        <s v="Mitch Webber"/>
        <s v="Allen Rosenblatt"/>
        <s v="Amy Cox"/>
        <s v="Sean Christensen"/>
        <s v="Brad Thomas"/>
        <s v="Hunter Glantz"/>
        <s v="Lynn Smith"/>
        <s v="Anthony Jacobs"/>
        <s v="Ben Peterman"/>
        <s v="Aleksandra Gannaway"/>
        <s v="Stefanie Holloman"/>
        <s v="Valerie Takahito"/>
        <s v="Aimee Bixby"/>
        <s v="Dario Medina"/>
        <s v="Art Ferguson"/>
        <s v="Seth Vernon"/>
        <s v="Michelle Ellison"/>
        <s v="Joni Blumstein"/>
        <s v="Ed Jacobs"/>
        <s v="Liz MacKendrick"/>
        <s v="Neil Französisch"/>
        <s v="Joni Sundaresam"/>
        <s v="Jim Radford"/>
        <s v="Alice McCarthy"/>
        <s v="Brendan Sweed"/>
        <s v="Jane Waco"/>
        <s v="Lindsay Shagiari"/>
        <s v="Christopher Schild"/>
        <s v="Michael Oakman"/>
        <s v="Larry Tron"/>
        <s v="Claire Gute"/>
        <s v="Julia Dunbar"/>
        <s v="John Stevenson"/>
        <s v="Speros Goranitis"/>
        <s v="Ken Dana"/>
        <s v="Patrick Gardner"/>
        <s v="Nat Gilpin"/>
        <s v="Peter McVee"/>
        <s v="Christy Brittain"/>
        <s v="Greg Guthrie"/>
        <s v="Lena Hernandez"/>
        <s v="Jennifer Patt"/>
        <s v="John Lee"/>
        <s v="Mike Gockenbach"/>
        <s v="Nancy Lomonaco"/>
        <s v="Neil Ducich"/>
        <s v="Michelle Moray"/>
        <s v="Ann Steele"/>
        <s v="Edward Hooks"/>
        <s v="Ross Baird"/>
        <s v="Michael Moore"/>
        <s v="Roland Schwarz"/>
        <s v="Thais Sissman"/>
        <s v="Harry Greene"/>
        <s v="Katrina Edelman"/>
        <s v="Joni Wasserman"/>
        <s v="Steve Carroll"/>
        <s v="Gary Hansen"/>
        <s v="Anne Pryor"/>
        <s v="Vivek Sundaresam"/>
        <s v="Frank Preis"/>
        <s v="Khloe Miller"/>
      </sharedItems>
    </cacheField>
    <cacheField name="State" numFmtId="0">
      <sharedItems>
        <s v="New York"/>
        <s v="California"/>
        <s v="Florida"/>
        <s v="Arizona"/>
        <s v="Texas"/>
        <s v="Virginia"/>
        <s v="Michigan"/>
        <s v="New Mexico"/>
        <s v="Georgia"/>
        <s v="Utah"/>
        <s v="Illinois"/>
        <s v="Washington"/>
        <s v="Pennsylvania"/>
        <s v="South Carolina"/>
        <s v="Kentucky"/>
        <s v="Nevada"/>
        <s v="North Carolina"/>
        <s v="Indiana"/>
        <s v="Delaware"/>
        <s v="Ohio"/>
        <s v="Mississippi"/>
        <s v="Wisconsin"/>
        <s v="Montana"/>
        <s v="Minnesota"/>
        <s v="Massachusetts"/>
        <s v="New Jersey"/>
        <s v="Kansas"/>
        <s v="Tennessee"/>
        <s v="Nebraska"/>
        <s v="Alabama"/>
        <s v="Missouri"/>
        <s v="Colorado"/>
        <s v="Arkansas"/>
        <s v="South Dakota"/>
        <s v="Oklahoma"/>
        <s v="Maryland"/>
        <s v="Rhode Island"/>
        <s v="Oregon"/>
        <s v="Connecticut"/>
        <s v="Maine"/>
        <s v="Louisiana"/>
        <s v="Corporate"/>
        <s v="Home Office"/>
        <s v="Consumer"/>
        <s v="Idaho"/>
        <s v="New Hampshire"/>
        <s v="Iowa"/>
      </sharedItems>
    </cacheField>
    <cacheField name="Region" numFmtId="0">
      <sharedItems>
        <s v="East"/>
        <s v="West"/>
        <s v="South"/>
        <s v="Central"/>
      </sharedItems>
    </cacheField>
    <cacheField name="Sales" numFmtId="4">
      <sharedItems containsSemiMixedTypes="0" containsString="0" containsNumber="1">
        <n v="377.97"/>
        <n v="502.488"/>
        <n v="91.056"/>
        <n v="3.928"/>
        <n v="2.368"/>
        <n v="14.62"/>
        <n v="2.688"/>
        <n v="99.98"/>
        <n v="151.92"/>
        <n v="18.75"/>
        <n v="321.552"/>
        <n v="302.376"/>
        <n v="8.56"/>
        <n v="194.7"/>
        <n v="166.44"/>
        <n v="2.394"/>
        <n v="100.704"/>
        <n v="13.36"/>
        <n v="296.712"/>
        <n v="269.36"/>
        <n v="8.016"/>
        <n v="59.92"/>
        <n v="69.99"/>
        <n v="397.6"/>
        <n v="40.68"/>
        <n v="1.869"/>
        <n v="34.44"/>
        <n v="7.184"/>
        <n v="48.94"/>
        <n v="29.24"/>
        <n v="36.99"/>
        <n v="120.712"/>
        <n v="88.8"/>
        <n v="40.08"/>
        <n v="91.96"/>
        <n v="7.52"/>
        <n v="15.552"/>
        <n v="22.96"/>
        <n v="5.312"/>
        <n v="3.69"/>
        <n v="331.536"/>
        <n v="56.52"/>
        <n v="39.96"/>
        <n v="19.52"/>
        <n v="10.68"/>
        <n v="149.95"/>
        <n v="779.796"/>
        <n v="12.96"/>
        <n v="25.584"/>
        <n v="719.952"/>
        <n v="10.896"/>
        <n v="62.28"/>
        <n v="1007.944"/>
        <n v="63.924"/>
        <n v="6.936"/>
        <n v="16.448"/>
        <n v="5.95"/>
        <n v="58.112"/>
        <n v="30.28"/>
        <n v="323.976"/>
        <n v="6.28"/>
        <n v="457.568"/>
        <n v="306.2"/>
        <n v="65.97"/>
        <n v="59.808"/>
        <n v="20.65"/>
        <n v="12.984"/>
        <n v="60.416"/>
        <n v="31.84"/>
        <n v="17.248"/>
        <n v="21.98"/>
        <n v="34.68"/>
        <n v="196.776"/>
        <n v="18.9"/>
        <n v="7.36"/>
        <n v="30.48"/>
        <n v="6.928"/>
        <n v="76.728"/>
        <n v="626.352"/>
        <n v="70.368"/>
        <n v="665.88"/>
        <n v="1049.97"/>
        <n v="12.78"/>
        <n v="268.935"/>
        <n v="11.91"/>
        <n v="1113.024"/>
        <n v="11.34"/>
        <n v="264.32"/>
        <n v="8.288"/>
        <n v="1261.33"/>
        <n v="24.56"/>
        <n v="310.88"/>
        <n v="475.944"/>
        <n v="180.96"/>
        <n v="46.26"/>
        <n v="82.896"/>
        <n v="6.528"/>
        <n v="34.86"/>
        <n v="11.36"/>
        <n v="23.472"/>
        <n v="73.98"/>
        <n v="16.176"/>
        <n v="115.36"/>
        <n v="257.98"/>
        <n v="561.584"/>
        <n v="5.88"/>
        <n v="13.28"/>
        <n v="68.48"/>
        <n v="8.952"/>
        <n v="9.408"/>
        <n v="36.288"/>
        <n v="1421.664"/>
        <n v="10.368"/>
        <n v="136.96"/>
        <n v="55.984"/>
        <n v="91.36"/>
        <n v="17.28"/>
        <n v="20.04"/>
        <n v="32.4"/>
        <n v="545.94"/>
        <n v="196.21"/>
        <n v="62.31"/>
        <n v="386.34"/>
        <n v="23.744"/>
        <n v="35.98"/>
        <n v="806.336"/>
        <n v="17.94"/>
        <n v="27.36"/>
        <n v="10.688"/>
        <n v="23.976"/>
        <n v="135.99"/>
        <n v="93.888"/>
        <n v="249.75"/>
        <n v="127.869"/>
        <n v="23.68"/>
        <n v="275.97"/>
        <n v="25.248"/>
        <n v="20.88"/>
        <n v="87.08"/>
        <n v="83.92"/>
        <n v="25.92"/>
        <n v="24.9"/>
        <n v="287.968"/>
        <n v="45.48"/>
        <n v="83.84"/>
        <n v="29.68"/>
        <n v="3.424"/>
        <n v="1367.84"/>
        <n v="5.742"/>
        <n v="300.416"/>
        <n v="114.2"/>
        <n v="13.92"/>
        <n v="48.91"/>
        <n v="1198.33"/>
        <n v="37.84"/>
        <n v="11.88"/>
        <n v="10.048"/>
        <n v="119.96"/>
        <n v="11.16"/>
        <n v="11.784"/>
        <n v="0.852"/>
        <n v="1.167"/>
        <n v="127.95"/>
        <n v="182.94"/>
        <n v="11.85"/>
        <n v="9.568"/>
        <n v="319.968"/>
        <n v="14.304"/>
        <n v="12.54"/>
        <n v="449.15"/>
        <n v="81.92"/>
        <n v="90.24"/>
        <n v="279.456"/>
        <n v="340.116"/>
        <n v="634.116"/>
        <n v="55.48"/>
        <n v="41.4"/>
        <n v="18.464"/>
        <n v="2.88"/>
        <n v="349.965"/>
        <n v="68.704"/>
        <n v="273.568"/>
        <n v="7.31"/>
        <n v="500.24"/>
        <n v="337.088"/>
        <n v="149.97"/>
        <n v="33.088"/>
        <n v="53.316"/>
        <n v="14.52"/>
        <n v="146.76"/>
        <n v="153.824"/>
        <n v="26.136"/>
        <n v="605.34"/>
        <n v="16.704"/>
        <n v="290.666"/>
        <n v="40.096"/>
        <n v="14.48"/>
        <n v="62.91"/>
        <n v="127.104"/>
        <n v="48.86"/>
        <n v="46.384"/>
        <n v="2.624"/>
        <n v="2.97"/>
        <n v="67.88"/>
        <n v="354.9"/>
        <n v="3785.292"/>
        <n v="4.224"/>
        <n v="186.304"/>
        <n v="1799.97"/>
        <n v="6.16"/>
        <n v="21.4"/>
        <n v="63.47"/>
        <n v="99.2"/>
        <n v="13.44"/>
        <n v="17.544"/>
        <n v="129.92"/>
        <n v="11.52"/>
        <n v="6.57"/>
        <n v="2715.93"/>
        <n v="46.8"/>
        <n v="429.9"/>
        <n v="37.408"/>
        <n v="8.736"/>
        <n v="19.98"/>
        <n v="93.78"/>
        <n v="20.94"/>
        <n v="20.86"/>
        <n v="3.76"/>
        <n v="79.968"/>
        <n v="1117.92"/>
        <n v="17.472"/>
        <n v="2934.33"/>
        <n v="8.544"/>
        <n v="5.76"/>
        <n v="123.92"/>
        <n v="177.536"/>
        <n v="11.56"/>
        <n v="245.88"/>
        <n v="493.43"/>
        <n v="25.5"/>
        <n v="2807.84"/>
        <n v="6.368"/>
        <n v="799.92"/>
        <n v="152.76"/>
        <n v="4.344"/>
        <n v="330.4"/>
        <n v="19.432"/>
        <n v="87.54"/>
        <n v="43.68"/>
        <n v="3.9"/>
        <n v="8.376"/>
        <n v="783.96"/>
        <n v="998.85"/>
        <n v="140.736"/>
        <n v="10.72"/>
        <n v="239.97"/>
        <n v="172.11"/>
        <n v="247.84"/>
        <n v="111.15"/>
        <n v="17.856"/>
        <n v="1.08"/>
        <n v="52.96"/>
        <n v="25.128"/>
        <n v="19.68"/>
        <n v="479.96"/>
        <n v="64.784"/>
        <n v="5.248"/>
        <n v="16.78"/>
        <n v="575.968"/>
        <n v="3.912"/>
        <n v="176.8"/>
        <n v="259.136"/>
        <n v="7.752"/>
        <n v="123.144"/>
        <n v="211.96"/>
        <n v="18.336"/>
        <n v="64.864"/>
        <n v="26.046"/>
        <n v="139.8"/>
        <n v="40.05"/>
        <n v="8.96"/>
        <n v="87.96"/>
        <n v="1403.92"/>
        <n v="10.78"/>
        <n v="567.12"/>
        <n v="39.48"/>
        <n v="549.99"/>
        <n v="66.03"/>
        <n v="479.984"/>
        <n v="501.81"/>
        <n v="579.95"/>
        <n v="137.54"/>
        <n v="238.0"/>
        <n v="489.23"/>
        <n v="279.96"/>
        <n v="35.856"/>
        <n v="1395.54"/>
        <n v="96.256"/>
        <n v="232.88"/>
        <n v="14.4"/>
        <n v="25.96"/>
        <n v="348.488"/>
        <n v="832.93"/>
        <n v="9.96"/>
        <n v="21.728"/>
        <n v="14.56"/>
        <n v="666.344"/>
        <n v="629.95"/>
        <n v="86.376"/>
        <n v="13.16"/>
        <n v="25.68"/>
        <n v="2.502"/>
        <n v="5.184"/>
        <n v="1089.75"/>
        <n v="53.94"/>
        <n v="911.984"/>
        <n v="38.976"/>
        <n v="15.696"/>
        <n v="36.544"/>
        <n v="12.35"/>
        <n v="12.096"/>
        <n v="34.79"/>
        <n v="56.064"/>
        <n v="129.98"/>
        <n v="67.344"/>
        <n v="49.568"/>
        <n v="24.672"/>
        <n v="4.608"/>
        <n v="35.91"/>
        <n v="10.11"/>
        <n v="310.12"/>
        <n v="234.45"/>
        <n v="5.96"/>
        <n v="126.624"/>
        <n v="41.94"/>
        <n v="21.24"/>
        <n v="9.99"/>
        <n v="673.568"/>
        <n v="1322.93"/>
        <n v="2152.776"/>
        <n v="6.56"/>
        <n v="22.98"/>
        <n v="7.64"/>
        <n v="10.95"/>
        <n v="45.0"/>
        <n v="604.656"/>
        <n v="93.024"/>
        <n v="16.23"/>
        <n v="539.964"/>
        <n v="4.992"/>
        <n v="27.888"/>
        <n v="48.4"/>
        <n v="12.39"/>
        <n v="7.712"/>
        <n v="445.802"/>
        <n v="9.94"/>
        <n v="34.2"/>
        <n v="21.56"/>
        <n v="176.772"/>
        <n v="1125.488"/>
        <n v="41.88"/>
        <n v="9.264"/>
        <n v="19.65"/>
        <n v="10.332"/>
        <n v="34.272"/>
        <n v="19.44"/>
        <n v="7.08"/>
        <n v="7.632"/>
        <n v="9.84"/>
        <n v="57.69"/>
        <n v="18.84"/>
        <n v="58.2"/>
        <n v="205.666"/>
        <n v="123.136"/>
        <n v="1679.96"/>
        <n v="76.12"/>
        <n v="95.968"/>
        <n v="14.32"/>
        <n v="122.94"/>
        <n v="15.0"/>
        <n v="2001.86"/>
        <n v="36.4"/>
        <n v="52.064"/>
        <n v="585.552"/>
        <n v="49.98"/>
        <n v="15.36"/>
        <n v="1441.3"/>
        <n v="92.52"/>
        <n v="107.44"/>
        <n v="119.8"/>
        <n v="13.97"/>
        <n v="159.98"/>
        <n v="289.24"/>
        <n v="5.47"/>
        <n v="49.12"/>
        <n v="8.226"/>
        <n v="15.84"/>
        <n v="11.76"/>
        <n v="195.64"/>
        <n v="47.79"/>
        <n v="218.75"/>
        <n v="43.92"/>
        <n v="7.992"/>
        <n v="11.808"/>
        <n v="26.46"/>
        <n v="3.984"/>
        <n v="17.46"/>
        <n v="10.56"/>
        <n v="101.96"/>
        <n v="559.992"/>
        <n v="43.176"/>
        <n v="43.512"/>
        <n v="744.1"/>
        <n v="18.24"/>
        <n v="9.09"/>
        <n v="53.82"/>
        <n v="9.344"/>
        <n v="45.68"/>
        <n v="515.88"/>
        <n v="109.92"/>
        <n v="40.176"/>
        <n v="57.408"/>
        <n v="5.04"/>
        <n v="828.84"/>
        <n v="44.46"/>
        <n v="122.48"/>
        <n v="647.84"/>
        <n v="44.91"/>
        <n v="31.984"/>
        <n v="890.841"/>
        <n v="199.98"/>
        <n v="286.344"/>
        <n v="88.768"/>
        <n v="30.96"/>
        <n v="27.968"/>
        <n v="14.94"/>
        <n v="30.672"/>
        <n v="73.915"/>
        <n v="13.904"/>
        <n v="144.6"/>
        <n v="24.896"/>
        <n v="66.96"/>
        <n v="66.3"/>
        <n v="52.512"/>
        <n v="51.968"/>
        <n v="21.84"/>
        <n v="8.64"/>
        <n v="758.352"/>
        <n v="46.864"/>
        <n v="1113.504"/>
        <n v="14.67"/>
        <n v="14.9"/>
        <n v="40.776"/>
        <n v="18.264"/>
        <n v="5.484"/>
        <n v="9.936"/>
        <n v="7.408"/>
        <n v="8.608"/>
        <n v="79.4"/>
        <n v="7.104"/>
        <n v="6.912"/>
        <n v="34.74"/>
        <n v="122.352"/>
        <n v="719.976"/>
        <n v="212.94"/>
        <n v="575.928"/>
        <n v="468.9"/>
        <n v="447.944"/>
        <n v="41.472"/>
        <n v="69.216"/>
        <n v="62.94"/>
        <n v="4.32"/>
        <n v="33.552"/>
        <n v="67.15"/>
        <n v="15.28"/>
        <n v="1737.18"/>
        <n v="14.576"/>
        <n v="43.31"/>
        <n v="795.408"/>
        <n v="104.85"/>
        <n v="1214.85"/>
        <n v="19.536"/>
        <n v="3.36"/>
        <n v="5.98"/>
        <n v="196.752"/>
        <n v="207.24"/>
        <n v="132.16"/>
        <n v="121.792"/>
        <n v="51.96"/>
        <n v="5.7"/>
        <n v="853.092"/>
        <n v="25.984"/>
        <n v="39.68"/>
        <n v="61.96"/>
        <n v="15.384"/>
        <n v="271.9"/>
        <n v="998.82"/>
        <n v="116.28"/>
        <n v="40.48"/>
        <n v="135.98"/>
        <n v="342.864"/>
        <n v="53.72"/>
        <n v="102.624"/>
        <n v="39.88"/>
        <n v="491.55"/>
        <n v="103.6"/>
        <n v="6.24"/>
        <n v="4548.81"/>
        <n v="340.92"/>
        <n v="5.97"/>
        <n v="5.46"/>
        <n v="604.752"/>
        <n v="821.3"/>
        <n v="49.25"/>
        <n v="6999.96"/>
        <n v="13.0"/>
        <n v="355.455"/>
        <n v="479.9"/>
        <n v="17.904"/>
        <n v="25.3"/>
        <n v="6.48"/>
        <n v="32.34"/>
        <n v="334.768"/>
        <n v="3.488"/>
        <n v="172.764"/>
        <n v="47.992"/>
        <n v="216.4"/>
        <n v="13.62"/>
        <n v="204.6"/>
        <n v="5.92"/>
        <n v="5.94"/>
        <n v="230.28"/>
        <n v="478.48"/>
        <n v="28.8"/>
        <n v="16.224"/>
        <n v="74.352"/>
        <n v="11.12"/>
        <n v="946.764"/>
        <n v="6.642"/>
        <n v="366.786"/>
        <n v="19.36"/>
        <n v="91.68"/>
        <n v="88.776"/>
        <n v="443.92"/>
        <n v="5.104"/>
        <n v="2.89"/>
        <n v="62.808"/>
        <n v="26.7"/>
        <n v="35.34"/>
        <n v="232.55"/>
        <n v="103.936"/>
        <n v="273.96"/>
        <n v="142.776"/>
        <n v="250.26"/>
        <n v="1573.488"/>
        <n v="63.882"/>
        <n v="46.872"/>
        <n v="16.36"/>
        <n v="221.16"/>
        <n v="99.592"/>
        <n v="659.988"/>
        <n v="49.632"/>
        <n v="98.376"/>
        <n v="11.96"/>
        <n v="177.0"/>
        <n v="20.736"/>
        <n v="121.376"/>
        <n v="239.976"/>
        <n v="100.24"/>
        <n v="56.96"/>
        <n v="2.816"/>
        <n v="1212.96"/>
        <n v="310.688"/>
        <n v="1793.98"/>
        <n v="19.752"/>
        <n v="91.92"/>
        <n v="447.86"/>
        <n v="69.52"/>
        <n v="574.91"/>
        <n v="4.368"/>
        <n v="12.624"/>
        <n v="23.92"/>
        <n v="19.92"/>
        <n v="14.45"/>
        <n v="6.72"/>
        <n v="70.95"/>
        <n v="35.168"/>
        <n v="1013.832"/>
        <n v="14.04"/>
        <n v="15.56"/>
        <n v="258.279"/>
        <n v="575.92"/>
        <n v="60.72"/>
        <n v="45.528"/>
        <n v="54.208"/>
        <n v="2.92"/>
        <n v="164.88"/>
        <n v="1075.088"/>
        <n v="2735.952"/>
        <n v="375.34"/>
        <n v="423.28"/>
        <n v="6.58"/>
        <n v="1325.76"/>
        <n v="170.058"/>
        <n v="39.072"/>
        <n v="2.992"/>
        <n v="27.46"/>
        <n v="42.208"/>
        <n v="11.64"/>
        <n v="23.968"/>
        <n v="19.456"/>
        <n v="700.056"/>
        <n v="97.44"/>
        <n v="31.104"/>
        <n v="30.36"/>
        <n v="62.016"/>
        <n v="48.712"/>
        <n v="487.984"/>
        <n v="7.16"/>
        <n v="155.456"/>
        <n v="6.08"/>
        <n v="1325.85"/>
        <n v="89.712"/>
        <n v="471.92"/>
        <n v="34.77"/>
        <n v="19.9"/>
        <n v="479.97"/>
        <n v="143.432"/>
        <n v="31.92"/>
        <n v="225.296"/>
        <n v="16.52"/>
        <n v="169.45"/>
        <n v="503.96"/>
        <n v="559.71"/>
        <n v="108.92"/>
        <n v="601.536"/>
        <n v="4.448"/>
        <n v="58.05"/>
        <n v="151.72"/>
        <n v="83.25"/>
        <n v="111.93"/>
        <n v="142.4"/>
        <n v="683.144"/>
        <n v="447.84"/>
        <n v="15.24"/>
        <n v="149.544"/>
        <n v="105.52"/>
        <n v="158.13"/>
        <n v="4.272"/>
        <n v="12.448"/>
        <n v="5.67"/>
        <n v="5.22"/>
        <n v="174.95"/>
        <n v="190.848"/>
        <n v="18.06"/>
        <n v="177.68"/>
        <n v="45.248"/>
        <n v="464.292"/>
        <n v="392.94"/>
        <n v="4.464"/>
        <n v="512.358"/>
        <n v="335.72"/>
        <n v="63.92"/>
        <n v="12.72"/>
        <n v="5.68"/>
        <n v="32.952"/>
        <n v="646.2"/>
        <n v="3499.93"/>
        <n v="32.97"/>
        <n v="192.186"/>
        <n v="3.392"/>
        <n v="767.214"/>
        <n v="292.1"/>
        <n v="177.2"/>
        <n v="139.44"/>
        <n v="3.16"/>
        <n v="15.936"/>
        <n v="13.494"/>
        <n v="145.98"/>
        <n v="149.232"/>
        <n v="99.136"/>
        <n v="143.952"/>
        <n v="263.96"/>
        <n v="320.88"/>
        <n v="245.98"/>
        <n v="9.912"/>
        <n v="7.872"/>
        <n v="135.882"/>
        <n v="896.99"/>
        <n v="4.984"/>
        <n v="3.648"/>
        <n v="48.36"/>
        <n v="8.85"/>
        <n v="21.36"/>
        <n v="58.32"/>
        <n v="32.76"/>
        <n v="659.97"/>
        <n v="16.14"/>
        <n v="24.816"/>
        <n v="9.42"/>
        <n v="1091.168"/>
        <n v="164.85"/>
        <n v="1.98"/>
        <n v="421.372"/>
        <n v="39.128"/>
        <n v="164.22"/>
        <n v="201.584"/>
        <n v="8.32"/>
        <n v="589.41"/>
        <n v="303.25"/>
        <n v="10.98"/>
        <n v="55.5"/>
        <n v="2573.82"/>
        <n v="111.79"/>
        <n v="199.9"/>
        <n v="7.83"/>
        <n v="178.384"/>
        <n v="13.98"/>
        <n v="887.103"/>
        <n v="6.096"/>
        <n v="44.4"/>
        <n v="137.352"/>
        <n v="60.89"/>
        <n v="191.88"/>
        <n v="764.688"/>
        <n v="56.65"/>
        <n v="11.352"/>
        <n v="2177.584"/>
        <n v="49.65"/>
        <n v="59.52"/>
        <n v="1.365"/>
        <n v="76.14"/>
        <n v="276.28"/>
        <n v="8.448"/>
        <n v="328.59"/>
        <n v="2060.744"/>
        <n v="29.808"/>
        <n v="653.55"/>
        <n v="36.36"/>
        <n v="509.9575"/>
        <n v="31.5"/>
        <n v="60.45"/>
        <n v="11.61"/>
        <n v="17.48"/>
        <n v="109.764"/>
        <n v="7.04"/>
        <n v="3.576"/>
        <n v="255.968"/>
        <n v="5.904"/>
        <n v="47.952"/>
        <n v="370.14"/>
        <n v="20.8"/>
        <n v="47.984"/>
        <n v="77.24"/>
        <n v="32.94"/>
        <n v="64.2"/>
        <n v="1548.99"/>
        <n v="283.92"/>
        <n v="9.762"/>
        <n v="9.26"/>
        <n v="199.74"/>
        <n v="12.0"/>
        <n v="899.136"/>
        <n v="15.984"/>
        <n v="3080.0"/>
        <n v="801.96"/>
        <n v="106.5"/>
        <n v="18.176"/>
        <n v="24.588"/>
        <n v="190.72"/>
        <n v="239.94"/>
        <n v="9.522"/>
        <n v="16.4"/>
        <n v="74.52"/>
        <n v="34.65"/>
        <n v="13.9"/>
        <n v="119.56"/>
        <n v="14.91"/>
        <n v="4.728"/>
        <n v="899.91"/>
        <n v="687.4"/>
        <n v="19.824"/>
        <n v="146.73"/>
        <n v="95.84"/>
        <n v="105.98"/>
        <n v="192.22"/>
        <n v="85.056"/>
        <n v="13.12"/>
        <n v="12.176"/>
        <n v="57.504"/>
        <n v="85.52"/>
        <n v="114.6"/>
        <n v="366.744"/>
        <n v="24.78"/>
        <n v="9.872"/>
        <n v="79.872"/>
        <n v="35.36"/>
        <n v="368.91"/>
        <n v="17.64"/>
        <n v="39.98"/>
        <n v="16.146"/>
        <n v="13.96"/>
        <n v="27.696"/>
        <n v="512.94"/>
        <n v="11.65"/>
        <n v="246.1328"/>
        <n v="61.06"/>
        <n v="79.36"/>
        <n v="10.16"/>
        <n v="27.42"/>
        <n v="53.088"/>
        <n v="12.576"/>
        <n v="241.568"/>
        <n v="1044.63"/>
        <n v="51.84"/>
        <n v="12.536"/>
        <n v="39.92"/>
        <n v="5.344"/>
        <n v="6.848"/>
        <n v="191.96"/>
        <n v="80.96"/>
        <n v="3.408"/>
        <n v="470.36"/>
        <n v="301.96"/>
        <n v="31.504"/>
        <n v="131.98"/>
        <n v="106.68"/>
        <n v="466.158"/>
        <n v="25.488"/>
        <n v="60.736"/>
        <n v="10.92"/>
        <n v="44.43"/>
        <n v="94.74"/>
        <n v="29.34"/>
        <n v="41.96"/>
        <n v="182.72"/>
        <n v="103.92"/>
        <n v="467.04"/>
        <n v="45.36"/>
        <n v="158.99"/>
        <n v="33.4"/>
        <n v="787.53"/>
        <n v="946.344"/>
        <n v="15.02"/>
        <n v="671.93"/>
        <n v="824.97"/>
        <n v="232.4"/>
        <n v="541.24"/>
        <n v="299.94"/>
        <n v="344.372"/>
        <n v="113.1"/>
        <n v="52.59"/>
        <n v="2676.672"/>
        <n v="51.588"/>
        <n v="85.14"/>
        <n v="115.296"/>
        <n v="519.96"/>
        <n v="9.24"/>
        <n v="52.2"/>
        <n v="4.419"/>
        <n v="41.568"/>
        <n v="335.52"/>
        <n v="50.0"/>
        <n v="5.28"/>
        <n v="1552.831"/>
        <n v="71.12"/>
        <n v="11.952"/>
        <n v="1199.96"/>
        <n v="1247.64"/>
        <n v="418.32"/>
        <n v="10.476"/>
        <n v="50.8"/>
        <n v="31.95"/>
        <n v="171.96"/>
        <n v="59.904"/>
        <n v="33.488"/>
        <n v="119.04"/>
        <n v="50.88"/>
        <n v="644.076"/>
        <n v="206.43"/>
        <n v="307.168"/>
        <n v="277.5"/>
        <n v="17.568"/>
        <n v="6.732"/>
        <n v="13.52"/>
        <n v="843.9"/>
        <n v="250.272"/>
        <n v="238.152"/>
        <n v="10.74"/>
        <n v="1348.704"/>
        <n v="7.656"/>
        <n v="38.28"/>
        <n v="8.352"/>
        <n v="29.22"/>
        <n v="141.96"/>
        <n v="83.72"/>
        <n v="31.68"/>
        <n v="84.96"/>
        <n v="107.982"/>
        <n v="46.2"/>
        <n v="311.98"/>
        <n v="21.34"/>
        <n v="199.96"/>
        <n v="56.3"/>
        <n v="38.22"/>
        <n v="25.9"/>
        <n v="143.96"/>
        <n v="20.96"/>
        <n v="63.824"/>
        <n v="4297.644"/>
        <n v="8.856"/>
        <n v="4.928"/>
        <n v="35.208"/>
        <n v="26.424"/>
        <n v="4404.9"/>
        <n v="113.328"/>
        <n v="5.0"/>
        <n v="353.88"/>
        <n v="589.9"/>
        <n v="194.32"/>
        <n v="12.224"/>
        <n v="14.73"/>
        <n v="25.99"/>
        <n v="359.058"/>
        <n v="387.136"/>
        <n v="129.93"/>
        <n v="271.44"/>
        <n v="6.63"/>
        <n v="28.752"/>
        <n v="51.45"/>
        <n v="29.04"/>
        <n v="198.272"/>
        <n v="106.32"/>
        <n v="16.9"/>
        <n v="275.058"/>
        <n v="30.08"/>
        <n v="46.152"/>
        <n v="54.384"/>
        <n v="1252.704"/>
        <n v="55.424"/>
        <n v="23.904"/>
        <n v="106.232"/>
        <n v="121.104"/>
        <n v="912.75"/>
        <n v="32.784"/>
        <n v="51.072"/>
        <n v="5.64"/>
        <n v="17.43"/>
        <n v="962.08"/>
        <n v="2567.84"/>
        <n v="186.732"/>
        <n v="68.94"/>
        <n v="6.336"/>
        <n v="152.688"/>
        <n v="293.52"/>
        <n v="6.608"/>
        <n v="6.264"/>
        <n v="892.35"/>
        <n v="73.28"/>
        <n v="26.96"/>
        <n v="23.52"/>
        <n v="19.56"/>
        <n v="137.62"/>
        <n v="64.75"/>
        <n v="1123.92"/>
        <n v="36.84"/>
        <n v="715.64"/>
        <n v="227.36"/>
        <n v="12.56"/>
        <n v="17.52"/>
        <n v="152.991"/>
        <n v="70.12"/>
        <n v="191.5155"/>
        <n v="64.17"/>
        <n v="128.85"/>
        <n v="47.516"/>
        <n v="482.34"/>
        <n v="201.568"/>
        <n v="3.328"/>
        <n v="77.952"/>
        <n v="2625.12"/>
        <n v="883.84"/>
        <n v="113.52"/>
        <n v="107.976"/>
        <n v="48.632"/>
        <n v="299.9"/>
        <n v="26.982"/>
        <n v="10.512"/>
        <n v="72.744"/>
        <n v="619.95"/>
        <n v="15.48"/>
        <n v="22.74"/>
        <n v="389.97"/>
        <n v="42.048"/>
        <n v="132.79"/>
        <n v="86.272"/>
        <n v="2309.65"/>
        <n v="58.38"/>
        <n v="212.64"/>
        <n v="796.425"/>
        <n v="15.008"/>
        <n v="99.372"/>
        <n v="107.97"/>
        <n v="41.9"/>
        <n v="447.93"/>
        <n v="67.36"/>
        <n v="7.38"/>
        <n v="3.44"/>
        <n v="31.05"/>
        <n v="154.9"/>
        <n v="120.666"/>
        <n v="24.64"/>
        <n v="484.65"/>
        <n v="2.48"/>
        <n v="383.607"/>
        <n v="76.64"/>
        <n v="415.968"/>
        <n v="327.564"/>
        <n v="2.808"/>
        <n v="60.984"/>
        <n v="90.882"/>
        <n v="36.624"/>
        <n v="434.352"/>
        <n v="17.22"/>
        <n v="79.99"/>
        <n v="85.3"/>
        <n v="2.512"/>
        <n v="266.352"/>
        <n v="249.584"/>
        <n v="10.02"/>
        <n v="269.49"/>
        <n v="8.688"/>
        <n v="70.98"/>
        <n v="4.96"/>
        <n v="10.944"/>
        <n v="20.104"/>
        <n v="8.22"/>
        <n v="30.84"/>
        <n v="21.48"/>
        <n v="70.97"/>
        <n v="39.66"/>
        <n v="21.12"/>
        <n v="339.96"/>
        <n v="166.92"/>
        <n v="221.96"/>
        <n v="186.15"/>
        <n v="22.288"/>
        <n v="3.75"/>
        <n v="323.1"/>
        <n v="613.9992"/>
        <n v="31.44"/>
        <n v="31.56"/>
        <n v="221.024"/>
        <n v="586.398"/>
        <n v="11.736"/>
        <n v="19.0"/>
        <n v="3.96"/>
        <n v="411.332"/>
        <n v="8.652"/>
        <n v="582.336"/>
        <n v="6.36"/>
        <n v="36.63"/>
        <n v="141.76"/>
        <n v="1038.84"/>
        <n v="4.95"/>
        <n v="98.352"/>
        <n v="307.98"/>
        <n v="72.78"/>
        <n v="207.0"/>
        <n v="14.28"/>
        <n v="166.24"/>
        <n v="170.136"/>
        <n v="47.82"/>
        <n v="29.9"/>
        <n v="21.968"/>
        <n v="485.94"/>
        <n v="50.112"/>
        <n v="453.576"/>
        <n v="8.568"/>
        <n v="26.88"/>
        <n v="182.91"/>
        <n v="362.136"/>
        <n v="210.68"/>
        <n v="148.32"/>
        <n v="61.792"/>
        <n v="2.78"/>
        <n v="15.8"/>
        <n v="12.144"/>
        <n v="51.52"/>
        <n v="22.368"/>
        <n v="83.7"/>
        <n v="60.84"/>
        <n v="64.68"/>
        <n v="66.294"/>
        <n v="3.552"/>
        <n v="22.92"/>
        <n v="55.328"/>
        <n v="22.2"/>
        <n v="10.744"/>
        <n v="3.444"/>
        <n v="166.5"/>
        <n v="110.528"/>
        <n v="204.85"/>
        <n v="142.04"/>
        <n v="1801.632"/>
        <n v="135.72"/>
        <n v="105.42"/>
        <n v="64.944"/>
        <n v="152.94"/>
        <n v="24.4"/>
        <n v="152.8"/>
        <n v="45.99"/>
        <n v="1022.97"/>
        <n v="35.52"/>
        <n v="79.92"/>
        <n v="269.982"/>
        <n v="279.86"/>
        <n v="67.96"/>
        <n v="68.52"/>
        <n v="360.712"/>
        <n v="179.82"/>
        <n v="191.968"/>
        <n v="175.23"/>
        <n v="322.59"/>
        <n v="10.272"/>
        <n v="9.156"/>
        <n v="89.696"/>
        <n v="199.836"/>
        <n v="7.824"/>
        <n v="167.86"/>
        <n v="43.98"/>
        <n v="850.5"/>
        <n v="2.934"/>
        <n v="100.8"/>
        <n v="79.96"/>
        <n v="2003.92"/>
        <n v="3.28"/>
        <n v="63.936"/>
        <n v="244.006"/>
        <n v="70.008"/>
        <n v="8.4"/>
        <n v="37.94"/>
        <n v="37.6"/>
        <n v="23.66"/>
        <n v="4.752"/>
        <n v="569.64"/>
        <n v="33.36"/>
        <n v="106.8"/>
        <n v="13.092"/>
        <n v="538.92"/>
        <n v="195.466"/>
        <n v="197.72"/>
        <n v="8.72"/>
        <n v="845.728"/>
        <n v="206.962"/>
        <n v="217.584"/>
        <n v="623.96"/>
        <n v="179.886"/>
        <n v="284.364"/>
        <n v="263.88"/>
        <n v="128.744"/>
        <n v="116.4"/>
        <n v="463.248"/>
        <n v="257.64"/>
        <n v="11.212"/>
        <n v="1212.848"/>
        <n v="559.93"/>
        <n v="74.24"/>
        <n v="28.4"/>
        <n v="991.2"/>
        <n v="355.36"/>
        <n v="631.96"/>
        <n v="87.168"/>
        <n v="398.4"/>
        <n v="102.438"/>
        <n v="6.048"/>
        <n v="1369.764"/>
        <n v="55.264"/>
        <n v="205.164"/>
        <n v="11.696"/>
        <n v="29.372"/>
        <n v="19.152"/>
        <n v="369.912"/>
        <n v="717.12"/>
        <n v="289.8"/>
        <n v="85.96"/>
        <n v="29.97"/>
        <n v="117.456"/>
        <n v="104.23"/>
        <n v="590.352"/>
        <n v="947.17"/>
        <n v="3.592"/>
        <n v="127.764"/>
        <n v="279.9"/>
        <n v="45.04"/>
        <n v="435.26"/>
        <n v="17.9"/>
        <n v="21.936"/>
        <n v="517.5"/>
        <n v="105.686"/>
        <n v="46.32"/>
        <n v="272.736"/>
        <n v="120.15"/>
        <n v="14.496"/>
        <n v="13.944"/>
        <n v="43.056"/>
        <n v="414.96"/>
        <n v="46.688"/>
        <n v="4.304"/>
        <n v="26.8"/>
        <n v="544.008"/>
        <n v="9.216"/>
        <n v="5.792"/>
        <n v="25.344"/>
        <n v="19.46"/>
        <n v="43.13"/>
        <n v="206.112"/>
        <n v="7.86"/>
        <n v="83.97"/>
        <n v="2.74"/>
        <n v="21.488"/>
        <n v="40.74"/>
        <n v="46.9"/>
        <n v="62.8"/>
        <n v="1035.8"/>
        <n v="5.984"/>
        <n v="88.752"/>
        <n v="53.04"/>
        <n v="222.384"/>
        <n v="190.86"/>
        <n v="203.92"/>
        <n v="119.85"/>
        <n v="125.93"/>
        <n v="24.192"/>
        <n v="244.55"/>
        <n v="999.432"/>
        <n v="1439.968"/>
        <n v="8.096"/>
        <n v="1.112"/>
        <n v="150.98"/>
        <n v="13.632"/>
        <n v="66.36"/>
        <n v="311.15"/>
        <n v="577.584"/>
        <n v="1406.86"/>
        <n v="35.12"/>
        <n v="2025.36"/>
        <n v="10.752"/>
        <n v="9.144"/>
        <n v="106.96"/>
        <n v="26.18"/>
        <n v="32.75"/>
        <n v="99.6"/>
        <n v="20.24"/>
        <n v="307.136"/>
        <n v="74.76"/>
        <n v="32.985"/>
        <n v="287.97"/>
        <n v="3.366"/>
        <n v="39.0"/>
        <n v="16.24"/>
        <n v="29.6"/>
        <n v="454.272"/>
        <n v="12.88"/>
        <n v="160.72"/>
        <n v="200.984"/>
        <n v="274.8"/>
        <n v="8.26"/>
        <n v="63.77"/>
        <n v="10.9"/>
        <n v="246.168"/>
        <n v="1.72"/>
        <n v="18.54"/>
        <n v="196.62"/>
        <n v="146.544"/>
        <n v="5.56"/>
        <n v="8.82"/>
        <n v="271.764"/>
        <n v="696.42"/>
        <n v="45.584"/>
        <n v="88.96"/>
        <n v="288.0"/>
        <n v="43.56"/>
        <n v="102.582"/>
        <n v="22.848"/>
        <n v="77.88"/>
        <n v="286.79"/>
        <n v="6.68"/>
        <n v="55.936"/>
        <n v="17.496"/>
        <n v="15.7"/>
        <n v="58.72"/>
        <n v="3.168"/>
        <n v="1217.568"/>
        <n v="163.136"/>
        <n v="1166.92"/>
        <n v="17.12"/>
        <n v="5.16"/>
        <n v="37.68"/>
        <n v="173.94"/>
        <n v="265.86"/>
        <n v="57.75"/>
        <n v="85.9"/>
        <n v="51.98"/>
        <n v="600.53"/>
        <n v="98.46"/>
        <n v="134.97"/>
        <n v="348.928"/>
        <n v="33.96"/>
        <n v="7.92"/>
        <n v="12.828"/>
        <n v="119.9"/>
        <n v="3.15"/>
        <n v="186.69"/>
        <n v="1099.96"/>
        <n v="61.584"/>
        <n v="79.9"/>
        <n v="55.944"/>
        <n v="16.776"/>
        <n v="209.93"/>
        <n v="2.21"/>
        <n v="1598.058"/>
        <n v="48.81"/>
        <n v="159.984"/>
        <n v="61.4"/>
        <n v="999.98"/>
        <n v="105.584"/>
        <n v="7.56"/>
        <n v="177.48"/>
        <n v="63.96"/>
        <n v="14.76"/>
        <n v="1268.82"/>
        <n v="10.76"/>
        <n v="572.8"/>
        <n v="6.129"/>
        <n v="465.18"/>
        <n v="184.66"/>
        <n v="35.88"/>
        <n v="8.28"/>
        <n v="34.02"/>
        <n v="675.96"/>
        <n v="151.96"/>
        <n v="33.568"/>
        <n v="408.422"/>
        <n v="18.312"/>
        <n v="7.968"/>
        <n v="494.376"/>
        <n v="555.96"/>
        <n v="18.392"/>
        <n v="136.92"/>
        <n v="36.27"/>
        <n v="17.088"/>
        <n v="319.984"/>
        <n v="1690.04"/>
        <n v="19.936"/>
        <n v="119.98"/>
        <n v="714.3"/>
        <n v="87.36"/>
        <n v="599.99"/>
        <n v="12.84"/>
        <n v="49.848"/>
        <n v="68.62"/>
        <n v="209.67"/>
        <n v="134.376"/>
        <n v="1640.7"/>
        <n v="2621.322"/>
        <n v="34.76"/>
        <n v="7.24"/>
        <n v="2.946"/>
        <n v="27.216"/>
        <n v="13.848"/>
        <n v="77.55"/>
        <n v="45.216"/>
        <n v="892.224"/>
        <n v="170.352"/>
        <n v="68.16"/>
        <n v="28.44"/>
        <n v="479.988"/>
        <n v="3.008"/>
        <n v="35.96"/>
        <n v="63.552"/>
        <n v="1448.82"/>
        <n v="26.4"/>
        <n v="173.488"/>
        <n v="10.67"/>
        <n v="4.98"/>
        <n v="14.592"/>
        <n v="16.27"/>
        <n v="1.872"/>
        <n v="2541.98"/>
        <n v="715.2"/>
        <n v="2.2"/>
        <n v="40.92"/>
        <n v="23.64"/>
        <n v="494.97"/>
        <n v="228.92"/>
        <n v="29.79"/>
        <n v="3.304"/>
        <n v="7.23"/>
        <n v="2.376"/>
        <n v="70.26"/>
        <n v="3393.68"/>
        <n v="34.8"/>
        <n v="239.7"/>
        <n v="52.272"/>
        <n v="45.28"/>
        <n v="523.25"/>
        <n v="225.576"/>
        <n v="2803.92"/>
        <n v="181.35"/>
        <n v="28.9"/>
        <n v="47.976"/>
        <n v="10.86"/>
        <n v="542.94"/>
        <n v="117.882"/>
        <n v="29.304"/>
        <n v="139.424"/>
        <n v="14.832"/>
        <n v="971.88"/>
        <n v="31.08"/>
        <n v="1522.638"/>
        <n v="692.472"/>
        <n v="98.112"/>
        <n v="15.51"/>
        <n v="6.208"/>
        <n v="40.032"/>
        <n v="31.12"/>
        <n v="11.68"/>
        <n v="65.584"/>
        <n v="96.96"/>
        <n v="145.9"/>
        <n v="7.78"/>
        <n v="181.986"/>
        <n v="61.44"/>
        <n v="12.832"/>
        <n v="43.26"/>
        <n v="26.976"/>
        <n v="7.152"/>
        <n v="5.584"/>
        <n v="7.5"/>
        <n v="46.62"/>
        <n v="422.856"/>
        <n v="9.82"/>
        <n v="9.952"/>
        <n v="29.99"/>
        <n v="2321.9"/>
        <n v="22.38"/>
        <n v="52.448"/>
        <n v="67.8"/>
        <n v="94.428"/>
        <n v="7.98"/>
        <n v="29.932"/>
        <n v="8.134"/>
        <n v="101.994"/>
        <n v="10.5"/>
        <n v="3.282"/>
        <n v="3059.982"/>
        <n v="16.272"/>
        <n v="57.42"/>
        <n v="51.016"/>
        <n v="14.352"/>
        <n v="129.568"/>
        <n v="8.69"/>
        <n v="25.06"/>
        <n v="9.98"/>
        <n v="53.424"/>
        <n v="33.792"/>
        <n v="471.9"/>
        <n v="338.352"/>
        <n v="129.3"/>
        <n v="33.28"/>
        <n v="149.9"/>
        <n v="251.964"/>
        <n v="1299.99"/>
        <n v="51.184"/>
        <n v="104.01"/>
        <n v="57.23"/>
        <n v="330.588"/>
        <n v="58.36"/>
        <n v="79.47"/>
        <n v="10.304"/>
        <n v="1215.92"/>
        <n v="357.93"/>
        <n v="8.16"/>
        <n v="64.02"/>
        <n v="7.68"/>
        <n v="73.584"/>
        <n v="9.584"/>
        <n v="183.372"/>
        <n v="210.392"/>
        <n v="22.5"/>
        <n v="89.97"/>
        <n v="1139.92"/>
        <n v="333.576"/>
        <n v="281.904"/>
        <n v="15.12"/>
        <n v="16.28"/>
        <n v="20.016"/>
        <n v="75.6"/>
        <n v="111.0"/>
        <n v="60.672"/>
        <n v="107.648"/>
        <n v="4.71"/>
        <n v="603.92"/>
        <n v="255.85"/>
        <n v="2.94"/>
        <n v="617.7"/>
        <n v="435.999"/>
        <n v="12.462"/>
        <n v="17.96"/>
        <n v="246.384"/>
        <n v="533.94"/>
        <n v="32.896"/>
        <n v="6.12"/>
        <n v="173.656"/>
        <n v="172.186"/>
        <n v="9.64"/>
        <n v="37.296"/>
        <n v="636.408"/>
        <n v="14.016"/>
        <n v="10.984"/>
        <n v="99.918"/>
        <n v="63.2"/>
        <n v="46.35"/>
        <n v="344.91"/>
        <n v="155.372"/>
        <n v="539.92"/>
        <n v="19.3"/>
        <n v="699.93"/>
        <n v="81.98"/>
        <n v="78.35"/>
        <n v="67.194"/>
        <n v="12.18"/>
        <n v="1579.746"/>
        <n v="47.496"/>
        <n v="281.372"/>
        <n v="65.78"/>
        <n v="359.98"/>
        <n v="55.92"/>
        <n v="4.812"/>
        <n v="5.18"/>
        <n v="322.192"/>
        <n v="145.568"/>
        <n v="600.558"/>
        <n v="0.876"/>
        <n v="22.24"/>
        <n v="5.78"/>
        <n v="62.82"/>
        <n v="59.2"/>
        <n v="61.568"/>
        <n v="123.552"/>
        <n v="18.648"/>
        <n v="638.82"/>
        <n v="138.56"/>
        <n v="26.72"/>
        <n v="7.644"/>
        <n v="49.408"/>
        <n v="5.892"/>
        <n v="182.352"/>
        <n v="2.672"/>
        <n v="50.997"/>
        <n v="220.776"/>
        <n v="11.088"/>
        <n v="674.058"/>
        <n v="56.4"/>
        <n v="49.792"/>
        <n v="152.91"/>
        <n v="76.776"/>
        <n v="26.632"/>
        <n v="11.43"/>
        <n v="25.16"/>
        <n v="351.216"/>
        <n v="742.336"/>
        <n v="142.86"/>
        <n v="1.632"/>
        <n v="64.96"/>
        <n v="551.985"/>
        <n v="269.98"/>
        <n v="2799.96"/>
        <n v="15.08"/>
        <n v="254.744"/>
        <n v="396.802"/>
        <n v="590.058"/>
        <n v="120.33"/>
        <n v="5.176"/>
        <n v="6.688"/>
        <n v="11.672"/>
        <n v="192.72"/>
        <n v="957.5775"/>
        <n v="8.39"/>
        <n v="7.88"/>
        <n v="158.376"/>
        <n v="19.194"/>
        <n v="6.992"/>
        <n v="18.272"/>
        <n v="115.44"/>
        <n v="31.4"/>
        <n v="55.6"/>
        <n v="1085.42"/>
        <n v="77.58"/>
        <n v="89.82"/>
        <n v="68.81"/>
        <n v="270.34"/>
        <n v="646.776"/>
        <n v="32.192"/>
        <n v="131.376"/>
        <n v="53.7"/>
        <n v="107.772"/>
        <n v="1618.37"/>
        <n v="17.14"/>
        <n v="519.792"/>
        <n v="2.304"/>
        <n v="9.68"/>
        <n v="131.88"/>
        <n v="180.016"/>
        <n v="9.54"/>
        <n v="59.994"/>
        <n v="97.424"/>
        <n v="299.98"/>
        <n v="831.936"/>
        <n v="21.93"/>
        <n v="7.218"/>
        <n v="125.944"/>
        <n v="157.794"/>
        <n v="275.88"/>
        <n v="639.968"/>
        <n v="94.85"/>
        <n v="29.52"/>
        <n v="36.336"/>
        <n v="25.032"/>
        <n v="344.22"/>
        <n v="915.136"/>
        <n v="40.784"/>
        <n v="393.165"/>
        <n v="38.88"/>
        <n v="3.882"/>
        <n v="24.96"/>
        <n v="30.44"/>
        <n v="87.8"/>
        <n v="11.032"/>
        <n v="26.9"/>
        <n v="359.499"/>
        <n v="161.568"/>
        <n v="14.952"/>
        <n v="547.136"/>
        <n v="61.68"/>
        <n v="231.92"/>
        <n v="2.772"/>
        <n v="25.176"/>
        <n v="3083.43"/>
        <n v="85.98"/>
        <n v="479.952"/>
        <n v="168.464"/>
        <n v="748.752"/>
        <n v="19.568"/>
        <n v="438.368"/>
        <n v="238.896"/>
        <n v="32.07"/>
        <n v="1018.104"/>
        <n v="32.04"/>
        <n v="325.632"/>
        <n v="71.976"/>
        <n v="12.132"/>
        <n v="2.025"/>
        <n v="79.44"/>
        <n v="2.412"/>
        <n v="2.08"/>
        <n v="41.424"/>
        <n v="5.728"/>
        <n v="12.672"/>
        <n v="3050.376"/>
        <n v="213.115"/>
        <n v="44.688"/>
        <n v="821.94"/>
        <n v="9.728"/>
        <n v="155.88"/>
        <n v="27.168"/>
        <n v="602.651"/>
        <n v="4.896"/>
        <n v="80.88"/>
        <n v="609.98"/>
        <n v="1.78"/>
        <n v="20.768"/>
        <n v="375.4575"/>
      </sharedItems>
    </cacheField>
    <cacheField name="Quantity" numFmtId="0">
      <sharedItems containsSemiMixedTypes="0" containsString="0" containsNumber="1" containsInteger="1">
        <n v="3.0"/>
        <n v="6.0"/>
        <n v="1.0"/>
        <n v="2.0"/>
        <n v="4.0"/>
        <n v="5.0"/>
        <n v="13.0"/>
        <n v="7.0"/>
        <n v="9.0"/>
        <n v="8.0"/>
        <n v="10.0"/>
        <n v="11.0"/>
        <n v="14.0"/>
        <n v="12.0"/>
      </sharedItems>
    </cacheField>
    <cacheField name="Profit" numFmtId="0">
      <sharedItems containsSemiMixedTypes="0" containsString="0" containsNumber="1">
        <n v="109.6113"/>
        <n v="-87.9354"/>
        <n v="31.8696"/>
        <n v="1.3257"/>
        <n v="0.8288"/>
        <n v="6.7252"/>
        <n v="1.008"/>
        <n v="7.9984"/>
        <n v="45.576"/>
        <n v="9.0"/>
        <n v="20.097"/>
        <n v="22.6782"/>
        <n v="2.6536"/>
        <n v="9.735"/>
        <n v="79.8912"/>
        <n v="-6.3441"/>
        <n v="-1.2588"/>
        <n v="6.4128"/>
        <n v="100.1403"/>
        <n v="70.0336"/>
        <n v="1.1022"/>
        <n v="27.5632"/>
        <n v="30.0957"/>
        <n v="43.736"/>
        <n v="-9.153"/>
        <n v="-1.3083"/>
        <n v="17.22"/>
        <n v="2.245"/>
        <n v="24.47"/>
        <n v="13.7428"/>
        <n v="9.9873"/>
        <n v="-18.1068"/>
        <n v="44.4"/>
        <n v="19.2384"/>
        <n v="15.6332"/>
        <n v="1.41"/>
        <n v="5.4432"/>
        <n v="7.5768"/>
        <n v="-1.5936"/>
        <n v="1.7343"/>
        <n v="-82.884"/>
        <n v="21.4776"/>
        <n v="19.1808"/>
        <n v="5.368"/>
        <n v="4.0584"/>
        <n v="65.978"/>
        <n v="-168.9558"/>
        <n v="6.2208"/>
        <n v="8.9544"/>
        <n v="71.9952"/>
        <n v="3.405"/>
        <n v="29.2716"/>
        <n v="75.5958"/>
        <n v="-46.8776"/>
        <n v="2.3409"/>
        <n v="5.5512"/>
        <n v="0.833"/>
        <n v="7.264"/>
        <n v="1.2112"/>
        <n v="28.3479"/>
        <n v="2.6376"/>
        <n v="51.4764"/>
        <n v="0.0"/>
        <n v="31.0059"/>
        <n v="19.4376"/>
        <n v="9.499"/>
        <n v="4.7067"/>
        <n v="6.0416"/>
        <n v="10.5072"/>
        <n v="6.0368"/>
        <n v="9.891"/>
        <n v="16.9932"/>
        <n v="14.7582"/>
        <n v="9.072"/>
        <n v="0.1472"/>
        <n v="7.9248"/>
        <n v="-11.0848"/>
        <n v="-53.7096"/>
        <n v="-23.4882"/>
        <n v="26.388"/>
        <n v="13.3176"/>
        <n v="-209.994"/>
        <n v="5.2398"/>
        <n v="-209.7693"/>
        <n v="0.1191"/>
        <n v="111.3024"/>
        <n v="5.2164"/>
        <n v="19.824"/>
        <n v="2.6936"/>
        <n v="327.9458"/>
        <n v="6.8768"/>
        <n v="23.316"/>
        <n v="95.1888"/>
        <n v="67.86"/>
        <n v="12.4902"/>
        <n v="29.0136"/>
        <n v="-4.5696"/>
        <n v="16.0356"/>
        <n v="5.3392"/>
        <n v="7.6284"/>
        <n v="19.9746"/>
        <n v="6.066"/>
        <n v="49.6048"/>
        <n v="74.8142"/>
        <n v="70.198"/>
        <n v="2.646"/>
        <n v="6.3744"/>
        <n v="25.68"/>
        <n v="-14.7708"/>
        <n v="3.4104"/>
        <n v="12.7008"/>
        <n v="-734.5264"/>
        <n v="3.6288"/>
        <n v="51.36"/>
        <n v="4.1988"/>
        <n v="29.692"/>
        <n v="7.9488"/>
        <n v="8.8176"/>
        <n v="10.368"/>
        <n v="87.3504"/>
        <n v="98.105"/>
        <n v="22.4316"/>
        <n v="54.0876"/>
        <n v="8.3104"/>
        <n v="10.0744"/>
        <n v="50.396"/>
        <n v="4.485"/>
        <n v="7.3872"/>
        <n v="3.7408"/>
        <n v="-14.3856"/>
        <n v="36.7173"/>
        <n v="12.9096"/>
        <n v="37.797"/>
        <n v="44.955"/>
        <n v="-9.1335"/>
        <n v="8.88"/>
        <n v="11.0388"/>
        <n v="4.1028"/>
        <n v="9.6048"/>
        <n v="24.3824"/>
        <n v="-13.637"/>
        <n v="12.4416"/>
        <n v="8.217"/>
        <n v="97.1892"/>
        <n v="20.9208"/>
        <n v="27.248"/>
        <n v="11.5752"/>
        <n v="1.07"/>
        <n v="259.8896"/>
        <n v="-4.5936"/>
        <n v="78.8592"/>
        <n v="52.532"/>
        <n v="4.872"/>
        <n v="22.9877"/>
        <n v="70.49"/>
        <n v="2.838"/>
        <n v="5.346"/>
        <n v="3.14"/>
        <n v="52.7824"/>
        <n v="5.58"/>
        <n v="4.2717"/>
        <n v="-0.5964"/>
        <n v="-0.8558"/>
        <n v="21.7515"/>
        <n v="85.9818"/>
        <n v="3.792"/>
        <n v="3.4684"/>
        <n v="95.9904"/>
        <n v="4.6488"/>
        <n v="4.5144"/>
        <n v="8.983"/>
        <n v="22.1184"/>
        <n v="41.5104"/>
        <n v="20.9592"/>
        <n v="-9.7176"/>
        <n v="-172.1172"/>
        <n v="26.6304"/>
        <n v="19.458"/>
        <n v="6.924"/>
        <n v="1.4112"/>
        <n v="-216.9783"/>
        <n v="16.3172"/>
        <n v="-34.196"/>
        <n v="3.4357"/>
        <n v="145.0696"/>
        <n v="16.8544"/>
        <n v="52.4895"/>
        <n v="11.1672"/>
        <n v="-19.5492"/>
        <n v="4.7916"/>
        <n v="38.1576"/>
        <n v="38.456"/>
        <n v="1.9602"/>
        <n v="145.2816"/>
        <n v="1.2528"/>
        <n v="3.4196"/>
        <n v="14.5348"/>
        <n v="-23.892"/>
        <n v="22.6476"/>
        <n v="28.5984"/>
        <n v="14.1694"/>
        <n v="5.2182"/>
        <n v="0.4264"/>
        <n v="1.3068"/>
        <n v="18.3276"/>
        <n v="17.745"/>
        <n v="420.588"/>
        <n v="0.4752"/>
        <n v="13.9728"/>
        <n v="239.996"/>
        <n v="1.9712"/>
        <n v="6.206"/>
        <n v="19.041"/>
        <n v="15.552"/>
        <n v="25.792"/>
        <n v="2.3328"/>
        <n v="6.5856"/>
        <n v="5.9211"/>
        <n v="21.112"/>
        <n v="3.2256"/>
        <n v="-5.037"/>
        <n v="1276.4871"/>
        <n v="21.06"/>
        <n v="111.774"/>
        <n v="13.0928"/>
        <n v="-4.8048"/>
        <n v="5.1948"/>
        <n v="36.5742"/>
        <n v="9.8418"/>
        <n v="9.387"/>
        <n v="1.316"/>
        <n v="-17.9928"/>
        <n v="55.896"/>
        <n v="5.6784"/>
        <n v="792.2691"/>
        <n v="-7.476"/>
        <n v="2.8224"/>
        <n v="55.764"/>
        <n v="62.1376"/>
        <n v="5.4332"/>
        <n v="68.8464"/>
        <n v="-70.49"/>
        <n v="6.63"/>
        <n v="673.8816"/>
        <n v="-2.5472"/>
        <n v="239.976"/>
        <n v="74.8524"/>
        <n v="0.8688"/>
        <n v="85.904"/>
        <n v="-49.5516"/>
        <n v="37.6422"/>
        <n v="20.9664"/>
        <n v="1.521"/>
        <n v="2.7222"/>
        <n v="219.5088"/>
        <n v="-199.77"/>
        <n v="52.776"/>
        <n v="1.742"/>
        <n v="86.3892"/>
        <n v="-94.6605"/>
        <n v="121.4416"/>
        <n v="48.906"/>
        <n v="1.116"/>
        <n v="-1.728"/>
        <n v="20.1248"/>
        <n v="-6.9102"/>
        <n v="6.4944"/>
        <n v="134.3888"/>
        <n v="-14.5764"/>
        <n v="1.4784"/>
        <n v="1.64"/>
        <n v="4.195"/>
        <n v="43.1976"/>
        <n v="1.0269"/>
        <n v="22.984"/>
        <n v="-25.9136"/>
        <n v="2.8101"/>
        <n v="46.179"/>
        <n v="8.4784"/>
        <n v="-12.224"/>
        <n v="6.4864"/>
        <n v="-44.2782"/>
        <n v="12.2325"/>
        <n v="11.214"/>
        <n v="2.7776"/>
        <n v="7.6965"/>
        <n v="70.196"/>
        <n v="-17.248"/>
        <n v="-28.356"/>
        <n v="11.0544"/>
        <n v="274.995"/>
        <n v="17.1678"/>
        <n v="89.997"/>
        <n v="168.1855"/>
        <n v="55.016"/>
        <n v="38.08"/>
        <n v="41.934"/>
        <n v="78.3888"/>
        <n v="12.9978"/>
        <n v="362.8404"/>
        <n v="31.2832"/>
        <n v="17.466"/>
        <n v="7.056"/>
        <n v="7.5284"/>
        <n v="117.6147"/>
        <n v="233.2204"/>
        <n v="18.7812"/>
        <n v="4.8804"/>
        <n v="7.6048"/>
        <n v="5.5328"/>
        <n v="66.6344"/>
        <n v="157.4875"/>
        <n v="1.0797"/>
        <n v="4.1125"/>
        <n v="-39.804"/>
        <n v="-2.0016"/>
        <n v="1.8144"/>
        <n v="305.13"/>
        <n v="3.852"/>
        <n v="15.6426"/>
        <n v="2.9568"/>
        <n v="113.998"/>
        <n v="-50.6688"/>
        <n v="5.1012"/>
        <n v="11.8768"/>
        <n v="5.434"/>
        <n v="4.2336"/>
        <n v="10.7849"/>
        <n v="21.024"/>
        <n v="62.3904"/>
        <n v="7.5762"/>
        <n v="17.9684"/>
        <n v="1.6704"/>
        <n v="9.6957"/>
        <n v="3.2352"/>
        <n v="80.6312"/>
        <n v="103.158"/>
        <n v="1.6688"/>
        <n v="41.1528"/>
        <n v="15.0984"/>
        <n v="8.0712"/>
        <n v="4.5954"/>
        <n v="252.588"/>
        <n v="1.9845"/>
        <n v="357.1911"/>
        <n v="726.5619"/>
        <n v="1.9024"/>
        <n v="6.894"/>
        <n v="3.7436"/>
        <n v="3.285"/>
        <n v="21.6"/>
        <n v="163.787"/>
        <n v="204.0714"/>
        <n v="33.7212"/>
        <n v="7.9527"/>
        <n v="-107.9928"/>
        <n v="-12.9792"/>
        <n v="9.0636"/>
        <n v="23.232"/>
        <n v="5.8233"/>
        <n v="2.7956"/>
        <n v="-108.2662"/>
        <n v="3.0814"/>
        <n v="9.234"/>
        <n v="10.3488"/>
        <n v="-459.6072"/>
        <n v="98.4802"/>
        <n v="12.1452"/>
        <n v="-13.896"/>
        <n v="9.039"/>
        <n v="-5.9409"/>
        <n v="11.1384"/>
        <n v="9.3312"/>
        <n v="2.478"/>
        <n v="-1.8126"/>
        <n v="2.8536"/>
        <n v="23.6529"/>
        <n v="-3.5325"/>
        <n v="28.518"/>
        <n v="-12.098"/>
        <n v="13.8528"/>
        <n v="125.997"/>
        <n v="22.0748"/>
        <n v="9.5968"/>
        <n v="5.191"/>
        <n v="30.735"/>
        <n v="7.2"/>
        <n v="580.5394"/>
        <n v="0.4592"/>
        <n v="17.472"/>
        <n v="18.8732"/>
        <n v="73.194"/>
        <n v="8.4966"/>
        <n v="7.68"/>
        <n v="245.021"/>
        <n v="24.9804"/>
        <n v="10.744"/>
        <n v="29.95"/>
        <n v="3.6322"/>
        <n v="57.5928"/>
        <n v="26.0316"/>
        <n v="2.3521"/>
        <n v="4.9432"/>
        <n v="23.0864"/>
        <n v="-6.0324"/>
        <n v="3.1752"/>
        <n v="91.9508"/>
        <n v="16.2486"/>
        <n v="-161.875"/>
        <n v="11.8584"/>
        <n v="0.5994"/>
        <n v="-8.6592"/>
        <n v="11.907"/>
        <n v="1.4442"/>
        <n v="5.9364"/>
        <n v="4.752"/>
        <n v="27.5292"/>
        <n v="174.9975"/>
        <n v="4.3176"/>
        <n v="3.8073"/>
        <n v="-95.67"/>
        <n v="-14.592"/>
        <n v="1.9089"/>
        <n v="24.219"/>
        <n v="1.168"/>
        <n v="21.0128"/>
        <n v="113.4936"/>
        <n v="53.8608"/>
        <n v="14.5638"/>
        <n v="5.7408"/>
        <n v="1.764"/>
        <n v="14.6718"/>
        <n v="32.392"/>
        <n v="-35.928"/>
        <n v="1.999"/>
        <n v="71.9928"/>
        <n v="-152.7156"/>
        <n v="13.4925"/>
        <n v="83.9916"/>
        <n v="-64.4274"/>
        <n v="31.0688"/>
        <n v="-52.632"/>
        <n v="6.992"/>
        <n v="7.0218"/>
        <n v="9.585"/>
        <n v="-45.8273"/>
        <n v="4.5188"/>
        <n v="8.4024"/>
        <n v="2.6784"/>
        <n v="8.619"/>
        <n v="19.692"/>
        <n v="10.3936"/>
        <n v="10.92"/>
        <n v="2.4192"/>
        <n v="265.4232"/>
        <n v="7.6154"/>
        <n v="125.2692"/>
        <n v="6.7482"/>
        <n v="4.172"/>
        <n v="0.5097"/>
        <n v="6.1641"/>
        <n v="-4.0216"/>
        <n v="5.8045"/>
        <n v="2.7324"/>
        <n v="1.2038"/>
        <n v="3.0128"/>
        <n v="5.955"/>
        <n v="2.3976"/>
        <n v="2.5056"/>
        <n v="17.37"/>
        <n v="13.7646"/>
        <n v="134.9955"/>
        <n v="57.4938"/>
        <n v="206.316"/>
        <n v="89.5888"/>
        <n v="14.5152"/>
        <n v="11.2476"/>
        <n v="30.2112"/>
        <n v="1.512"/>
        <n v="12.582"/>
        <n v="16.7875"/>
        <n v="7.4872"/>
        <n v="503.7822"/>
        <n v="2.3686"/>
        <n v="4.331"/>
        <n v="59.6556"/>
        <n v="50.328"/>
        <n v="352.3065"/>
        <n v="4.884"/>
        <n v="0.84"/>
        <n v="2.691"/>
        <n v="56.5662"/>
        <n v="58.0272"/>
        <n v="9.912"/>
        <n v="13.7016"/>
        <n v="12.99"/>
        <n v="2.679"/>
        <n v="-227.4912"/>
        <n v="4.9878"/>
        <n v="-5.1968"/>
        <n v="16.2688"/>
        <n v="27.882"/>
        <n v="4.0383"/>
        <n v="78.851"/>
        <n v="2.4824"/>
        <n v="29.9646"/>
        <n v="18.504"/>
        <n v="56.9772"/>
        <n v="14.5728"/>
        <n v="33.995"/>
        <n v="38.5722"/>
        <n v="15.0416"/>
        <n v="7.6968"/>
        <n v="11.1664"/>
        <n v="240.8595"/>
        <n v="51.8"/>
        <n v="2.6208"/>
        <n v="1228.1787"/>
        <n v="3.4092"/>
        <n v="-4.577"/>
        <n v="1.4742"/>
        <n v="60.4752"/>
        <n v="-16.426"/>
        <n v="18.715"/>
        <n v="2239.9872"/>
        <n v="1.3"/>
        <n v="-184.8366"/>
        <n v="81.583"/>
        <n v="6.2664"/>
        <n v="11.891"/>
        <n v="-23.716"/>
        <n v="108.7996"/>
        <n v="1.1772"/>
        <n v="13.4372"/>
        <n v="3.5994"/>
        <n v="56.264"/>
        <n v="6.129"/>
        <n v="53.196"/>
        <n v="2.8416"/>
        <n v="11.703"/>
        <n v="23.028"/>
        <n v="47.848"/>
        <n v="10.08"/>
        <n v="5.8812"/>
        <n v="23.235"/>
        <n v="5.4488"/>
        <n v="-694.2936"/>
        <n v="-4.428"/>
        <n v="5.2256"/>
        <n v="65.2064"/>
        <n v="9.2928"/>
        <n v="45.84"/>
        <n v="7.7679"/>
        <n v="-94.333"/>
        <n v="-8.6768"/>
        <n v="1.3583"/>
        <n v="21.1977"/>
        <n v="7.476"/>
        <n v="13.4292"/>
        <n v="-53.2856"/>
        <n v="9.302"/>
        <n v="16.8896"/>
        <n v="10.9584"/>
        <n v="17.847"/>
        <n v="72.5754"/>
        <n v="196.686"/>
        <n v="10.647"/>
        <n v="3.5154"/>
        <n v="1.636"/>
        <n v="57.5016"/>
        <n v="2.4898"/>
        <n v="109.998"/>
        <n v="3.7224"/>
        <n v="4.9632"/>
        <n v="35.6613"/>
        <n v="5.8604"/>
        <n v="30.09"/>
        <n v="7.2576"/>
        <n v="-3.0344"/>
        <n v="53.9946"/>
        <n v="33.831"/>
        <n v="21.0752"/>
        <n v="0.9856"/>
        <n v="-69.312"/>
        <n v="34.993"/>
        <n v="108.7408"/>
        <n v="843.1706"/>
        <n v="6.9132"/>
        <n v="-5.6943"/>
        <n v="11.49"/>
        <n v="219.4514"/>
        <n v="19.4656"/>
        <n v="156.047"/>
        <n v="0.3822"/>
        <n v="-2.5248"/>
        <n v="11.7208"/>
        <n v="6.972"/>
        <n v="6.7915"/>
        <n v="3.36"/>
        <n v="18.447"/>
        <n v="9.6712"/>
        <n v="101.3832"/>
        <n v="6.7392"/>
        <n v="7.3132"/>
        <n v="-70.1043"/>
        <n v="71.99"/>
        <n v="23.6808"/>
        <n v="15.9348"/>
        <n v="8.8088"/>
        <n v="0.365"/>
        <n v="80.7912"/>
        <n v="94.0702"/>
        <n v="341.994"/>
        <n v="18.767"/>
        <n v="110.0528"/>
        <n v="3.0268"/>
        <n v="17.3488"/>
        <n v="149.148"/>
        <n v="-4.8588"/>
        <n v="9.768"/>
        <n v="1.122"/>
        <n v="9.8856"/>
        <n v="13.7176"/>
        <n v="3.3756"/>
        <n v="7.7896"/>
        <n v="3.4048"/>
        <n v="-130.0104"/>
        <n v="35.0784"/>
        <n v="10.8864"/>
        <n v="8.7285"/>
        <n v="22.4808"/>
        <n v="27.3568"/>
        <n v="4.5816"/>
        <n v="5.4801"/>
        <n v="152.495"/>
        <n v="3.58"/>
        <n v="-7.7728"/>
        <n v="3.04"/>
        <n v="238.653"/>
        <n v="30.2778"/>
        <n v="29.495"/>
        <n v="11.4741"/>
        <n v="8.955"/>
        <n v="163.1898"/>
        <n v="3.5858"/>
        <n v="8.2992"/>
        <n v="22.5296"/>
        <n v="5.5755"/>
        <n v="42.3625"/>
        <n v="131.0296"/>
        <n v="-121.2705"/>
        <n v="49.014"/>
        <n v="60.1536"/>
        <n v="0.3336"/>
        <n v="26.703"/>
        <n v="27.3096"/>
        <n v="14.985"/>
        <n v="34.6983"/>
        <n v="52.688"/>
        <n v="11.196"/>
        <n v="5.1816"/>
        <n v="50.4711"/>
        <n v="8.802"/>
        <n v="48.5392"/>
        <n v="77.4837"/>
        <n v="11.7936"/>
        <n v="0.9612"/>
        <n v="3.89"/>
        <n v="0.1134"/>
        <n v="2.4012"/>
        <n v="45.487"/>
        <n v="-21.4704"/>
        <n v="4.6956"/>
        <n v="46.1968"/>
        <n v="3.9592"/>
        <n v="-108.3348"/>
        <n v="43.2234"/>
        <n v="-0.9486"/>
        <n v="-14.6388"/>
        <n v="113.3055"/>
        <n v="3.196"/>
        <n v="6.36"/>
        <n v="1.917"/>
        <n v="-19.7712"/>
        <n v="6.8714"/>
        <n v="3.9609"/>
        <n v="-8.0775"/>
        <n v="909.9818"/>
        <n v="12.8583"/>
        <n v="36.3018"/>
        <n v="0.8056"/>
        <n v="161.9674"/>
        <n v="-175.26"/>
        <n v="83.284"/>
        <n v="47.061"/>
        <n v="-8.532"/>
        <n v="5.1792"/>
        <n v="-2.249"/>
        <n v="-99.2664"/>
        <n v="3.7308"/>
        <n v="8.6744"/>
        <n v="7.128"/>
        <n v="14.3952"/>
        <n v="19.797"/>
        <n v="93.0552"/>
        <n v="27.0578"/>
        <n v="3.2214"/>
        <n v="0.8856"/>
        <n v="24.1568"/>
        <n v="-1480.0335"/>
        <n v="-8.4728"/>
        <n v="-6.0192"/>
        <n v="6.045"/>
        <n v="-13.7175"/>
        <n v="7.209"/>
        <n v="-1.624"/>
        <n v="27.9936"/>
        <n v="3.6855"/>
        <n v="197.991"/>
        <n v="7.9086"/>
        <n v="1.8612"/>
        <n v="4.239"/>
        <n v="68.198"/>
        <n v="47.8065"/>
        <n v="0.891"/>
        <n v="-6.0196"/>
        <n v="-8.8038"/>
        <n v="50.9082"/>
        <n v="20.1584"/>
        <n v="2.288"/>
        <n v="-6.549"/>
        <n v="63.6825"/>
        <n v="2.9646"/>
        <n v="9.99"/>
        <n v="746.4078"/>
        <n v="43.5981"/>
        <n v="39.98"/>
        <n v="3.6018"/>
        <n v="22.298"/>
        <n v="4.0542"/>
        <n v="5.0196"/>
        <n v="177.4206"/>
        <n v="2.2098"/>
        <n v="22.2"/>
        <n v="8.5845"/>
        <n v="15.2225"/>
        <n v="19.188"/>
        <n v="95.586"/>
        <n v="24.3595"/>
        <n v="4.1151"/>
        <n v="-3701.8928"/>
        <n v="20.853"/>
        <n v="15.4752"/>
        <n v="-0.91"/>
        <n v="36.4473"/>
        <n v="26.649"/>
        <n v="-147.8655"/>
        <n v="643.9825"/>
        <n v="10.8054"/>
        <n v="111.1035"/>
        <n v="12.2715"/>
        <n v="41.9965"/>
        <n v="15.12"/>
        <n v="16.3215"/>
        <n v="-9.288"/>
        <n v="8.2156"/>
        <n v="8.5372"/>
        <n v="3.3088"/>
        <n v="-2.8608"/>
        <n v="31.996"/>
        <n v="1.9926"/>
        <n v="16.1838"/>
        <n v="144.3546"/>
        <n v="6.5"/>
        <n v="0.5998"/>
        <n v="7.724"/>
        <n v="8.8784"/>
        <n v="9.2232"/>
        <n v="-42.8"/>
        <n v="-464.697"/>
        <n v="-6.8334"/>
        <n v="3.0558"/>
        <n v="47.9376"/>
        <n v="4.2"/>
        <n v="112.392"/>
        <n v="1.1988"/>
        <n v="1416.8"/>
        <n v="200.49"/>
        <n v="41.535"/>
        <n v="4.7712"/>
        <n v="-18.0312"/>
        <n v="11.92"/>
        <n v="26.3934"/>
        <n v="-6.9828"/>
        <n v="4.756"/>
        <n v="35.0244"/>
        <n v="6.0726"/>
        <n v="2.3997"/>
        <n v="11.996"/>
        <n v="9.702"/>
        <n v="5.56"/>
        <n v="54.9976"/>
        <n v="4.6221"/>
        <n v="0.7092"/>
        <n v="395.9604"/>
        <n v="48.118"/>
        <n v="6.4428"/>
        <n v="2.9346"/>
        <n v="34.742"/>
        <n v="0.2996"/>
        <n v="1.0598"/>
        <n v="69.1992"/>
        <n v="28.7064"/>
        <n v="1.148"/>
        <n v="4.4138"/>
        <n v="20.1264"/>
        <n v="22.2352"/>
        <n v="51.57"/>
        <n v="-110.0232"/>
        <n v="6.9384"/>
        <n v="3.4552"/>
        <n v="29.952"/>
        <n v="-3.094"/>
        <n v="180.7659"/>
        <n v="8.1144"/>
        <n v="17.991"/>
        <n v="-12.9168"/>
        <n v="0.2792"/>
        <n v="3.462"/>
        <n v="97.4586"/>
        <n v="3.3785"/>
        <n v="-76.0116"/>
        <n v="28.0876"/>
        <n v="23.808"/>
        <n v="2.6416"/>
        <n v="9.3228"/>
        <n v="-108.8304"/>
        <n v="4.0872"/>
        <n v="-15.098"/>
        <n v="240.2649"/>
        <n v="-7.5768"/>
        <n v="24.8832"/>
        <n v="4.2309"/>
        <n v="12.974"/>
        <n v="0.7348"/>
        <n v="0.5992"/>
        <n v="51.8292"/>
        <n v="29.1456"/>
        <n v="0.8946"/>
        <n v="122.2936"/>
        <n v="106.5408"/>
        <n v="45.294"/>
        <n v="11.814"/>
        <n v="35.6346"/>
        <n v="6.7008"/>
        <n v="33.0708"/>
        <n v="-93.2316"/>
        <n v="4.779"/>
        <n v="81.432"/>
        <n v="20.4984"/>
        <n v="4.914"/>
        <n v="18.6606"/>
        <n v="44.5278"/>
        <n v="14.67"/>
        <n v="7.9724"/>
        <n v="84.0512"/>
        <n v="36.372"/>
        <n v="58.38"/>
        <n v="21.7728"/>
        <n v="41.3374"/>
        <n v="0.5904"/>
        <n v="9.3624"/>
        <n v="16.032"/>
        <n v="165.3813"/>
        <n v="118.293"/>
        <n v="2.7036"/>
        <n v="4.3524"/>
        <n v="20.1579"/>
        <n v="214.4922"/>
        <n v="78.435"/>
        <n v="5.4124"/>
        <n v="128.9742"/>
        <n v="-93.4724"/>
        <n v="56.55"/>
        <n v="15.777"/>
        <n v="267.6672"/>
        <n v="-15.4764"/>
        <n v="34.9074"/>
        <n v="40.3536"/>
        <n v="176.7864"/>
        <n v="4.4352"/>
        <n v="23.49"/>
        <n v="-3.3879"/>
        <n v="-4.1568"/>
        <n v="117.432"/>
        <n v="12.0"/>
        <n v="1.5312"/>
        <n v="200.9546"/>
        <n v="9.779"/>
        <n v="4.0338"/>
        <n v="224.9925"/>
        <n v="349.3392"/>
        <n v="117.1296"/>
        <n v="-17.2854"/>
        <n v="13.208"/>
        <n v="2.2365"/>
        <n v="44.7096"/>
        <n v="14.2272"/>
        <n v="-1.2558"/>
        <n v="30.9504"/>
        <n v="14.628"/>
        <n v="107.346"/>
        <n v="1.002"/>
        <n v="90.8292"/>
        <n v="30.7168"/>
        <n v="-188.7"/>
        <n v="4.4604"/>
        <n v="1.6588"/>
        <n v="6.3684"/>
        <n v="-4.488"/>
        <n v="6.2192"/>
        <n v="371.316"/>
        <n v="15.642"/>
        <n v="89.307"/>
        <n v="5.1552"/>
        <n v="-219.1644"/>
        <n v="-6.1248"/>
        <n v="1.323"/>
        <n v="17.6088"/>
        <n v="12.8568"/>
        <n v="4.2804"/>
        <n v="39.7488"/>
        <n v="23.4416"/>
        <n v="2.772"/>
        <n v="6.372"/>
        <n v="-26.9955"/>
        <n v="12.936"/>
        <n v="93.594"/>
        <n v="9.8164"/>
        <n v="41.1684"/>
        <n v="15.9968"/>
        <n v="15.764"/>
        <n v="17.9634"/>
        <n v="94.4925"/>
        <n v="4.3372"/>
        <n v="12.691"/>
        <n v="69.1008"/>
        <n v="5.24"/>
        <n v="2.8912"/>
        <n v="9.5736"/>
        <n v="3.0498"/>
        <n v="-1862.3124"/>
        <n v="2.9889"/>
        <n v="0.7392"/>
        <n v="2.6406"/>
        <n v="9.5787"/>
        <n v="1013.127"/>
        <n v="35.415"/>
        <n v="2.4"/>
        <n v="17.694"/>
        <n v="147.475"/>
        <n v="56.3528"/>
        <n v="4.4312"/>
        <n v="6.9231"/>
        <n v="7.5371"/>
        <n v="-35.9058"/>
        <n v="24.196"/>
        <n v="12.993"/>
        <n v="122.148"/>
        <n v="1.7901"/>
        <n v="9.3444"/>
        <n v="13.8915"/>
        <n v="13.9392"/>
        <n v="49.9704"/>
        <n v="6.253"/>
        <n v="-90.3762"/>
        <n v="1.8048"/>
        <n v="-5.264"/>
        <n v="12.1149"/>
        <n v="1.3596"/>
        <n v="-480.2032"/>
        <n v="19.3984"/>
        <n v="7.7688"/>
        <n v="37.1812"/>
        <n v="2.394"/>
        <n v="-100.92"/>
        <n v="118.6575"/>
        <n v="-85.2384"/>
        <n v="5.1072"/>
        <n v="8.694"/>
        <n v="2.7072"/>
        <n v="8.0178"/>
        <n v="156.338"/>
        <n v="770.352"/>
        <n v="41.496"/>
        <n v="20.682"/>
        <n v="-4.6464"/>
        <n v="-26.7204"/>
        <n v="76.3152"/>
        <n v="2.1476"/>
        <n v="2.0358"/>
        <n v="267.705"/>
        <n v="21.2512"/>
        <n v="7.0096"/>
        <n v="8.526"/>
        <n v="5.4768"/>
        <n v="60.5528"/>
        <n v="29.1375"/>
        <n v="-182.637"/>
        <n v="17.3148"/>
        <n v="178.91"/>
        <n v="81.8496"/>
        <n v="4.0192"/>
        <n v="8.2344"/>
        <n v="-122.3928"/>
        <n v="21.036"/>
        <n v="-76.6062"/>
        <n v="4.3326"/>
        <n v="18.6093"/>
        <n v="3.8655"/>
        <n v="-2.0364"/>
        <n v="-337.638"/>
        <n v="22.6764"/>
        <n v="1.2064"/>
        <n v="12.6672"/>
        <n v="735.0336"/>
        <n v="99.432"/>
        <n v="29.799"/>
        <n v="35.9964"/>
        <n v="37.7916"/>
        <n v="-121.58"/>
        <n v="0.2016"/>
        <n v="74.975"/>
        <n v="4.0473"/>
        <n v="3.6792"/>
        <n v="-15.4581"/>
        <n v="111.591"/>
        <n v="4.4892"/>
        <n v="8.8686"/>
        <n v="35.0973"/>
        <n v="5.256"/>
        <n v="63.7392"/>
        <n v="31.2736"/>
        <n v="762.1845"/>
        <n v="26.271"/>
        <n v="99.9408"/>
        <n v="-525.6405"/>
        <n v="1.5008"/>
        <n v="-7.098"/>
        <n v="22.6737"/>
        <n v="8.799"/>
        <n v="49.2723"/>
        <n v="10.104"/>
        <n v="-5.412"/>
        <n v="0.559"/>
        <n v="14.904"/>
        <n v="69.705"/>
        <n v="18.4548"/>
        <n v="4.004"/>
        <n v="10.5"/>
        <n v="92.0835"/>
        <n v="1.1656"/>
        <n v="-5.4801"/>
        <n v="26.824"/>
        <n v="51.996"/>
        <n v="21.8376"/>
        <n v="-4.4928"/>
        <n v="4.5738"/>
        <n v="16.1868"/>
        <n v="15.147"/>
        <n v="13.734"/>
        <n v="43.4352"/>
        <n v="15.876"/>
        <n v="7.9212"/>
        <n v="28.7964"/>
        <n v="14.501"/>
        <n v="-4.396"/>
        <n v="15.599"/>
        <n v="4.4088"/>
        <n v="5.3898"/>
        <n v="2.9322"/>
        <n v="4.9686"/>
        <n v="2.3312"/>
        <n v="0.9576"/>
        <n v="1.5552"/>
        <n v="1.7591"/>
        <n v="2.132"/>
        <n v="8.5722"/>
        <n v="2.2194"/>
        <n v="8.3268"/>
        <n v="-0.2685"/>
        <n v="-191.619"/>
        <n v="11.898"/>
        <n v="6.6"/>
        <n v="67.992"/>
        <n v="-116.844"/>
        <n v="4.4392"/>
        <n v="55.845"/>
        <n v="-8.9152"/>
        <n v="7.5992"/>
        <n v="2.99"/>
        <n v="4.1328"/>
        <n v="1.8"/>
        <n v="61.389"/>
        <n v="-18.0588"/>
        <n v="8.4888"/>
        <n v="14.202"/>
        <n v="-55.256"/>
        <n v="34.494"/>
        <n v="8.93"/>
        <n v="8.7906"/>
        <n v="-4.8392"/>
        <n v="-20.3322"/>
        <n v="-29.1168"/>
        <n v="0.0636"/>
        <n v="9.8901"/>
        <n v="47.844"/>
        <n v="51.942"/>
        <n v="1.3365"/>
        <n v="35.6526"/>
        <n v="89.3142"/>
        <n v="-70.9605"/>
        <n v="25.875"/>
        <n v="6.7116"/>
        <n v="24.936"/>
        <n v="-8.5068"/>
        <n v="14.346"/>
        <n v="5.083"/>
        <n v="-15.9268"/>
        <n v="-89.089"/>
        <n v="16.2864"/>
        <n v="39.6879"/>
        <n v="-14.5656"/>
        <n v="6.72"/>
        <n v="53.0439"/>
        <n v="20.6336"/>
        <n v="-54.3204"/>
        <n v="50.5632"/>
        <n v="63.7776"/>
        <n v="6.1792"/>
        <n v="0.7228"/>
        <n v="5.056"/>
        <n v="4.0986"/>
        <n v="11.2504"/>
        <n v="1.5456"/>
        <n v="1.6776"/>
        <n v="3.348"/>
        <n v="19.4688"/>
        <n v="8.085"/>
        <n v="-103.8606"/>
        <n v="69.986"/>
        <n v="0.444"/>
        <n v="11.2308"/>
        <n v="6.2244"/>
        <n v="9.102"/>
        <n v="0.8058"/>
        <n v="-2.5256"/>
        <n v="21.645"/>
        <n v="38.6848"/>
        <n v="53.261"/>
        <n v="38.3508"/>
        <n v="-337.806"/>
        <n v="35.2872"/>
        <n v="51.6558"/>
        <n v="41.2938"/>
        <n v="7.93"/>
        <n v="76.4"/>
        <n v="13.3371"/>
        <n v="-255.7425"/>
        <n v="13.32"/>
        <n v="28.7712"/>
        <n v="40.4973"/>
        <n v="13.5324"/>
        <n v="134.3328"/>
        <n v="12.2328"/>
        <n v="6.1512"/>
        <n v="31.5192"/>
        <n v="130.7581"/>
        <n v="84.5154"/>
        <n v="16.7972"/>
        <n v="61.3305"/>
        <n v="64.518"/>
        <n v="1.1556"/>
        <n v="-13.734"/>
        <n v="33.636"/>
        <n v="-37.1124"/>
        <n v="2.0672"/>
        <n v="4.3904"/>
        <n v="2.934"/>
        <n v="78.8942"/>
        <n v="21.99"/>
        <n v="245.7"/>
        <n v="-4.9878"/>
        <n v="21.42"/>
        <n v="27.986"/>
        <n v="125.245"/>
        <n v="1.4104"/>
        <n v="3.1104"/>
        <n v="6.3936"/>
        <n v="-31.3722"/>
        <n v="24.5028"/>
        <n v="2.184"/>
        <n v="18.2112"/>
        <n v="57.358"/>
        <n v="2.256"/>
        <n v="10.8836"/>
        <n v="1.6038"/>
        <n v="148.1064"/>
        <n v="2.1336"/>
        <n v="87.5684"/>
        <n v="16.68"/>
        <n v="10.68"/>
        <n v="-10.0372"/>
        <n v="80.838"/>
        <n v="-10.3936"/>
        <n v="-13.7976"/>
        <n v="55.3616"/>
        <n v="2.289"/>
        <n v="84.5728"/>
        <n v="20.5755"/>
        <n v="-32.5226"/>
        <n v="19.0386"/>
        <n v="38.9975"/>
        <n v="2.6496"/>
        <n v="-2.5698"/>
        <n v="-75.8304"/>
        <n v="42.8805"/>
        <n v="12.8744"/>
        <n v="52.38"/>
        <n v="-1181.2824"/>
        <n v="100.4796"/>
        <n v="-16.818"/>
        <n v="106.1242"/>
        <n v="167.979"/>
        <n v="8.352"/>
        <n v="11.076"/>
        <n v="257.712"/>
        <n v="92.3936"/>
        <n v="303.3408"/>
        <n v="10.896"/>
        <n v="84.66"/>
        <n v="-13.1706"/>
        <n v="-4.2336"/>
        <n v="-913.176"/>
        <n v="20.724"/>
        <n v="13.6776"/>
        <n v="3.9474"/>
        <n v="4.8609"/>
        <n v="-46.9952"/>
        <n v="6.4638"/>
        <n v="-13.8717"/>
        <n v="2.632"/>
        <n v="6.812"/>
        <n v="152.388"/>
        <n v="36.225"/>
        <n v="40.4012"/>
        <n v="13.4865"/>
        <n v="44.046"/>
        <n v="28.1421"/>
        <n v="206.6232"/>
        <n v="9.4717"/>
        <n v="1.1225"/>
        <n v="2.8392"/>
        <n v="137.151"/>
        <n v="4.504"/>
        <n v="95.7572"/>
        <n v="3.401"/>
        <n v="-10.4196"/>
        <n v="155.25"/>
        <n v="-28.6862"/>
        <n v="18.0648"/>
        <n v="-64.7748"/>
        <n v="33.642"/>
        <n v="4.8924"/>
        <n v="4.5318"/>
        <n v="15.6078"/>
        <n v="124.488"/>
        <n v="-2.918"/>
        <n v="1.5602"/>
        <n v="12.864"/>
        <n v="40.8006"/>
        <n v="3.3408"/>
        <n v="-9.5568"/>
        <n v="8.8704"/>
        <n v="42.495"/>
        <n v="5.0596"/>
        <n v="18.1146"/>
        <n v="48.9516"/>
        <n v="3.6156"/>
        <n v="23.5116"/>
        <n v="14.3856"/>
        <n v="0.7398"/>
        <n v="1.6116"/>
        <n v="5.0064"/>
        <n v="0.4074"/>
        <n v="13.132"/>
        <n v="15.7"/>
        <n v="269.308"/>
        <n v="2.244"/>
        <n v="11.094"/>
        <n v="-4.641"/>
        <n v="16.6788"/>
        <n v="11.4516"/>
        <n v="22.941"/>
        <n v="60.392"/>
        <n v="52.734"/>
        <n v="35.2604"/>
        <n v="7.56"/>
        <n v="4.891"/>
        <n v="124.929"/>
        <n v="485.9892"/>
        <n v="-1.8904"/>
        <n v="43.7842"/>
        <n v="3.5784"/>
        <n v="23.226"/>
        <n v="2.1492"/>
        <n v="146.2405"/>
        <n v="43.3188"/>
        <n v="140.686"/>
        <n v="13.17"/>
        <n v="607.608"/>
        <n v="3.0861"/>
        <n v="31.0184"/>
        <n v="0.5236"/>
        <n v="10.4148"/>
        <n v="15.065"/>
        <n v="0.471"/>
        <n v="36.852"/>
        <n v="1.551"/>
        <n v="7.8936"/>
        <n v="-11.5176"/>
        <n v="23.9232"/>
        <n v="-1.9791"/>
        <n v="77.7519"/>
        <n v="-2.244"/>
        <n v="17.55"/>
        <n v="2.436"/>
        <n v="9.25"/>
        <n v="-73.8192"/>
        <n v="0.3864"/>
        <n v="78.7528"/>
        <n v="62.8075"/>
        <n v="134.652"/>
        <n v="15.5232"/>
        <n v="3.7996"/>
        <n v="28.6965"/>
        <n v="3.597"/>
        <n v="21.5397"/>
        <n v="-2.838"/>
        <n v="5.5664"/>
        <n v="8.7138"/>
        <n v="96.3438"/>
        <n v="47.6268"/>
        <n v="1.4456"/>
        <n v="2.5578"/>
        <n v="160.1766"/>
        <n v="-1.1996"/>
        <n v="16.5242"/>
        <n v="10.008"/>
        <n v="8.1168"/>
        <n v="22.7136"/>
        <n v="57.6"/>
        <n v="2.4864"/>
        <n v="3.267"/>
        <n v="6.8388"/>
        <n v="7.4256"/>
        <n v="3.894"/>
        <n v="74.5654"/>
        <n v="2.004"/>
        <n v="18.8784"/>
        <n v="-7.4358"/>
        <n v="6.6976"/>
        <n v="7.065"/>
        <n v="27.0112"/>
        <n v="6.858"/>
        <n v="0.99"/>
        <n v="456.588"/>
        <n v="20.392"/>
        <n v="131.2785"/>
        <n v="4.9648"/>
        <n v="0.8385"/>
        <n v="16.956"/>
        <n v="50.4426"/>
        <n v="79.758"/>
        <n v="16.17"/>
        <n v="2.577"/>
        <n v="15.0742"/>
        <n v="137.264"/>
        <n v="49.23"/>
        <n v="64.7856"/>
        <n v="34.8928"/>
        <n v="16.98"/>
        <n v="-8.9796"/>
        <n v="43.164"/>
        <n v="87.7443"/>
        <n v="285.9896"/>
        <n v="-6.9282"/>
        <n v="35.156"/>
        <n v="3.8822"/>
        <n v="-13.2867"/>
        <n v="3.4848"/>
        <n v="2.224"/>
        <n v="92.3692"/>
        <n v="0.5967"/>
        <n v="-1065.372"/>
        <n v="23.9169"/>
        <n v="28.858"/>
        <n v="449.991"/>
        <n v="9.2386"/>
        <n v="0.3024"/>
        <n v="19.9665"/>
        <n v="19.8276"/>
        <n v="-11.439"/>
        <n v="266.4522"/>
        <n v="5.1648"/>
        <n v="50.12"/>
        <n v="-6.286"/>
        <n v="-4.4946"/>
        <n v="120.9468"/>
        <n v="84.9436"/>
        <n v="16.146"/>
        <n v="3.4776"/>
        <n v="16.6698"/>
        <n v="84.495"/>
        <n v="-182.352"/>
        <n v="1.6784"/>
        <n v="-5.8346"/>
        <n v="-12.208"/>
        <n v="2.8884"/>
        <n v="49.4376"/>
        <n v="41.697"/>
        <n v="5.2877"/>
        <n v="41.076"/>
        <n v="10.881"/>
        <n v="1.068"/>
        <n v="91.9954"/>
        <n v="422.51"/>
        <n v="7.2268"/>
        <n v="35.994"/>
        <n v="207.147"/>
        <n v="23.5872"/>
        <n v="10.434"/>
        <n v="7.704"/>
        <n v="233.9961"/>
        <n v="5.778"/>
        <n v="16.8237"/>
        <n v="1.6128"/>
        <n v="32.2514"/>
        <n v="-13.978"/>
        <n v="6.7188"/>
        <n v="3.0576"/>
        <n v="459.396"/>
        <n v="553.3902"/>
        <n v="9.7328"/>
        <n v="1.1765"/>
        <n v="-2.0622"/>
        <n v="9.8658"/>
        <n v="5.193"/>
        <n v="21.714"/>
        <n v="5.7624"/>
        <n v="4.5216"/>
        <n v="12.3144"/>
        <n v="89.2224"/>
        <n v="-17.0352"/>
        <n v="27.9456"/>
        <n v="11.376"/>
        <n v="55.9986"/>
        <n v="0.3384"/>
        <n v="10.4284"/>
        <n v="14.2992"/>
        <n v="209.274"/>
        <n v="11.88"/>
        <n v="54.215"/>
        <n v="4.9082"/>
        <n v="2.3406"/>
        <n v="4.9248"/>
        <n v="-25.2185"/>
        <n v="-1.3104"/>
        <n v="1270.99"/>
        <n v="178.8"/>
        <n v="0.968"/>
        <n v="3.069"/>
        <n v="5.319"/>
        <n v="148.491"/>
        <n v="14.3075"/>
        <n v="12.5118"/>
        <n v="1.1151"/>
        <n v="36.4704"/>
        <n v="-5.784"/>
        <n v="0.7425"/>
        <n v="18.9702"/>
        <n v="610.8624"/>
        <n v="2.175"/>
        <n v="105.468"/>
        <n v="17.6418"/>
        <n v="15.3952"/>
        <n v="141.2775"/>
        <n v="22.5576"/>
        <n v="11.5432"/>
        <n v="3.4686"/>
        <n v="9.3906"/>
        <n v="48.9645"/>
        <n v="14.161"/>
        <n v="4.7976"/>
        <n v="5.3214"/>
        <n v="152.0232"/>
        <n v="1.3098"/>
        <n v="2.5641"/>
        <n v="17.428"/>
        <n v="82.497"/>
        <n v="-10.3824"/>
        <n v="59.998"/>
        <n v="109.3365"/>
        <n v="8.3916"/>
        <n v="169.182"/>
        <n v="190.4298"/>
        <n v="18.396"/>
        <n v="4.3428"/>
        <n v="2.1728"/>
        <n v="12.51"/>
        <n v="14.6264"/>
        <n v="5.4896"/>
        <n v="23.7742"/>
        <n v="33.936"/>
        <n v="5.6994"/>
        <n v="31.0912"/>
        <n v="62.737"/>
        <n v="2.2302"/>
        <n v="2.0228"/>
        <n v="-54.5958"/>
        <n v="16.5888"/>
        <n v="4.3308"/>
        <n v="-16.5858"/>
        <n v="14.2758"/>
        <n v="8.7672"/>
        <n v="0.7152"/>
        <n v="1.8148"/>
        <n v="3.6"/>
        <n v="21.4452"/>
        <n v="15.8571"/>
        <n v="4.8118"/>
        <n v="0.9952"/>
        <n v="2.999"/>
        <n v="1114.512"/>
        <n v="10.7424"/>
        <n v="-131.12"/>
        <n v="4.068"/>
        <n v="-42.4926"/>
        <n v="2.0748"/>
        <n v="-46.3946"/>
        <n v="-13.8278"/>
        <n v="-71.3958"/>
        <n v="2.94"/>
        <n v="-2.6256"/>
        <n v="12.549"/>
        <n v="-509.997"/>
        <n v="-3.8646"/>
        <n v="26.4132"/>
        <n v="8.2901"/>
        <n v="5.0232"/>
        <n v="-24.294"/>
        <n v="-14.773"/>
        <n v="11.7782"/>
        <n v="-16.467"/>
        <n v="-1.7514"/>
        <n v="9.5256"/>
        <n v="4.6746"/>
        <n v="10.56"/>
        <n v="155.727"/>
        <n v="4.2294"/>
        <n v="6.465"/>
        <n v="9.3184"/>
        <n v="40.473"/>
        <n v="-50.3928"/>
        <n v="-571.9956"/>
        <n v="-79.3352"/>
        <n v="-30.555"/>
        <n v="14.5614"/>
        <n v="13.1956"/>
        <n v="-143.2548"/>
        <n v="-24.803"/>
        <n v="22.2516"/>
        <n v="-2.1896"/>
        <n v="316.1392"/>
        <n v="7.1586"/>
        <n v="-5.712"/>
        <n v="29.4492"/>
        <n v="-11.52"/>
        <n v="8.2782"/>
        <n v="3.3544"/>
        <n v="-7.8588"/>
        <n v="-336.6272"/>
        <n v="10.8"/>
        <n v="0.2952"/>
        <n v="18.8937"/>
        <n v="284.98"/>
        <n v="25.0182"/>
        <n v="10.5714"/>
        <n v="-1.3608"/>
        <n v="6.512"/>
        <n v="1.7514"/>
        <n v="-166.32"/>
        <n v="14.43"/>
        <n v="12.8928"/>
        <n v="33.64"/>
        <n v="59.493"/>
        <n v="112.574"/>
        <n v="0.7938"/>
        <n v="-407.682"/>
        <n v="3.945"/>
        <n v="20.5176"/>
        <n v="-20.5623"/>
        <n v="5.837"/>
        <n v="27.7182"/>
        <n v="154.8426"/>
        <n v="11.1024"/>
        <n v="2.8764"/>
        <n v="17.3656"/>
        <n v="-46.7362"/>
        <n v="4.7236"/>
        <n v="-1.0656"/>
        <n v="-15.9102"/>
        <n v="-31.536"/>
        <n v="-7.9634"/>
        <n v="-18.5562"/>
        <n v="23.384"/>
        <n v="21.7845"/>
        <n v="10.3473"/>
        <n v="-35.5136"/>
        <n v="47.243"/>
        <n v="11.0016"/>
        <n v="-14.475"/>
        <n v="181.9818"/>
        <n v="40.1702"/>
        <n v="36.8245"/>
        <n v="-51.5154"/>
        <n v="3.8976"/>
        <n v="-447.5947"/>
        <n v="-1.1874"/>
        <n v="-12.0588"/>
        <n v="32.2322"/>
        <n v="93.5948"/>
        <n v="6.291"/>
        <n v="-3.6892"/>
        <n v="-8.029"/>
        <n v="100.685"/>
        <n v="-8.5794"/>
        <n v="-1.4016"/>
        <n v="2.502"/>
        <n v="2.7166"/>
        <n v="30.7818"/>
        <n v="4.6176"/>
        <n v="-29.3436"/>
        <n v="-12.432"/>
        <n v="172.4814"/>
        <n v="14.8"/>
        <n v="66.5088"/>
        <n v="56.5264"/>
        <n v="-67.941"/>
        <n v="9.352"/>
        <n v="-5.8604"/>
        <n v="18.528"/>
        <n v="-4.1244"/>
        <n v="-18.2352"/>
        <n v="0.334"/>
        <n v="-40.7976"/>
        <n v="-44.1552"/>
        <n v="-8.1312"/>
        <n v="-38.1114"/>
        <n v="-19.2588"/>
        <n v="3.384"/>
        <n v="-11.8256"/>
        <n v="42.8148"/>
        <n v="-58.8616"/>
        <n v="1.3316"/>
        <n v="5.3721"/>
        <n v="-11.322"/>
        <n v="4.3902"/>
        <n v="5.6644"/>
        <n v="83.5128"/>
        <n v="41.4294"/>
        <n v="0.5508"/>
        <n v="9.744"/>
        <n v="-459.9875"/>
        <n v="72.8946"/>
        <n v="874.9875"/>
        <n v="-22.62"/>
        <n v="-312.0614"/>
        <n v="-11.3372"/>
        <n v="-786.744"/>
        <n v="31.2858"/>
        <n v="-7.764"/>
        <n v="-4.0128"/>
        <n v="-0.7295"/>
        <n v="-66.5088"/>
        <n v="92.5056"/>
        <n v="-383.031"/>
        <n v="2.0975"/>
        <n v="1.773"/>
        <n v="13.8579"/>
        <n v="-12.796"/>
        <n v="0.5244"/>
        <n v="5.9384"/>
        <n v="30.0144"/>
        <n v="13.188"/>
        <n v="6.255"/>
        <n v="282.2092"/>
        <n v="-49.92"/>
        <n v="20.1708"/>
        <n v="1.674"/>
        <n v="25.1496"/>
        <n v="-123.858"/>
        <n v="75.6952"/>
        <n v="-145.5246"/>
        <n v="15.8256"/>
        <n v="-2.22"/>
        <n v="-80.48"/>
        <n v="-4.464"/>
        <n v="11.9988"/>
        <n v="-95.2476"/>
        <n v="10.203"/>
        <n v="13.064"/>
        <n v="-29.2524"/>
        <n v="356.0414"/>
        <n v="6.1704"/>
        <n v="-112.6216"/>
        <n v="1.043"/>
        <n v="0.2592"/>
        <n v="3.7752"/>
        <n v="55.3896"/>
        <n v="0.2997"/>
        <n v="-15.7514"/>
        <n v="4.293"/>
        <n v="-0.6976"/>
        <n v="-45.9954"/>
        <n v="10.9602"/>
        <n v="83.9944"/>
        <n v="-114.3912"/>
        <n v="10.3071"/>
        <n v="14.651"/>
        <n v="-5.5338"/>
        <n v="15.743"/>
        <n v="-115.7156"/>
        <n v="46.8996"/>
        <n v="215.9892"/>
        <n v="45.528"/>
        <n v="9.3024"/>
        <n v="14.4648"/>
        <n v="-7.2672"/>
        <n v="7.8225"/>
        <n v="-103.266"/>
        <n v="102.9528"/>
        <n v="4.5882"/>
        <n v="-204.4458"/>
        <n v="18.6624"/>
        <n v="-5.823"/>
        <n v="11.232"/>
        <n v="14.3068"/>
        <n v="32.925"/>
        <n v="3.0338"/>
        <n v="13.181"/>
        <n v="-29.6058"/>
        <n v="-28.2744"/>
        <n v="-12.9568"/>
        <n v="16.1096"/>
        <n v="-11.9616"/>
        <n v="-68.392"/>
        <n v="16.6536"/>
        <n v="5.798"/>
        <n v="-4.851"/>
        <n v="-18.4624"/>
        <n v="6.3072"/>
        <n v="-1665.0522"/>
        <n v="76.5484"/>
        <n v="22.3548"/>
        <n v="89.991"/>
        <n v="-29.4812"/>
        <n v="-162.2296"/>
        <n v="-52.8336"/>
        <n v="38.3572"/>
        <n v="3.1096"/>
        <n v="-26.8758"/>
        <n v="-22.449"/>
        <n v="-373.3048"/>
        <n v="8.01"/>
        <n v="28.4928"/>
        <n v="24.2919"/>
        <n v="-8.4924"/>
        <n v="-1.35"/>
        <n v="30.1872"/>
        <n v="-2.01"/>
        <n v="-3.432"/>
        <n v="8.2848"/>
        <n v="-9.1648"/>
        <n v="-3.168"/>
        <n v="1143.891"/>
        <n v="-15.2225"/>
        <n v="3.3516"/>
        <n v="213.7044"/>
        <n v="1.476"/>
        <n v="3.2832"/>
        <n v="38.97"/>
        <n v="-1.3584"/>
        <n v="-163.5767"/>
        <n v="-3.4272"/>
        <n v="39.6312"/>
        <n v="6.4308"/>
        <n v="-113.282"/>
        <n v="0.4984"/>
        <n v="-52.9584"/>
        <n v="-157.0095"/>
      </sharedItems>
    </cacheField>
    <cacheField name="Seles_in_selected_currency" formula="sum(Sales)*$T$6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008" sheet="ДАНІ"/>
  </cacheSource>
  <cacheFields>
    <cacheField name="Order ID" numFmtId="0">
      <sharedItems>
        <s v="CA-2014-100006"/>
        <s v="CA-2014-100090"/>
        <s v="CA-2014-100293"/>
        <s v="CA-2014-100328"/>
        <s v="CA-2014-100363"/>
        <s v="CA-2014-100391"/>
        <s v="CA-2014-100678"/>
        <s v="CA-2014-100706"/>
        <s v="CA-2014-100762"/>
        <s v="CA-2014-100860"/>
        <s v="CA-2014-100867"/>
        <s v="CA-2014-100881"/>
        <s v="CA-2014-100895"/>
        <s v="CA-2014-100916"/>
        <s v="CA-2014-100972"/>
        <s v="CA-2014-101147"/>
        <s v="CA-2014-101175"/>
        <s v="CA-2014-101266"/>
        <s v="CA-2014-101364"/>
        <s v="CA-2014-101392"/>
        <s v="CA-2014-101427"/>
        <s v="CA-2014-101462"/>
        <s v="CA-2014-101476"/>
        <s v="CA-2014-101560"/>
        <s v="CA-2014-101602"/>
        <s v="CA-2014-101770"/>
        <s v="CA-2014-101833"/>
        <s v="CA-2014-101931"/>
        <s v="CA-2014-102008"/>
        <s v="CA-2014-102085"/>
        <s v="CA-2014-102274"/>
        <s v="CA-2014-102295"/>
        <s v="CA-2014-102330"/>
        <s v="CA-2014-102645"/>
        <s v="CA-2014-102652"/>
        <s v="CA-2014-102673"/>
        <s v="CA-2014-102869"/>
        <s v="CA-2014-102988"/>
        <s v="CA-2014-103058"/>
        <s v="CA-2014-103086"/>
        <s v="CA-2014-103100"/>
        <s v="CA-2014-103191"/>
        <s v="CA-2014-103219"/>
        <s v="CA-2014-103310"/>
        <s v="CA-2014-103317"/>
        <s v="CA-2014-103331"/>
        <s v="CA-2014-103366"/>
        <s v="CA-2014-103373"/>
        <s v="CA-2014-103401"/>
        <s v="CA-2014-103429"/>
        <s v="CA-2014-103492"/>
        <s v="CA-2014-103527"/>
        <s v="CA-2014-103590"/>
        <s v="CA-2014-103660"/>
        <s v="CA-2014-103702"/>
        <s v="CA-2014-103744"/>
        <s v="CA-2014-103800"/>
        <s v="CA-2014-103807"/>
        <s v="CA-2014-103849"/>
        <s v="CA-2014-103940"/>
        <s v="CA-2014-103989"/>
        <s v="CA-2014-104178"/>
        <s v="CA-2014-104269"/>
        <s v="CA-2014-104283"/>
        <s v="CA-2014-104402"/>
        <s v="CA-2014-104472"/>
        <s v="CA-2014-104563"/>
        <s v="CA-2014-104738"/>
        <s v="CA-2014-104773"/>
        <s v="CA-2014-104780"/>
        <s v="CA-2014-104808"/>
        <s v="CA-2014-104829"/>
        <s v="CA-2014-104976"/>
        <s v="CA-2014-105165"/>
        <s v="CA-2014-105172"/>
        <s v="CA-2014-105249"/>
        <s v="CA-2014-105270"/>
        <s v="CA-2014-105340"/>
        <s v="CA-2014-105417"/>
        <s v="CA-2014-105648"/>
        <s v="CA-2014-105872"/>
        <s v="CA-2014-105893"/>
        <s v="CA-2014-105984"/>
        <s v="CA-2014-106054"/>
        <s v="CA-2014-106229"/>
        <s v="CA-2014-106264"/>
        <s v="CA-2014-106376"/>
        <s v="CA-2014-106439"/>
        <s v="CA-2014-106572"/>
        <s v="CA-2014-106719"/>
        <s v="CA-2014-106726"/>
        <s v="CA-2014-106803"/>
        <s v="CA-2014-106810"/>
        <s v="CA-2014-106971"/>
        <s v="CA-2014-107139"/>
        <s v="CA-2014-107153"/>
        <s v="CA-2014-107181"/>
        <s v="CA-2014-107398"/>
        <s v="CA-2014-107454"/>
        <s v="CA-2014-107524"/>
        <s v="CA-2014-107573"/>
        <s v="CA-2014-107594"/>
        <s v="CA-2014-107706"/>
        <s v="CA-2014-107755"/>
        <s v="CA-2014-107769"/>
        <s v="CA-2014-107811"/>
        <s v="CA-2014-107818"/>
        <s v="CA-2014-107916"/>
        <s v="CA-2014-108147"/>
        <s v="CA-2014-108182"/>
        <s v="CA-2014-108189"/>
        <s v="CA-2014-108273"/>
        <s v="CA-2014-108609"/>
        <s v="CA-2014-108707"/>
        <s v="CA-2014-108861"/>
        <s v="CA-2014-108903"/>
        <s v="CA-2014-109043"/>
        <s v="CA-2014-109127"/>
        <s v="CA-2014-109134"/>
        <s v="CA-2014-109218"/>
        <s v="CA-2014-109232"/>
        <s v="CA-2014-109302"/>
        <s v="CA-2014-109491"/>
        <s v="CA-2014-109680"/>
        <s v="CA-2014-109855"/>
        <s v="CA-2014-109890"/>
        <s v="CA-2014-109897"/>
        <s v="CA-2014-109904"/>
        <s v="CA-2014-109918"/>
        <s v="CA-2014-109932"/>
        <s v="CA-2014-110030"/>
        <s v="CA-2014-110065"/>
        <s v="CA-2014-110072"/>
        <s v="CA-2014-110100"/>
        <s v="CA-2014-110184"/>
        <s v="CA-2014-110219"/>
        <s v="CA-2014-110352"/>
        <s v="CA-2014-110408"/>
        <s v="CA-2014-110422"/>
        <s v="CA-2014-110527"/>
        <s v="CA-2014-110555"/>
        <s v="CA-2014-110611"/>
        <s v="CA-2014-110639"/>
        <s v="CA-2014-110786"/>
        <s v="CA-2014-110849"/>
        <s v="CA-2014-111003"/>
        <s v="CA-2014-111059"/>
        <s v="CA-2014-111150"/>
        <s v="CA-2014-111157"/>
        <s v="CA-2014-111192"/>
        <s v="CA-2014-111360"/>
        <s v="CA-2014-111451"/>
        <s v="CA-2014-111500"/>
        <s v="CA-2014-111773"/>
        <s v="CA-2014-111857"/>
        <s v="CA-2014-111871"/>
        <s v="CA-2014-111899"/>
        <s v="CA-2014-111934"/>
        <s v="CA-2014-111962"/>
        <s v="CA-2014-112158"/>
        <s v="CA-2014-112291"/>
        <s v="CA-2014-112326"/>
        <s v="CA-2014-112403"/>
        <s v="CA-2014-112718"/>
        <s v="CA-2014-112837"/>
        <s v="CA-2014-112851"/>
        <s v="CA-2014-113047"/>
        <s v="CA-2014-113166"/>
        <s v="CA-2014-113257"/>
        <s v="CA-2014-113271"/>
        <s v="CA-2014-113320"/>
        <s v="CA-2014-113362"/>
        <s v="CA-2014-113383"/>
        <s v="CA-2014-113579"/>
        <s v="CA-2014-113768"/>
        <s v="CA-2014-113859"/>
        <s v="CA-2014-113880"/>
        <s v="CA-2014-113887"/>
        <s v="CA-2014-113929"/>
        <s v="CA-2014-113964"/>
        <s v="CA-2014-114125"/>
        <s v="CA-2014-114181"/>
        <s v="CA-2014-114195"/>
        <s v="CA-2014-114251"/>
        <s v="CA-2014-114314"/>
        <s v="CA-2014-114321"/>
        <s v="CA-2014-114335"/>
        <s v="CA-2014-114433"/>
        <s v="CA-2014-114510"/>
        <s v="CA-2014-114517"/>
        <s v="CA-2014-114643"/>
        <s v="CA-2014-114790"/>
        <s v="CA-2014-115049"/>
        <s v="CA-2014-115056"/>
        <s v="CA-2014-115084"/>
        <s v="CA-2014-115133"/>
        <s v="CA-2014-115161"/>
        <s v="CA-2014-115259"/>
        <s v="CA-2014-115336"/>
        <s v="CA-2014-115357"/>
        <s v="CA-2014-115791"/>
        <s v="CA-2014-115812"/>
        <s v="CA-2014-115889"/>
        <s v="CA-2014-115973"/>
        <s v="CA-2014-115980"/>
        <s v="CA-2014-116190"/>
        <s v="CA-2014-116239"/>
        <s v="CA-2014-116246"/>
        <s v="CA-2014-116407"/>
        <s v="CA-2014-116568"/>
        <s v="CA-2014-116666"/>
        <s v="CA-2014-116673"/>
        <s v="CA-2014-116757"/>
        <s v="CA-2014-116785"/>
        <s v="CA-2014-116834"/>
        <s v="CA-2014-116904"/>
        <s v="CA-2014-116932"/>
        <s v="CA-2014-117016"/>
        <s v="CA-2014-117317"/>
        <s v="CA-2014-117345"/>
        <s v="CA-2014-117429"/>
        <s v="CA-2014-117464"/>
        <s v="CA-2014-117478"/>
        <s v="CA-2014-117639"/>
        <s v="CA-2014-117709"/>
        <s v="CA-2014-117765"/>
        <s v="CA-2014-118192"/>
        <s v="CA-2014-118276"/>
        <s v="CA-2014-118304"/>
        <s v="CA-2014-118339"/>
        <s v="CA-2014-118962"/>
        <s v="CA-2014-118976"/>
        <s v="CA-2014-119032"/>
        <s v="CA-2014-119144"/>
        <s v="CA-2014-119151"/>
        <s v="CA-2014-119172"/>
        <s v="CA-2014-119375"/>
        <s v="CA-2014-119466"/>
        <s v="CA-2014-119529"/>
        <s v="CA-2014-119977"/>
        <s v="CA-2014-120096"/>
        <s v="CA-2014-120243"/>
        <s v="CA-2014-120278"/>
        <s v="CA-2014-120411"/>
        <s v="CA-2014-120432"/>
        <s v="CA-2014-120474"/>
        <s v="CA-2014-120544"/>
        <s v="CA-2014-120670"/>
        <s v="CA-2014-120768"/>
        <s v="CA-2014-120775"/>
        <s v="CA-2014-120838"/>
        <s v="CA-2014-120852"/>
        <s v="CA-2014-120887"/>
        <s v="CA-2014-120950"/>
        <s v="CA-2014-121006"/>
        <s v="CA-2014-121167"/>
        <s v="CA-2014-121286"/>
        <s v="CA-2014-121573"/>
        <s v="CA-2014-121629"/>
        <s v="CA-2014-121664"/>
        <s v="CA-2014-121727"/>
        <s v="CA-2014-121762"/>
        <s v="CA-2014-121769"/>
        <s v="CA-2014-122070"/>
        <s v="CA-2014-122217"/>
        <s v="CA-2014-122336"/>
        <s v="CA-2014-122567"/>
        <s v="CA-2014-122588"/>
        <s v="CA-2014-122609"/>
        <s v="CA-2014-122679"/>
        <s v="CA-2014-122749"/>
        <s v="CA-2014-122882"/>
        <s v="CA-2014-122931"/>
        <s v="CA-2014-123064"/>
        <s v="CA-2014-123127"/>
        <s v="CA-2014-123225"/>
        <s v="CA-2014-123253"/>
        <s v="CA-2014-123260"/>
        <s v="CA-2014-123295"/>
        <s v="CA-2014-123316"/>
        <s v="CA-2014-123323"/>
        <s v="CA-2014-123344"/>
        <s v="CA-2014-123400"/>
        <s v="CA-2014-123477"/>
        <s v="CA-2014-123498"/>
        <s v="CA-2014-123855"/>
        <s v="CA-2014-123925"/>
        <s v="CA-2014-124023"/>
        <s v="CA-2014-124079"/>
        <s v="CA-2014-124247"/>
        <s v="CA-2014-124394"/>
        <s v="CA-2014-124429"/>
        <s v="CA-2014-124464"/>
        <s v="CA-2014-124478"/>
        <s v="CA-2014-124513"/>
        <s v="CA-2014-124618"/>
        <s v="CA-2014-124646"/>
        <s v="CA-2014-124688"/>
        <s v="CA-2014-124702"/>
        <s v="CA-2014-124709"/>
        <s v="CA-2014-124723"/>
        <s v="CA-2014-124730"/>
        <s v="CA-2014-124737"/>
        <s v="CA-2014-124807"/>
        <s v="CA-2014-124856"/>
        <s v="CA-2014-125136"/>
        <s v="CA-2014-125150"/>
        <s v="CA-2014-125171"/>
        <s v="CA-2014-125514"/>
        <s v="CA-2014-125542"/>
        <s v="CA-2014-125556"/>
        <s v="CA-2014-125612"/>
        <s v="CA-2014-125682"/>
        <s v="CA-2014-125731"/>
        <s v="CA-2014-125759"/>
        <s v="CA-2014-125829"/>
        <s v="CA-2014-125997"/>
        <s v="CA-2014-126032"/>
        <s v="CA-2014-126193"/>
        <s v="CA-2014-126200"/>
        <s v="CA-2014-126277"/>
        <s v="CA-2014-126333"/>
        <s v="CA-2014-126361"/>
        <s v="CA-2014-126403"/>
        <s v="CA-2014-126480"/>
        <s v="CA-2014-126522"/>
        <s v="CA-2014-126683"/>
        <s v="CA-2014-126760"/>
        <s v="CA-2014-126802"/>
        <s v="CA-2014-126907"/>
        <s v="CA-2014-126963"/>
        <s v="CA-2014-127012"/>
        <s v="CA-2014-127131"/>
        <s v="CA-2014-127159"/>
        <s v="CA-2014-127166"/>
        <s v="CA-2014-127187"/>
        <s v="CA-2014-127299"/>
        <s v="CA-2014-127383"/>
        <s v="CA-2014-127446"/>
        <s v="CA-2014-127488"/>
        <s v="CA-2014-127523"/>
        <s v="CA-2014-127558"/>
        <s v="CA-2014-127586"/>
        <s v="CA-2014-127614"/>
        <s v="CA-2014-127691"/>
        <s v="CA-2014-127859"/>
        <s v="CA-2014-127866"/>
        <s v="CA-2014-127936"/>
        <s v="CA-2014-127964"/>
        <s v="CA-2014-128055"/>
        <s v="CA-2014-128062"/>
        <s v="CA-2014-128146"/>
        <s v="CA-2014-128209"/>
        <s v="CA-2014-128237"/>
        <s v="CA-2014-128524"/>
        <s v="CA-2014-128538"/>
        <s v="CA-2014-128622"/>
        <s v="CA-2014-128839"/>
        <s v="CA-2014-128846"/>
        <s v="CA-2014-128888"/>
        <s v="CA-2014-128986"/>
        <s v="CA-2014-129091"/>
        <s v="CA-2014-129147"/>
        <s v="CA-2014-129168"/>
        <s v="CA-2014-129189"/>
        <s v="CA-2014-129364"/>
        <s v="CA-2014-129574"/>
        <s v="CA-2014-129819"/>
        <s v="CA-2014-129924"/>
        <s v="CA-2014-129938"/>
        <s v="CA-2014-130092"/>
        <s v="CA-2014-130155"/>
        <s v="CA-2014-130274"/>
        <s v="CA-2014-130421"/>
        <s v="CA-2014-130428"/>
        <s v="CA-2014-130449"/>
        <s v="CA-2014-130575"/>
        <s v="CA-2014-130624"/>
        <s v="CA-2014-130673"/>
        <s v="CA-2014-130729"/>
        <s v="CA-2014-130813"/>
        <s v="CA-2014-130869"/>
        <s v="CA-2014-130918"/>
        <s v="CA-2014-130960"/>
        <s v="CA-2014-131002"/>
        <s v="CA-2014-131009"/>
        <s v="CA-2014-131051"/>
        <s v="CA-2014-131247"/>
        <s v="CA-2014-131310"/>
        <s v="CA-2014-131387"/>
        <s v="CA-2014-131450"/>
        <s v="CA-2014-131527"/>
        <s v="CA-2014-131541"/>
        <s v="CA-2014-131800"/>
        <s v="CA-2014-131905"/>
        <s v="CA-2014-131926"/>
        <s v="CA-2014-131947"/>
        <s v="CA-2014-132010"/>
        <s v="CA-2014-132227"/>
        <s v="CA-2014-132451"/>
        <s v="CA-2014-132500"/>
        <s v="CA-2014-132542"/>
        <s v="CA-2014-132612"/>
        <s v="CA-2014-132787"/>
        <s v="CA-2014-132801"/>
        <s v="CA-2014-132864"/>
        <s v="CA-2014-132913"/>
        <s v="CA-2014-132962"/>
        <s v="CA-2014-132983"/>
        <s v="CA-2014-133158"/>
        <s v="CA-2014-133228"/>
        <s v="CA-2014-133270"/>
        <s v="CA-2014-133305"/>
        <s v="CA-2014-133354"/>
        <s v="CA-2014-133389"/>
        <s v="CA-2014-133424"/>
        <s v="CA-2014-133543"/>
        <s v="CA-2014-133592"/>
        <s v="CA-2014-133634"/>
        <s v="CA-2014-133690"/>
        <s v="CA-2014-133704"/>
        <s v="CA-2014-133753"/>
        <s v="CA-2014-133809"/>
        <s v="CA-2014-133830"/>
        <s v="CA-2014-133851"/>
        <s v="CA-2014-133963"/>
        <s v="CA-2014-134061"/>
        <s v="CA-2014-134103"/>
        <s v="CA-2014-134215"/>
        <s v="CA-2014-134278"/>
        <s v="CA-2014-134313"/>
        <s v="CA-2014-134551"/>
        <s v="CA-2014-134572"/>
        <s v="CA-2014-134621"/>
        <s v="CA-2014-134677"/>
        <s v="CA-2014-134726"/>
        <s v="CA-2014-135090"/>
        <s v="CA-2014-135405"/>
        <s v="CA-2014-135608"/>
        <s v="CA-2014-135657"/>
        <s v="CA-2014-135699"/>
        <s v="CA-2014-135755"/>
        <s v="CA-2014-135993"/>
        <s v="CA-2014-136280"/>
        <s v="CA-2014-136336"/>
        <s v="CA-2014-136399"/>
        <s v="CA-2014-136567"/>
        <s v="CA-2014-136644"/>
        <s v="CA-2014-136742"/>
        <s v="CA-2014-136861"/>
        <s v="CA-2014-137092"/>
        <s v="CA-2014-137274"/>
        <s v="CA-2014-137351"/>
        <s v="CA-2014-137575"/>
        <s v="CA-2014-137589"/>
        <s v="CA-2014-137911"/>
        <s v="CA-2014-138023"/>
        <s v="CA-2014-138072"/>
        <s v="CA-2014-138100"/>
        <s v="CA-2014-138128"/>
        <s v="CA-2014-138177"/>
        <s v="CA-2014-138198"/>
        <s v="CA-2014-138240"/>
        <s v="CA-2014-138296"/>
        <s v="CA-2014-138317"/>
        <s v="CA-2014-138359"/>
        <s v="CA-2014-138436"/>
        <s v="CA-2014-138450"/>
        <s v="CA-2014-138513"/>
        <s v="CA-2014-138527"/>
        <s v="CA-2014-138681"/>
        <s v="CA-2014-138709"/>
        <s v="CA-2014-138737"/>
        <s v="CA-2014-138940"/>
        <s v="CA-2014-139017"/>
        <s v="CA-2014-139192"/>
        <s v="CA-2014-139283"/>
        <s v="CA-2014-139423"/>
        <s v="CA-2014-139451"/>
        <s v="CA-2014-139542"/>
        <s v="CA-2014-139598"/>
        <s v="CA-2014-139633"/>
        <s v="CA-2014-139857"/>
        <s v="CA-2014-139892"/>
        <s v="CA-2014-140004"/>
        <s v="CA-2014-140032"/>
        <s v="CA-2014-140039"/>
        <s v="CA-2014-140165"/>
        <s v="CA-2014-140228"/>
        <s v="CA-2014-140396"/>
        <s v="CA-2014-140403"/>
        <s v="CA-2014-140473"/>
        <s v="CA-2014-140487"/>
        <s v="CA-2014-140662"/>
        <s v="CA-2014-140732"/>
        <s v="CA-2014-140795"/>
        <s v="CA-2014-140816"/>
        <s v="CA-2014-140858"/>
        <s v="CA-2014-140886"/>
        <s v="CA-2014-141005"/>
        <s v="CA-2014-141110"/>
        <s v="CA-2014-141152"/>
        <s v="CA-2014-141173"/>
        <s v="CA-2014-141278"/>
        <s v="CA-2014-141299"/>
        <s v="CA-2014-141313"/>
        <s v="CA-2014-141355"/>
        <s v="CA-2014-141607"/>
        <s v="CA-2014-141649"/>
        <s v="CA-2014-141726"/>
        <s v="CA-2014-141796"/>
        <s v="CA-2014-141817"/>
        <s v="CA-2014-141838"/>
        <s v="CA-2014-141901"/>
        <s v="CA-2014-142048"/>
        <s v="CA-2014-142314"/>
        <s v="CA-2014-142510"/>
        <s v="CA-2014-142587"/>
        <s v="CA-2014-142727"/>
        <s v="CA-2014-142769"/>
        <s v="CA-2014-142839"/>
        <s v="CA-2014-142951"/>
        <s v="CA-2014-142965"/>
        <s v="CA-2014-142979"/>
        <s v="CA-2014-143168"/>
        <s v="CA-2014-143182"/>
        <s v="CA-2014-143210"/>
        <s v="CA-2014-143336"/>
        <s v="CA-2014-143371"/>
        <s v="CA-2014-143385"/>
        <s v="CA-2014-143413"/>
        <s v="CA-2014-143637"/>
        <s v="CA-2014-143840"/>
        <s v="CA-2014-143903"/>
        <s v="CA-2014-143917"/>
        <s v="CA-2014-144029"/>
        <s v="CA-2014-144071"/>
        <s v="CA-2014-144281"/>
        <s v="CA-2014-144407"/>
        <s v="CA-2014-144414"/>
        <s v="CA-2014-144624"/>
        <s v="CA-2014-144666"/>
        <s v="CA-2014-144974"/>
        <s v="CA-2014-145212"/>
        <s v="CA-2014-145254"/>
        <s v="CA-2014-145317"/>
        <s v="CA-2014-145387"/>
        <s v="CA-2014-145541"/>
        <s v="CA-2014-145576"/>
        <s v="CA-2014-145800"/>
        <s v="CA-2014-145926"/>
        <s v="CA-2014-146283"/>
        <s v="CA-2014-146500"/>
        <s v="CA-2014-146528"/>
        <s v="CA-2014-146591"/>
        <s v="CA-2014-146640"/>
        <s v="CA-2014-146703"/>
        <s v="CA-2014-146731"/>
        <s v="CA-2014-146815"/>
        <s v="CA-2014-146843"/>
        <s v="CA-2014-146864"/>
        <s v="CA-2014-146885"/>
        <s v="CA-2014-146969"/>
        <s v="CA-2014-146990"/>
        <s v="CA-2014-146997"/>
        <s v="CA-2014-147235"/>
        <s v="CA-2014-147298"/>
        <s v="CA-2014-147543"/>
        <s v="CA-2014-147900"/>
        <s v="CA-2014-147914"/>
        <s v="CA-2014-148040"/>
        <s v="CA-2014-148285"/>
        <s v="CA-2014-148369"/>
        <s v="CA-2014-148383"/>
        <s v="CA-2014-148425"/>
        <s v="CA-2014-148488"/>
        <s v="CA-2014-148586"/>
        <s v="CA-2014-148614"/>
        <s v="CA-2014-148761"/>
        <s v="CA-2014-148782"/>
        <s v="CA-2014-148915"/>
        <s v="CA-2014-148950"/>
        <s v="CA-2014-149020"/>
        <s v="CA-2014-149055"/>
        <s v="CA-2014-149104"/>
        <s v="CA-2014-149244"/>
        <s v="CA-2014-149524"/>
        <s v="CA-2014-149538"/>
        <s v="CA-2014-149594"/>
        <s v="CA-2014-149643"/>
        <s v="CA-2014-149958"/>
        <s v="CA-2014-150203"/>
        <s v="CA-2014-150245"/>
        <s v="CA-2014-150301"/>
        <s v="CA-2014-150329"/>
        <s v="CA-2014-150490"/>
        <s v="CA-2014-150518"/>
        <s v="CA-2014-150581"/>
        <s v="CA-2014-150798"/>
        <s v="CA-2014-151001"/>
        <s v="CA-2014-151078"/>
        <s v="CA-2014-151162"/>
        <s v="CA-2014-151295"/>
        <s v="CA-2014-151330"/>
        <s v="CA-2014-151379"/>
        <s v="CA-2014-151554"/>
        <s v="CA-2014-151708"/>
        <s v="CA-2014-151792"/>
        <s v="CA-2014-151897"/>
        <s v="CA-2014-151946"/>
        <s v="CA-2014-151953"/>
        <s v="CA-2014-151967"/>
        <s v="CA-2014-151995"/>
        <s v="CA-2014-152100"/>
        <s v="CA-2014-152233"/>
        <s v="CA-2014-152254"/>
        <s v="CA-2014-152268"/>
        <s v="CA-2014-152296"/>
        <s v="CA-2014-152345"/>
        <s v="CA-2014-152422"/>
        <s v="CA-2014-152443"/>
        <s v="CA-2014-152562"/>
        <s v="CA-2014-152618"/>
        <s v="CA-2014-152849"/>
        <s v="CA-2014-152905"/>
        <s v="CA-2014-153087"/>
        <s v="CA-2014-153150"/>
        <s v="CA-2014-153479"/>
        <s v="CA-2014-153619"/>
        <s v="CA-2014-153808"/>
        <s v="CA-2014-153850"/>
        <s v="CA-2014-153913"/>
        <s v="CA-2014-153927"/>
        <s v="CA-2014-153969"/>
        <s v="CA-2014-153976"/>
        <s v="CA-2014-153983"/>
        <s v="CA-2014-154095"/>
        <s v="CA-2014-154158"/>
        <s v="CA-2014-154165"/>
        <s v="CA-2014-154186"/>
        <s v="CA-2014-154592"/>
        <s v="CA-2014-154599"/>
        <s v="CA-2014-154627"/>
        <s v="CA-2014-154641"/>
        <s v="CA-2014-154669"/>
        <s v="CA-2014-154781"/>
        <s v="CA-2014-154837"/>
        <s v="CA-2014-154893"/>
        <s v="CA-2014-154963"/>
        <s v="CA-2014-155208"/>
        <s v="CA-2014-155264"/>
        <s v="CA-2014-155271"/>
        <s v="CA-2014-155390"/>
        <s v="CA-2014-155593"/>
        <s v="CA-2014-155796"/>
        <s v="CA-2014-155852"/>
        <s v="CA-2014-155887"/>
        <s v="CA-2014-156006"/>
        <s v="CA-2014-156160"/>
        <s v="CA-2014-156244"/>
        <s v="CA-2014-156314"/>
        <s v="CA-2014-156342"/>
        <s v="CA-2014-156349"/>
        <s v="CA-2014-156433"/>
        <s v="CA-2014-156545"/>
        <s v="CA-2014-156587"/>
        <s v="CA-2014-156594"/>
        <s v="CA-2014-156601"/>
        <s v="CA-2014-156790"/>
        <s v="CA-2014-156993"/>
        <s v="CA-2014-157147"/>
        <s v="CA-2014-157546"/>
        <s v="CA-2014-157609"/>
        <s v="CA-2014-157623"/>
        <s v="CA-2014-157644"/>
        <s v="CA-2014-157721"/>
        <s v="CA-2014-157784"/>
        <s v="CA-2014-157882"/>
        <s v="CA-2014-157924"/>
        <s v="CA-2014-158029"/>
        <s v="CA-2014-158064"/>
        <s v="CA-2014-158225"/>
        <s v="CA-2014-158274"/>
        <s v="CA-2014-158281"/>
        <s v="CA-2014-158337"/>
        <s v="CA-2014-158372"/>
        <s v="CA-2014-158442"/>
        <s v="CA-2014-158470"/>
        <s v="CA-2014-158540"/>
        <s v="CA-2014-158771"/>
        <s v="CA-2014-159121"/>
        <s v="CA-2014-159184"/>
        <s v="CA-2014-159310"/>
        <s v="CA-2014-159338"/>
        <s v="CA-2014-159478"/>
        <s v="CA-2014-159520"/>
        <s v="CA-2014-159625"/>
        <s v="CA-2014-159681"/>
        <s v="CA-2014-159709"/>
        <s v="CA-2014-159800"/>
        <s v="CA-2014-159814"/>
        <s v="CA-2014-159835"/>
        <s v="CA-2014-159849"/>
        <s v="CA-2014-160066"/>
        <s v="CA-2014-160094"/>
        <s v="CA-2014-160157"/>
        <s v="CA-2014-160262"/>
        <s v="CA-2014-160276"/>
        <s v="CA-2014-160738"/>
        <s v="CA-2014-160766"/>
        <s v="CA-2014-160773"/>
        <s v="CA-2014-161032"/>
        <s v="CA-2014-161249"/>
        <s v="CA-2014-161508"/>
        <s v="CA-2014-161634"/>
        <s v="CA-2014-162089"/>
        <s v="CA-2014-162278"/>
        <s v="CA-2014-162362"/>
        <s v="CA-2014-162684"/>
        <s v="CA-2014-162775"/>
        <s v="CA-2014-162866"/>
        <s v="CA-2014-162992"/>
        <s v="CA-2014-163013"/>
        <s v="CA-2014-163034"/>
        <s v="CA-2014-163223"/>
        <s v="CA-2014-163293"/>
        <s v="CA-2014-163412"/>
        <s v="CA-2014-163419"/>
        <s v="CA-2014-163447"/>
        <s v="CA-2014-163468"/>
        <s v="CA-2014-163552"/>
        <s v="CA-2014-163559"/>
        <s v="CA-2014-163650"/>
        <s v="CA-2014-163748"/>
        <s v="CA-2014-163867"/>
        <s v="CA-2014-164182"/>
        <s v="CA-2014-164210"/>
        <s v="CA-2014-164224"/>
        <s v="CA-2014-164259"/>
        <s v="CA-2014-164315"/>
        <s v="CA-2014-164385"/>
        <s v="CA-2014-164469"/>
        <s v="CA-2014-164721"/>
        <s v="CA-2014-164742"/>
        <s v="CA-2014-164749"/>
        <s v="CA-2014-164861"/>
        <s v="CA-2014-164903"/>
        <s v="CA-2014-164910"/>
        <s v="CA-2014-164973"/>
        <s v="CA-2014-165309"/>
        <s v="CA-2014-165379"/>
        <s v="CA-2014-165393"/>
        <s v="CA-2014-165428"/>
        <s v="CA-2014-165477"/>
        <s v="CA-2014-165540"/>
        <s v="CA-2014-165568"/>
        <s v="CA-2014-165764"/>
        <s v="CA-2014-165806"/>
        <s v="CA-2014-165974"/>
        <s v="CA-2014-166051"/>
        <s v="CA-2014-166086"/>
        <s v="CA-2014-166191"/>
        <s v="CA-2014-166457"/>
        <s v="CA-2014-166471"/>
        <s v="CA-2014-166555"/>
        <s v="CA-2014-166590"/>
        <s v="CA-2014-166716"/>
        <s v="CA-2014-166730"/>
        <s v="CA-2014-166744"/>
        <s v="CA-2014-166863"/>
        <s v="CA-2014-166884"/>
        <s v="CA-2014-166891"/>
        <s v="CA-2014-166954"/>
        <s v="CA-2014-166961"/>
        <s v="CA-2014-166989"/>
        <s v="CA-2014-167164"/>
        <s v="CA-2014-167199"/>
        <s v="CA-2014-167360"/>
        <s v="CA-2014-167486"/>
        <s v="CA-2014-167724"/>
        <s v="CA-2014-167850"/>
        <s v="CA-2014-167927"/>
        <s v="CA-2014-167997"/>
        <s v="CA-2014-168130"/>
        <s v="CA-2014-168158"/>
        <s v="CA-2014-168305"/>
        <s v="CA-2014-168312"/>
        <s v="CA-2014-168368"/>
        <s v="CA-2014-168473"/>
        <s v="CA-2014-168494"/>
        <s v="CA-2014-168592"/>
        <s v="CA-2014-168823"/>
        <s v="CA-2014-168984"/>
        <s v="CA-2014-169019"/>
        <s v="CA-2014-169033"/>
        <s v="CA-2014-169061"/>
        <s v="CA-2014-169257"/>
        <s v="CA-2014-169446"/>
        <s v="CA-2014-169460"/>
        <s v="CA-2014-169642"/>
        <s v="CA-2014-169649"/>
        <s v="CA-2014-169684"/>
        <s v="CA-2014-169726"/>
        <s v="CA-2014-169775"/>
        <s v="CA-2014-169803"/>
        <s v="CA-2014-169852"/>
        <s v="CA-2015-100146"/>
        <s v="CA-2015-100216"/>
        <s v="CA-2015-100251"/>
        <s v="CA-2015-100454"/>
        <s v="CA-2015-100545"/>
        <s v="CA-2015-100573"/>
        <s v="CA-2015-100657"/>
        <s v="CA-2015-100685"/>
        <s v="CA-2015-100734"/>
        <s v="CA-2015-100769"/>
        <s v="CA-2015-100818"/>
        <s v="CA-2015-100888"/>
        <s v="CA-2015-101000"/>
        <s v="CA-2015-101007"/>
        <s v="CA-2015-101091"/>
        <s v="CA-2015-101126"/>
        <s v="CA-2015-101154"/>
        <s v="CA-2015-101707"/>
        <s v="CA-2015-101868"/>
        <s v="CA-2015-101889"/>
        <s v="CA-2015-101910"/>
        <s v="CA-2015-101924"/>
        <s v="CA-2015-102015"/>
        <s v="CA-2015-102036"/>
        <s v="CA-2015-102260"/>
        <s v="CA-2015-102281"/>
        <s v="CA-2015-102316"/>
        <s v="CA-2015-102491"/>
        <s v="CA-2015-102582"/>
        <s v="CA-2015-102722"/>
        <s v="CA-2015-102778"/>
        <s v="CA-2015-102806"/>
        <s v="CA-2015-102848"/>
        <s v="CA-2015-102855"/>
        <s v="CA-2015-102876"/>
        <s v="CA-2015-103072"/>
        <s v="CA-2015-103093"/>
        <s v="CA-2015-103135"/>
        <s v="CA-2015-103177"/>
        <s v="CA-2015-103205"/>
        <s v="CA-2015-103716"/>
        <s v="CA-2015-103723"/>
        <s v="CA-2015-103772"/>
        <s v="CA-2015-103793"/>
        <s v="CA-2015-103835"/>
        <s v="CA-2015-103870"/>
        <s v="CA-2015-103933"/>
        <s v="CA-2015-103954"/>
        <s v="CA-2015-103961"/>
        <s v="CA-2015-104038"/>
        <s v="CA-2015-104052"/>
        <s v="CA-2015-104059"/>
        <s v="CA-2015-104115"/>
        <s v="CA-2015-104129"/>
        <s v="CA-2015-104241"/>
        <s v="CA-2015-104297"/>
        <s v="CA-2015-104346"/>
        <s v="CA-2015-104486"/>
        <s v="CA-2015-104493"/>
        <s v="CA-2015-104514"/>
        <s v="CA-2015-104626"/>
        <s v="CA-2015-104871"/>
        <s v="CA-2015-104941"/>
        <s v="CA-2015-104948"/>
        <s v="CA-2015-105102"/>
        <s v="CA-2015-105158"/>
        <s v="CA-2015-105221"/>
        <s v="CA-2015-105312"/>
        <s v="CA-2015-105347"/>
        <s v="CA-2015-105361"/>
        <s v="CA-2015-105508"/>
        <s v="CA-2015-105571"/>
        <s v="CA-2015-105599"/>
        <s v="CA-2015-105613"/>
        <s v="CA-2015-105627"/>
        <s v="CA-2015-105634"/>
        <s v="CA-2015-105690"/>
        <s v="CA-2015-105725"/>
        <s v="CA-2015-105844"/>
        <s v="CA-2015-105970"/>
        <s v="CA-2015-106187"/>
        <s v="CA-2015-106208"/>
        <s v="CA-2015-106215"/>
        <s v="CA-2015-106257"/>
        <s v="CA-2015-106320"/>
        <s v="CA-2015-106362"/>
        <s v="CA-2015-106565"/>
        <s v="CA-2015-106978"/>
        <s v="CA-2015-107020"/>
        <s v="CA-2015-107083"/>
        <s v="CA-2015-107468"/>
        <s v="CA-2015-107678"/>
        <s v="CA-2015-107685"/>
        <s v="CA-2015-107741"/>
        <s v="CA-2015-107902"/>
        <s v="CA-2015-107937"/>
        <s v="CA-2015-108119"/>
        <s v="CA-2015-108259"/>
        <s v="CA-2015-108532"/>
        <s v="CA-2015-108588"/>
        <s v="CA-2015-108665"/>
        <s v="CA-2015-108672"/>
        <s v="CA-2015-109001"/>
        <s v="CA-2015-109113"/>
        <s v="CA-2015-109169"/>
        <s v="CA-2015-109190"/>
        <s v="CA-2015-109197"/>
        <s v="CA-2015-109337"/>
        <s v="CA-2015-109386"/>
        <s v="CA-2015-109470"/>
        <s v="CA-2015-109512"/>
        <s v="CA-2015-109575"/>
        <s v="CA-2015-109603"/>
        <s v="CA-2015-109638"/>
        <s v="CA-2015-109708"/>
        <s v="CA-2015-109736"/>
        <s v="CA-2015-109862"/>
        <s v="CA-2015-109939"/>
        <s v="CA-2015-110016"/>
        <s v="CA-2015-110093"/>
        <s v="CA-2015-110247"/>
        <s v="CA-2015-110289"/>
        <s v="CA-2015-110324"/>
        <s v="CA-2015-110345"/>
        <s v="CA-2015-110457"/>
        <s v="CA-2015-110548"/>
        <s v="CA-2015-110632"/>
        <s v="CA-2015-110667"/>
        <s v="CA-2015-110744"/>
        <s v="CA-2015-110765"/>
        <s v="CA-2015-110814"/>
        <s v="CA-2015-110863"/>
        <s v="CA-2015-110870"/>
        <s v="CA-2015-110877"/>
        <s v="CA-2015-110891"/>
        <s v="CA-2015-110947"/>
        <s v="CA-2015-111017"/>
        <s v="CA-2015-111038"/>
        <s v="CA-2015-111073"/>
        <s v="CA-2015-111094"/>
        <s v="CA-2015-111164"/>
        <s v="CA-2015-111199"/>
        <s v="CA-2015-111206"/>
        <s v="CA-2015-111234"/>
        <s v="CA-2015-111297"/>
        <s v="CA-2015-111325"/>
        <s v="CA-2015-111339"/>
        <s v="CA-2015-111395"/>
        <s v="CA-2015-111458"/>
        <s v="CA-2015-111507"/>
        <s v="CA-2015-111514"/>
        <s v="CA-2015-111612"/>
        <s v="CA-2015-111703"/>
        <s v="CA-2015-111780"/>
        <s v="CA-2015-111829"/>
        <s v="CA-2015-111864"/>
        <s v="CA-2015-111948"/>
        <s v="CA-2015-111990"/>
        <s v="CA-2015-112014"/>
        <s v="CA-2015-112053"/>
        <s v="CA-2015-112116"/>
        <s v="CA-2015-112130"/>
        <s v="CA-2015-112144"/>
        <s v="CA-2015-112214"/>
        <s v="CA-2015-112305"/>
        <s v="CA-2015-112319"/>
        <s v="CA-2015-112375"/>
        <s v="CA-2015-112452"/>
        <s v="CA-2015-112522"/>
        <s v="CA-2015-112557"/>
        <s v="CA-2015-112571"/>
        <s v="CA-2015-112711"/>
        <s v="CA-2015-112767"/>
        <s v="CA-2015-112823"/>
        <s v="CA-2015-113040"/>
        <s v="CA-2015-113110"/>
        <s v="CA-2015-113131"/>
        <s v="CA-2015-113145"/>
        <s v="CA-2015-113152"/>
        <s v="CA-2015-113173"/>
        <s v="CA-2015-113215"/>
        <s v="CA-2015-113222"/>
        <s v="CA-2015-113404"/>
        <s v="CA-2015-113523"/>
        <s v="CA-2015-113628"/>
        <s v="CA-2015-113740"/>
        <s v="CA-2015-113901"/>
        <s v="CA-2015-113971"/>
        <s v="CA-2015-114048"/>
        <s v="CA-2015-114069"/>
        <s v="CA-2015-114237"/>
        <s v="CA-2015-114300"/>
        <s v="CA-2015-114468"/>
        <s v="CA-2015-114503"/>
        <s v="CA-2015-114811"/>
        <s v="CA-2015-114923"/>
        <s v="CA-2015-115091"/>
        <s v="CA-2015-115168"/>
        <s v="CA-2015-115392"/>
        <s v="CA-2015-115399"/>
        <s v="CA-2015-115420"/>
        <s v="CA-2015-115511"/>
        <s v="CA-2015-115567"/>
        <s v="CA-2015-115693"/>
        <s v="CA-2015-115742"/>
        <s v="CA-2015-115798"/>
        <s v="CA-2015-115847"/>
        <s v="CA-2015-115924"/>
        <s v="CA-2015-115938"/>
        <s v="CA-2015-115945"/>
        <s v="CA-2015-116092"/>
        <s v="CA-2015-116260"/>
        <s v="CA-2015-116484"/>
        <s v="CA-2015-116512"/>
        <s v="CA-2015-116638"/>
        <s v="CA-2015-116687"/>
        <s v="CA-2015-116750"/>
        <s v="CA-2015-116841"/>
        <s v="CA-2015-116876"/>
        <s v="CA-2015-117086"/>
        <s v="CA-2015-117415"/>
        <s v="CA-2015-117611"/>
        <s v="CA-2015-117772"/>
        <s v="CA-2015-117800"/>
        <s v="CA-2015-117828"/>
        <s v="CA-2015-117884"/>
        <s v="CA-2015-117898"/>
        <s v="CA-2015-117961"/>
        <s v="CA-2015-118227"/>
        <s v="CA-2015-118423"/>
        <s v="CA-2015-118444"/>
        <s v="CA-2015-118738"/>
        <s v="CA-2015-118843"/>
        <s v="CA-2015-118871"/>
        <s v="CA-2015-118948"/>
        <s v="CA-2015-118955"/>
        <s v="CA-2015-119102"/>
        <s v="CA-2015-119214"/>
        <s v="CA-2015-119291"/>
        <s v="CA-2015-119480"/>
        <s v="CA-2015-119508"/>
        <s v="CA-2015-119550"/>
        <s v="CA-2015-119592"/>
        <s v="CA-2015-119627"/>
        <s v="CA-2015-119634"/>
        <s v="CA-2015-119690"/>
        <s v="CA-2015-119697"/>
        <s v="CA-2015-119879"/>
        <s v="CA-2015-119907"/>
        <s v="CA-2015-119942"/>
        <s v="CA-2015-120103"/>
        <s v="CA-2015-120320"/>
        <s v="CA-2015-120341"/>
        <s v="CA-2015-120362"/>
        <s v="CA-2015-120397"/>
        <s v="CA-2015-120439"/>
        <s v="CA-2015-120446"/>
        <s v="CA-2015-120516"/>
        <s v="CA-2015-120551"/>
        <s v="CA-2015-120621"/>
        <s v="CA-2015-120677"/>
        <s v="CA-2015-120782"/>
        <s v="CA-2015-120810"/>
        <s v="CA-2015-120845"/>
        <s v="CA-2015-120880"/>
        <s v="CA-2015-120901"/>
        <s v="CA-2015-120915"/>
        <s v="CA-2015-121041"/>
        <s v="CA-2015-121097"/>
        <s v="CA-2015-121132"/>
        <s v="CA-2015-121188"/>
        <s v="CA-2015-121272"/>
        <s v="CA-2015-121391"/>
        <s v="CA-2015-121405"/>
        <s v="CA-2015-121552"/>
        <s v="CA-2015-121608"/>
        <s v="CA-2015-121650"/>
        <s v="CA-2015-121699"/>
        <s v="CA-2015-121720"/>
        <s v="CA-2015-121776"/>
        <s v="CA-2015-121783"/>
        <s v="CA-2015-121797"/>
        <s v="CA-2015-121965"/>
        <s v="CA-2015-122168"/>
        <s v="CA-2015-122210"/>
        <s v="CA-2015-122259"/>
        <s v="CA-2015-122266"/>
        <s v="CA-2015-122287"/>
        <s v="CA-2015-122371"/>
        <s v="CA-2015-122406"/>
        <s v="CA-2015-122623"/>
        <s v="CA-2015-122756"/>
        <s v="CA-2015-122826"/>
        <s v="CA-2015-122973"/>
        <s v="CA-2015-123092"/>
        <s v="CA-2015-123113"/>
        <s v="CA-2015-123141"/>
        <s v="CA-2015-123155"/>
        <s v="CA-2015-123232"/>
        <s v="CA-2015-123330"/>
        <s v="CA-2015-123456"/>
        <s v="CA-2015-123505"/>
        <s v="CA-2015-123568"/>
        <s v="CA-2015-123673"/>
        <s v="CA-2015-123939"/>
        <s v="CA-2015-124044"/>
        <s v="CA-2015-124058"/>
        <s v="CA-2015-124107"/>
        <s v="CA-2015-124268"/>
        <s v="CA-2015-124450"/>
        <s v="CA-2015-124499"/>
        <s v="CA-2015-124541"/>
        <s v="CA-2015-124653"/>
        <s v="CA-2015-124800"/>
        <s v="CA-2015-124891"/>
        <s v="CA-2015-124919"/>
        <s v="CA-2015-124933"/>
        <s v="CA-2015-124975"/>
        <s v="CA-2015-125066"/>
        <s v="CA-2015-125178"/>
        <s v="CA-2015-125185"/>
        <s v="CA-2015-125234"/>
        <s v="CA-2015-125395"/>
        <s v="CA-2015-125416"/>
        <s v="CA-2015-125423"/>
        <s v="CA-2015-125563"/>
        <s v="CA-2015-125696"/>
        <s v="CA-2015-125710"/>
        <s v="CA-2015-125934"/>
        <s v="CA-2015-125976"/>
        <s v="CA-2015-126137"/>
        <s v="CA-2015-126186"/>
        <s v="CA-2015-126347"/>
        <s v="CA-2015-126445"/>
        <s v="CA-2015-126466"/>
        <s v="CA-2015-126557"/>
        <s v="CA-2015-126669"/>
        <s v="CA-2015-126697"/>
        <s v="CA-2015-126725"/>
        <s v="CA-2015-126739"/>
        <s v="CA-2015-126970"/>
        <s v="CA-2015-127019"/>
        <s v="CA-2015-127110"/>
        <s v="CA-2015-127173"/>
        <s v="CA-2015-127327"/>
        <s v="CA-2015-127418"/>
        <s v="CA-2015-127453"/>
        <s v="CA-2015-127481"/>
        <s v="CA-2015-127502"/>
        <s v="CA-2015-127509"/>
        <s v="CA-2015-127544"/>
        <s v="CA-2015-127593"/>
        <s v="CA-2015-127607"/>
        <s v="CA-2015-127754"/>
        <s v="CA-2015-127824"/>
        <s v="CA-2015-128013"/>
        <s v="CA-2015-128027"/>
        <s v="CA-2015-128083"/>
        <s v="CA-2015-128125"/>
        <s v="CA-2015-128139"/>
        <s v="CA-2015-128167"/>
        <s v="CA-2015-128356"/>
        <s v="CA-2015-128608"/>
        <s v="CA-2015-128860"/>
        <s v="CA-2015-128958"/>
        <s v="CA-2015-128993"/>
        <s v="CA-2015-129042"/>
        <s v="CA-2015-129098"/>
        <s v="CA-2015-129112"/>
        <s v="CA-2015-129217"/>
        <s v="CA-2015-129322"/>
        <s v="CA-2015-129392"/>
        <s v="CA-2015-129476"/>
        <s v="CA-2015-129525"/>
        <s v="CA-2015-129532"/>
        <s v="CA-2015-129546"/>
        <s v="CA-2015-129700"/>
        <s v="CA-2015-129770"/>
        <s v="CA-2015-129854"/>
        <s v="CA-2015-129896"/>
        <s v="CA-2015-129917"/>
        <s v="CA-2015-130022"/>
        <s v="CA-2015-130113"/>
        <s v="CA-2015-130183"/>
        <s v="CA-2015-130204"/>
        <s v="CA-2015-130218"/>
        <s v="CA-2015-130253"/>
        <s v="CA-2015-130365"/>
        <s v="CA-2015-130456"/>
        <s v="CA-2015-130554"/>
        <s v="CA-2015-130610"/>
        <s v="CA-2015-130659"/>
        <s v="CA-2015-130736"/>
        <s v="CA-2015-130785"/>
        <s v="CA-2015-130792"/>
        <s v="CA-2015-130848"/>
        <s v="CA-2015-130855"/>
        <s v="CA-2015-130876"/>
        <s v="CA-2015-130883"/>
        <s v="CA-2015-130890"/>
        <s v="CA-2015-130974"/>
        <s v="CA-2015-130995"/>
        <s v="CA-2015-131072"/>
        <s v="CA-2015-131128"/>
        <s v="CA-2015-131338"/>
        <s v="CA-2015-131352"/>
        <s v="CA-2015-131422"/>
        <s v="CA-2015-131457"/>
        <s v="CA-2015-131534"/>
        <s v="CA-2015-131597"/>
        <s v="CA-2015-131758"/>
        <s v="CA-2015-131779"/>
        <s v="CA-2015-131856"/>
        <s v="CA-2015-131884"/>
        <s v="CA-2015-132080"/>
        <s v="CA-2015-132101"/>
        <s v="CA-2015-132136"/>
        <s v="CA-2015-132276"/>
        <s v="CA-2015-132318"/>
        <s v="CA-2015-132374"/>
        <s v="CA-2015-132388"/>
        <s v="CA-2015-132465"/>
        <s v="CA-2015-132486"/>
        <s v="CA-2015-132507"/>
        <s v="CA-2015-132570"/>
        <s v="CA-2015-132626"/>
        <s v="CA-2015-132633"/>
        <s v="CA-2015-132815"/>
        <s v="CA-2015-132906"/>
        <s v="CA-2015-132941"/>
        <s v="CA-2015-132948"/>
        <s v="CA-2015-133025"/>
        <s v="CA-2015-133242"/>
        <s v="CA-2015-133396"/>
        <s v="CA-2015-133445"/>
        <s v="CA-2015-133452"/>
        <s v="CA-2015-133494"/>
        <s v="CA-2015-133536"/>
        <s v="CA-2015-133585"/>
        <s v="CA-2015-133627"/>
        <s v="CA-2015-133837"/>
        <s v="CA-2015-133977"/>
        <s v="CA-2015-134075"/>
        <s v="CA-2015-134082"/>
        <s v="CA-2015-134117"/>
        <s v="CA-2015-134201"/>
        <s v="CA-2015-134257"/>
        <s v="CA-2015-134719"/>
        <s v="CA-2015-134747"/>
        <s v="CA-2015-134782"/>
        <s v="CA-2015-134859"/>
        <s v="CA-2015-134894"/>
        <s v="CA-2015-134922"/>
        <s v="CA-2015-134943"/>
        <s v="CA-2015-134992"/>
        <s v="CA-2015-135020"/>
        <s v="CA-2015-135174"/>
        <s v="CA-2015-135251"/>
        <s v="CA-2015-135272"/>
        <s v="CA-2015-135314"/>
        <s v="CA-2015-135363"/>
        <s v="CA-2015-135391"/>
        <s v="CA-2015-135489"/>
        <s v="CA-2015-135510"/>
        <s v="CA-2015-135538"/>
        <s v="CA-2015-135545"/>
        <s v="CA-2015-135580"/>
        <s v="CA-2015-135622"/>
        <s v="CA-2015-135685"/>
        <s v="CA-2015-135727"/>
        <s v="CA-2015-135853"/>
        <s v="CA-2015-136105"/>
        <s v="CA-2015-136147"/>
        <s v="CA-2015-136196"/>
        <s v="CA-2015-136224"/>
        <s v="CA-2015-136378"/>
        <s v="CA-2015-136420"/>
        <s v="CA-2015-136469"/>
        <s v="CA-2015-136658"/>
        <s v="CA-2015-136700"/>
        <s v="CA-2015-136728"/>
        <s v="CA-2015-136735"/>
        <s v="CA-2015-136798"/>
        <s v="CA-2015-136805"/>
        <s v="CA-2015-137064"/>
        <s v="CA-2015-137071"/>
        <s v="CA-2015-137106"/>
        <s v="CA-2015-137113"/>
        <s v="CA-2015-137225"/>
        <s v="CA-2015-137281"/>
        <s v="CA-2015-137302"/>
        <s v="CA-2015-137512"/>
        <s v="CA-2015-137526"/>
        <s v="CA-2015-137603"/>
        <s v="CA-2015-137708"/>
        <s v="CA-2015-137750"/>
        <s v="CA-2015-137897"/>
        <s v="CA-2015-137925"/>
        <s v="CA-2015-137946"/>
        <s v="CA-2015-137974"/>
        <s v="CA-2015-138002"/>
        <s v="CA-2015-138009"/>
        <s v="CA-2015-138219"/>
        <s v="CA-2015-138331"/>
        <s v="CA-2015-138457"/>
        <s v="CA-2015-138485"/>
        <s v="CA-2015-138492"/>
        <s v="CA-2015-138534"/>
        <s v="CA-2015-138625"/>
        <s v="CA-2015-138674"/>
        <s v="CA-2015-138898"/>
        <s v="CA-2015-138954"/>
        <s v="CA-2015-139094"/>
        <s v="CA-2015-139164"/>
        <s v="CA-2015-139248"/>
        <s v="CA-2015-139290"/>
        <s v="CA-2015-139374"/>
        <s v="CA-2015-139584"/>
        <s v="CA-2015-139731"/>
        <s v="CA-2015-139738"/>
        <s v="CA-2015-139780"/>
        <s v="CA-2015-139850"/>
        <s v="CA-2015-139962"/>
        <s v="CA-2015-140025"/>
        <s v="CA-2015-140144"/>
        <s v="CA-2015-140221"/>
        <s v="CA-2015-140375"/>
        <s v="CA-2015-140410"/>
        <s v="CA-2015-140557"/>
        <s v="CA-2015-140718"/>
        <s v="CA-2015-140830"/>
        <s v="CA-2015-140921"/>
        <s v="CA-2015-140984"/>
        <s v="CA-2015-141012"/>
        <s v="CA-2015-141040"/>
        <s v="CA-2015-141145"/>
        <s v="CA-2015-141243"/>
        <s v="CA-2015-141250"/>
        <s v="CA-2015-141327"/>
        <s v="CA-2015-141565"/>
        <s v="CA-2015-141593"/>
        <s v="CA-2015-141740"/>
        <s v="CA-2015-141754"/>
        <s v="CA-2015-141768"/>
        <s v="CA-2015-141810"/>
        <s v="CA-2015-141936"/>
        <s v="CA-2015-142027"/>
        <s v="CA-2015-142041"/>
        <s v="CA-2015-142055"/>
        <s v="CA-2015-142139"/>
        <s v="CA-2015-142202"/>
        <s v="CA-2015-142237"/>
        <s v="CA-2015-142377"/>
        <s v="CA-2015-142419"/>
        <s v="CA-2015-142433"/>
        <s v="CA-2015-142454"/>
        <s v="CA-2015-142475"/>
        <s v="CA-2015-142601"/>
        <s v="CA-2015-142692"/>
        <s v="CA-2015-142734"/>
        <s v="CA-2015-142755"/>
        <s v="CA-2015-142930"/>
        <s v="CA-2015-142937"/>
        <s v="CA-2015-142944"/>
        <s v="CA-2015-142993"/>
        <s v="CA-2015-143077"/>
        <s v="CA-2015-143105"/>
        <s v="CA-2015-143119"/>
        <s v="CA-2015-143147"/>
        <s v="CA-2015-143238"/>
        <s v="CA-2015-143364"/>
        <s v="CA-2015-143490"/>
        <s v="CA-2015-143532"/>
        <s v="CA-2015-143602"/>
        <s v="CA-2015-143616"/>
        <s v="CA-2015-143700"/>
        <s v="CA-2015-143882"/>
        <s v="CA-2015-143980"/>
        <s v="CA-2015-144043"/>
        <s v="CA-2015-144099"/>
        <s v="CA-2015-144190"/>
        <s v="CA-2015-144253"/>
        <s v="CA-2015-144267"/>
        <s v="CA-2015-144274"/>
        <s v="CA-2015-144288"/>
        <s v="CA-2015-144302"/>
        <s v="CA-2015-144386"/>
        <s v="CA-2015-144519"/>
        <s v="CA-2015-144652"/>
        <s v="CA-2015-144722"/>
        <s v="CA-2015-144806"/>
        <s v="CA-2015-144890"/>
        <s v="CA-2015-145065"/>
        <s v="CA-2015-145184"/>
        <s v="CA-2015-145324"/>
        <s v="CA-2015-145352"/>
        <s v="CA-2015-145394"/>
        <s v="CA-2015-145401"/>
        <s v="CA-2015-145415"/>
        <s v="CA-2015-145457"/>
        <s v="CA-2015-145485"/>
        <s v="CA-2015-145758"/>
        <s v="CA-2015-145814"/>
        <s v="CA-2015-145821"/>
        <s v="CA-2015-145828"/>
        <s v="CA-2015-145835"/>
        <s v="CA-2015-145849"/>
        <s v="CA-2015-146038"/>
        <s v="CA-2015-146087"/>
        <s v="CA-2015-146255"/>
        <s v="CA-2015-146262"/>
        <s v="CA-2015-146290"/>
        <s v="CA-2015-146465"/>
        <s v="CA-2015-146486"/>
        <s v="CA-2015-146563"/>
        <s v="CA-2015-146675"/>
        <s v="CA-2015-146696"/>
        <s v="CA-2015-146829"/>
        <s v="CA-2015-146948"/>
        <s v="CA-2015-147011"/>
        <s v="CA-2015-147102"/>
        <s v="CA-2015-147501"/>
        <s v="CA-2015-147529"/>
        <s v="CA-2015-147690"/>
        <s v="CA-2015-147788"/>
        <s v="CA-2015-147816"/>
        <s v="CA-2015-147830"/>
        <s v="CA-2015-147851"/>
        <s v="CA-2015-147879"/>
        <s v="CA-2015-148180"/>
        <s v="CA-2015-148250"/>
        <s v="CA-2015-148376"/>
        <s v="CA-2015-148432"/>
        <s v="CA-2015-148495"/>
        <s v="CA-2015-148628"/>
        <s v="CA-2015-148635"/>
        <s v="CA-2015-148705"/>
        <s v="CA-2015-148712"/>
        <s v="CA-2015-148859"/>
        <s v="CA-2015-148873"/>
        <s v="CA-2015-148964"/>
        <s v="CA-2015-149083"/>
        <s v="CA-2015-149097"/>
        <s v="CA-2015-149300"/>
        <s v="CA-2015-149342"/>
        <s v="CA-2015-149384"/>
        <s v="CA-2015-149517"/>
        <s v="CA-2015-149566"/>
        <s v="CA-2015-149587"/>
        <s v="CA-2015-149601"/>
        <s v="CA-2015-149636"/>
        <s v="CA-2015-149650"/>
        <s v="CA-2015-149678"/>
        <s v="CA-2015-149713"/>
        <s v="CA-2015-149734"/>
        <s v="CA-2015-149748"/>
        <s v="CA-2015-149811"/>
        <s v="CA-2015-149846"/>
        <s v="CA-2015-149909"/>
        <s v="CA-2015-149972"/>
        <s v="CA-2015-149993"/>
        <s v="CA-2015-150196"/>
        <s v="CA-2015-150308"/>
        <s v="CA-2015-150413"/>
        <s v="CA-2015-150441"/>
        <s v="CA-2015-150511"/>
        <s v="CA-2015-150560"/>
        <s v="CA-2015-150714"/>
        <s v="CA-2015-150749"/>
        <s v="CA-2015-150770"/>
        <s v="CA-2015-150791"/>
        <s v="CA-2015-150875"/>
        <s v="CA-2015-151043"/>
        <s v="CA-2015-151253"/>
        <s v="CA-2015-151470"/>
        <s v="CA-2015-151547"/>
        <s v="CA-2015-151589"/>
        <s v="CA-2015-151624"/>
        <s v="CA-2015-151680"/>
        <s v="CA-2015-151722"/>
        <s v="CA-2015-151785"/>
        <s v="CA-2015-151841"/>
        <s v="CA-2015-151869"/>
        <s v="CA-2015-152513"/>
        <s v="CA-2015-152527"/>
        <s v="CA-2015-152611"/>
        <s v="CA-2015-152681"/>
        <s v="CA-2015-152891"/>
        <s v="CA-2015-153038"/>
        <s v="CA-2015-153073"/>
        <s v="CA-2015-153108"/>
        <s v="CA-2015-153220"/>
        <s v="CA-2015-153325"/>
        <s v="CA-2015-153381"/>
        <s v="CA-2015-153388"/>
        <s v="CA-2015-153416"/>
        <s v="CA-2015-153423"/>
        <s v="CA-2015-153535"/>
        <s v="CA-2015-153549"/>
        <s v="CA-2015-153612"/>
        <s v="CA-2015-153626"/>
        <s v="CA-2015-153717"/>
        <s v="CA-2015-153738"/>
        <s v="CA-2015-153752"/>
        <s v="CA-2015-153794"/>
        <s v="CA-2015-153878"/>
        <s v="CA-2015-153906"/>
        <s v="CA-2015-154144"/>
        <s v="CA-2015-154200"/>
        <s v="CA-2015-154284"/>
        <s v="CA-2015-154291"/>
        <s v="CA-2015-154326"/>
        <s v="CA-2015-154340"/>
        <s v="CA-2015-154620"/>
        <s v="CA-2015-154746"/>
        <s v="CA-2015-154795"/>
        <s v="CA-2015-154823"/>
        <s v="CA-2015-154886"/>
        <s v="CA-2015-154900"/>
        <s v="CA-2015-154921"/>
        <s v="CA-2015-154956"/>
        <s v="CA-2015-154970"/>
        <s v="CA-2015-155040"/>
        <s v="CA-2015-155054"/>
        <s v="CA-2015-155068"/>
        <s v="CA-2015-155124"/>
        <s v="CA-2015-155145"/>
        <s v="CA-2015-155306"/>
        <s v="CA-2015-155334"/>
        <s v="CA-2015-155453"/>
        <s v="CA-2015-155586"/>
        <s v="CA-2015-155600"/>
        <s v="CA-2015-155635"/>
        <s v="CA-2015-155761"/>
        <s v="CA-2015-156013"/>
        <s v="CA-2015-156104"/>
        <s v="CA-2015-156118"/>
        <s v="CA-2015-156146"/>
        <s v="CA-2015-156153"/>
        <s v="CA-2015-156328"/>
        <s v="CA-2015-156335"/>
        <s v="CA-2015-156377"/>
        <s v="CA-2015-156440"/>
        <s v="CA-2015-156482"/>
        <s v="CA-2015-156510"/>
        <s v="CA-2015-156524"/>
        <s v="CA-2015-156566"/>
        <s v="CA-2015-156608"/>
        <s v="CA-2015-156734"/>
        <s v="CA-2015-156755"/>
        <s v="CA-2015-156853"/>
        <s v="CA-2015-156923"/>
        <s v="CA-2015-157028"/>
        <s v="CA-2015-157035"/>
        <s v="CA-2015-157084"/>
        <s v="CA-2015-157133"/>
        <s v="CA-2015-157287"/>
        <s v="CA-2015-157322"/>
        <s v="CA-2015-157343"/>
        <s v="CA-2015-157434"/>
        <s v="CA-2015-157770"/>
        <s v="CA-2015-157805"/>
        <s v="CA-2015-157812"/>
        <s v="CA-2015-157959"/>
        <s v="CA-2015-158148"/>
        <s v="CA-2015-158323"/>
        <s v="CA-2015-158351"/>
        <s v="CA-2015-158421"/>
        <s v="CA-2015-158456"/>
        <s v="CA-2015-158491"/>
        <s v="CA-2015-158554"/>
        <s v="CA-2015-158659"/>
        <s v="CA-2015-158701"/>
        <s v="CA-2015-158792"/>
        <s v="CA-2015-158918"/>
        <s v="CA-2015-158939"/>
        <s v="CA-2015-159380"/>
        <s v="CA-2015-159534"/>
        <s v="CA-2015-159590"/>
        <s v="CA-2015-159779"/>
        <s v="CA-2015-159786"/>
        <s v="CA-2015-159863"/>
        <s v="CA-2015-160059"/>
        <s v="CA-2015-160171"/>
        <s v="CA-2015-160213"/>
        <s v="CA-2015-160227"/>
        <s v="CA-2015-160472"/>
        <s v="CA-2015-160696"/>
        <s v="CA-2015-160787"/>
        <s v="CA-2015-160794"/>
        <s v="CA-2015-160864"/>
        <s v="CA-2015-161214"/>
        <s v="CA-2015-161242"/>
        <s v="CA-2015-161263"/>
        <s v="CA-2015-161445"/>
        <s v="CA-2015-161452"/>
        <s v="CA-2015-161627"/>
        <s v="CA-2015-161711"/>
        <s v="CA-2015-161718"/>
        <s v="CA-2015-161767"/>
        <s v="CA-2015-161795"/>
        <s v="CA-2015-161830"/>
        <s v="CA-2015-161998"/>
        <s v="CA-2015-162047"/>
        <s v="CA-2015-162166"/>
        <s v="CA-2015-162201"/>
        <s v="CA-2015-162369"/>
        <s v="CA-2015-162376"/>
        <s v="CA-2015-162537"/>
        <s v="CA-2015-162544"/>
        <s v="CA-2015-162607"/>
        <s v="CA-2015-162621"/>
        <s v="CA-2015-162761"/>
        <s v="CA-2015-162782"/>
        <s v="CA-2015-162887"/>
        <s v="CA-2015-162950"/>
        <s v="CA-2015-162964"/>
        <s v="CA-2015-163055"/>
        <s v="CA-2015-163090"/>
        <s v="CA-2015-163104"/>
        <s v="CA-2015-163181"/>
        <s v="CA-2015-163237"/>
        <s v="CA-2015-163440"/>
        <s v="CA-2015-163587"/>
        <s v="CA-2015-163734"/>
        <s v="CA-2015-163762"/>
        <s v="CA-2015-163895"/>
        <s v="CA-2015-163923"/>
        <s v="CA-2015-163965"/>
        <s v="CA-2015-164007"/>
        <s v="CA-2015-164084"/>
        <s v="CA-2015-164301"/>
        <s v="CA-2015-164336"/>
        <s v="CA-2015-164427"/>
        <s v="CA-2015-164441"/>
        <s v="CA-2015-164497"/>
        <s v="CA-2015-164539"/>
        <s v="CA-2015-164567"/>
        <s v="CA-2015-164623"/>
        <s v="CA-2015-164777"/>
        <s v="CA-2015-164833"/>
        <s v="CA-2015-164882"/>
        <s v="CA-2015-165050"/>
        <s v="CA-2015-165057"/>
        <s v="CA-2015-165085"/>
        <s v="CA-2015-165162"/>
        <s v="CA-2015-165414"/>
        <s v="CA-2015-165554"/>
        <s v="CA-2015-165624"/>
        <s v="CA-2015-165799"/>
        <s v="CA-2015-165813"/>
        <s v="CA-2015-166135"/>
        <s v="CA-2015-166219"/>
        <s v="CA-2015-166338"/>
        <s v="CA-2015-166464"/>
        <s v="CA-2015-166492"/>
        <s v="CA-2015-166583"/>
        <s v="CA-2015-166604"/>
        <s v="CA-2015-166800"/>
        <s v="CA-2015-166947"/>
        <s v="CA-2015-166975"/>
        <s v="CA-2015-167010"/>
        <s v="CA-2015-167255"/>
        <s v="CA-2015-167269"/>
        <s v="CA-2015-167374"/>
        <s v="CA-2015-167479"/>
        <s v="CA-2015-167696"/>
        <s v="CA-2015-167745"/>
        <s v="CA-2015-168004"/>
        <s v="CA-2015-168088"/>
        <s v="CA-2015-168186"/>
        <s v="CA-2015-168207"/>
        <s v="CA-2015-168277"/>
        <s v="CA-2015-168459"/>
        <s v="CA-2015-168480"/>
        <s v="CA-2015-168529"/>
        <s v="CA-2015-168564"/>
        <s v="CA-2015-168634"/>
        <s v="CA-2015-168746"/>
        <s v="CA-2015-168760"/>
        <s v="CA-2015-168767"/>
        <s v="CA-2015-168809"/>
        <s v="CA-2015-169201"/>
        <s v="CA-2015-169278"/>
        <s v="CA-2015-169299"/>
        <s v="CA-2015-169397"/>
        <s v="CA-2015-169537"/>
        <s v="CA-2015-169572"/>
        <s v="CA-2015-169656"/>
        <s v="CA-2015-169677"/>
        <s v="CA-2015-169733"/>
        <s v="CA-2015-169740"/>
        <s v="CA-2015-169796"/>
        <s v="US-2014-100279"/>
        <s v="US-2014-100853"/>
        <s v="US-2014-102071"/>
        <s v="US-2014-102631"/>
        <s v="US-2014-102715"/>
        <s v="US-2014-103338"/>
        <s v="US-2014-103905"/>
        <s v="US-2014-104759"/>
        <s v="US-2014-105137"/>
        <s v="US-2014-105151"/>
        <s v="US-2014-105767"/>
        <s v="US-2014-106299"/>
        <s v="US-2014-106334"/>
        <s v="US-2014-106992"/>
        <s v="US-2014-107405"/>
        <s v="US-2014-107699"/>
        <s v="US-2014-107993"/>
        <s v="US-2014-109036"/>
        <s v="US-2014-109162"/>
        <s v="US-2014-109456"/>
        <s v="US-2014-110674"/>
        <s v="US-2014-111171"/>
        <s v="US-2014-111353"/>
        <s v="US-2014-112200"/>
        <s v="US-2014-112564"/>
        <s v="US-2014-112795"/>
        <s v="US-2014-112872"/>
        <s v="US-2014-112914"/>
        <s v="US-2014-112949"/>
        <s v="US-2014-112991"/>
        <s v="US-2014-113124"/>
        <s v="US-2014-114188"/>
        <s v="US-2014-114377"/>
        <s v="US-2014-115189"/>
        <s v="US-2014-115196"/>
        <s v="US-2014-115413"/>
        <s v="US-2014-115987"/>
        <s v="US-2014-117058"/>
        <s v="US-2014-117135"/>
        <s v="US-2014-117163"/>
        <s v="US-2014-117170"/>
        <s v="US-2014-117380"/>
        <s v="US-2014-117744"/>
        <s v="US-2014-117968"/>
        <s v="US-2014-118486"/>
        <s v="US-2014-118997"/>
        <s v="US-2014-119081"/>
        <s v="US-2014-119137"/>
        <s v="US-2014-120175"/>
        <s v="US-2014-120236"/>
        <s v="US-2014-120313"/>
        <s v="US-2014-120740"/>
        <s v="US-2014-121566"/>
        <s v="US-2014-121734"/>
        <s v="US-2014-122021"/>
        <s v="US-2014-122959"/>
        <s v="US-2014-123183"/>
        <s v="US-2014-123519"/>
        <s v="US-2014-124625"/>
        <s v="US-2014-125521"/>
        <s v="US-2014-126340"/>
        <s v="US-2014-126571"/>
        <s v="US-2014-127635"/>
        <s v="US-2014-127978"/>
        <s v="US-2014-128685"/>
        <s v="US-2014-129609"/>
        <s v="US-2014-130358"/>
        <s v="US-2014-130379"/>
        <s v="US-2014-131275"/>
        <s v="US-2014-131870"/>
        <s v="US-2014-131982"/>
        <s v="US-2014-132745"/>
        <s v="US-2014-133130"/>
        <s v="US-2014-133949"/>
        <s v="US-2014-134054"/>
        <s v="US-2014-134187"/>
        <s v="US-2014-134614"/>
        <s v="US-2014-134712"/>
        <s v="US-2014-134733"/>
        <s v="US-2014-134971"/>
        <s v="US-2014-135881"/>
        <s v="US-2014-135972"/>
        <s v="US-2014-137155"/>
        <s v="US-2014-137680"/>
        <s v="US-2014-137869"/>
        <s v="US-2014-138247"/>
        <s v="US-2014-138758"/>
        <s v="US-2014-138828"/>
        <s v="US-2014-138835"/>
        <s v="US-2014-139500"/>
        <s v="US-2014-139640"/>
        <s v="US-2014-140116"/>
        <s v="US-2014-140452"/>
        <s v="US-2014-140914"/>
        <s v="US-2014-141215"/>
        <s v="US-2014-141257"/>
        <s v="US-2014-143231"/>
        <s v="US-2014-143287"/>
        <s v="US-2014-143581"/>
        <s v="US-2014-143707"/>
        <s v="US-2014-143721"/>
        <s v="US-2014-144078"/>
        <s v="US-2014-146353"/>
        <s v="US-2014-147606"/>
        <s v="US-2014-147627"/>
        <s v="US-2014-147648"/>
        <s v="US-2014-147704"/>
        <s v="US-2014-147774"/>
        <s v="US-2014-148194"/>
        <s v="US-2014-148838"/>
        <s v="US-2014-149034"/>
        <s v="US-2014-150119"/>
        <s v="US-2014-150126"/>
        <s v="US-2014-150434"/>
        <s v="US-2014-150532"/>
        <s v="US-2014-150574"/>
        <s v="US-2014-150924"/>
        <s v="US-2014-151015"/>
        <s v="US-2014-151925"/>
        <s v="US-2014-152030"/>
        <s v="US-2014-152723"/>
        <s v="US-2014-154655"/>
        <s v="US-2014-154879"/>
        <s v="US-2014-155502"/>
        <s v="US-2014-155544"/>
        <s v="US-2014-155817"/>
        <s v="US-2014-155894"/>
        <s v="US-2014-156216"/>
        <s v="US-2014-156559"/>
        <s v="US-2014-157021"/>
        <s v="US-2014-157070"/>
        <s v="US-2014-157231"/>
        <s v="US-2014-157385"/>
        <s v="US-2014-157406"/>
        <s v="US-2014-157847"/>
        <s v="US-2014-158057"/>
        <s v="US-2014-158365"/>
        <s v="US-2014-158400"/>
        <s v="US-2014-158638"/>
        <s v="US-2014-159611"/>
        <s v="US-2014-159618"/>
        <s v="US-2014-159926"/>
        <s v="US-2014-160444"/>
        <s v="US-2014-160780"/>
        <s v="US-2014-161305"/>
        <s v="US-2014-161613"/>
        <s v="US-2014-163146"/>
        <s v="US-2014-163797"/>
        <s v="US-2014-164406"/>
        <s v="US-2014-164616"/>
        <s v="US-2014-164644"/>
        <s v="US-2014-164763"/>
        <s v="US-2014-165589"/>
        <s v="US-2014-165659"/>
        <s v="US-2014-165862"/>
        <s v="US-2014-166310"/>
        <s v="US-2014-166828"/>
        <s v="US-2014-167262"/>
        <s v="US-2014-167633"/>
        <s v="US-2014-167738"/>
        <s v="US-2014-168501"/>
        <s v="US-2014-169390"/>
        <s v="US-2014-169789"/>
        <s v="US-2015-100069"/>
        <s v="US-2015-100377"/>
        <s v="US-2015-100531"/>
        <s v="US-2015-101399"/>
        <s v="US-2015-101511"/>
        <s v="US-2015-103471"/>
        <s v="US-2015-103996"/>
        <s v="US-2015-104185"/>
        <s v="US-2015-104430"/>
        <s v="US-2015-105676"/>
        <s v="US-2015-106495"/>
        <s v="US-2015-106873"/>
        <s v="US-2015-107349"/>
        <s v="US-2015-107944"/>
        <s v="US-2015-108966"/>
        <s v="US-2015-109015"/>
        <s v="US-2015-110163"/>
        <s v="US-2015-110261"/>
        <s v="US-2015-110569"/>
        <s v="US-2015-111927"/>
        <s v="US-2015-112508"/>
        <s v="US-2015-113327"/>
        <s v="US-2015-113593"/>
        <s v="US-2015-114741"/>
        <s v="US-2015-114839"/>
        <s v="US-2015-115238"/>
        <s v="US-2015-115343"/>
        <s v="US-2015-116981"/>
        <s v="US-2015-117184"/>
        <s v="US-2015-117492"/>
        <s v="US-2015-118766"/>
        <s v="US-2015-118906"/>
        <s v="US-2015-118983"/>
        <s v="US-2015-119312"/>
        <s v="US-2015-120161"/>
        <s v="US-2015-120502"/>
        <s v="US-2015-120572"/>
        <s v="US-2015-120712"/>
        <s v="US-2015-120957"/>
        <s v="US-2015-122140"/>
        <s v="US-2015-122784"/>
        <s v="US-2015-122910"/>
        <s v="US-2015-123218"/>
        <s v="US-2015-123918"/>
        <s v="US-2015-123960"/>
        <s v="US-2015-124219"/>
        <s v="US-2015-125374"/>
        <s v="US-2015-126214"/>
        <s v="US-2015-126235"/>
        <s v="US-2015-126753"/>
        <s v="US-2015-126977"/>
        <s v="US-2015-127040"/>
        <s v="US-2015-128090"/>
        <s v="US-2015-128587"/>
        <s v="US-2015-129007"/>
        <s v="US-2015-129553"/>
        <s v="US-2015-129637"/>
        <s v="US-2015-130491"/>
        <s v="US-2015-130512"/>
        <s v="US-2015-130519"/>
        <s v="US-2015-131359"/>
        <s v="US-2015-131842"/>
        <s v="US-2015-132836"/>
        <s v="US-2015-134026"/>
        <s v="US-2015-134271"/>
        <s v="US-2015-134558"/>
        <s v="US-2015-136259"/>
        <s v="US-2015-136427"/>
        <s v="US-2015-136476"/>
        <s v="US-2015-136749"/>
        <s v="US-2015-136987"/>
        <s v="US-2015-137008"/>
        <s v="US-2015-137533"/>
        <s v="US-2015-137960"/>
        <s v="US-2015-138093"/>
        <s v="US-2015-138121"/>
        <s v="US-2015-138303"/>
        <s v="US-2015-138716"/>
        <s v="US-2015-138919"/>
        <s v="US-2015-139675"/>
        <s v="US-2015-139759"/>
        <s v="US-2015-140200"/>
        <s v="US-2015-140851"/>
        <s v="US-2015-141453"/>
        <s v="US-2015-141684"/>
        <s v="US-2015-142020"/>
        <s v="US-2015-142811"/>
        <s v="US-2015-144771"/>
        <s v="US-2015-145121"/>
        <s v="US-2015-145422"/>
        <s v="US-2015-145436"/>
        <s v="US-2015-146745"/>
        <s v="US-2015-147242"/>
        <s v="US-2015-147662"/>
        <s v="US-2015-147739"/>
        <s v="US-2015-148817"/>
        <s v="US-2015-149629"/>
        <s v="US-2015-149692"/>
        <s v="US-2015-150161"/>
        <s v="US-2015-150231"/>
        <s v="US-2015-150630"/>
        <s v="US-2015-151407"/>
        <s v="US-2015-151435"/>
        <s v="US-2015-152128"/>
        <s v="US-2015-153283"/>
        <s v="US-2015-153374"/>
        <s v="US-2015-153500"/>
        <s v="US-2015-154389"/>
        <s v="US-2015-155369"/>
        <s v="US-2015-156496"/>
        <s v="US-2015-156797"/>
        <s v="US-2015-156867"/>
        <s v="US-2015-157014"/>
        <s v="US-2015-157154"/>
        <s v="US-2015-158589"/>
        <s v="US-2015-158911"/>
        <s v="US-2015-159499"/>
        <s v="US-2015-159513"/>
        <s v="US-2015-159982"/>
        <s v="US-2015-160150"/>
        <s v="US-2015-160563"/>
        <s v="US-2015-160857"/>
        <s v="US-2015-161347"/>
        <s v="US-2015-161466"/>
        <s v="US-2015-161991"/>
        <s v="US-2015-163279"/>
        <s v="US-2015-163433"/>
        <s v="US-2015-163685"/>
        <s v="US-2015-163783"/>
        <s v="US-2015-163825"/>
        <s v="US-2015-164175"/>
        <s v="US-2015-164238"/>
        <s v="US-2015-164308"/>
        <s v="US-2015-164357"/>
        <s v="US-2015-164448"/>
        <s v="US-2015-164966"/>
        <s v="US-2015-165449"/>
        <s v="US-2015-165512"/>
        <s v="US-2015-165743"/>
        <s v="US-2015-166520"/>
        <s v="US-2015-167220"/>
        <s v="US-2015-168704"/>
        <s v="US-2015-168732"/>
        <s v="US-2015-168914"/>
        <s v="US-2015-168935"/>
      </sharedItems>
    </cacheField>
    <cacheField name="Order Date" numFmtId="164">
      <sharedItems containsSemiMixedTypes="0" containsNonDate="0" containsDate="1" containsString="0" minDate="2014-01-03T00:00:00Z" maxDate="2016-01-01T00:00:00Z">
        <d v="2014-09-07T00:00:00Z"/>
        <d v="2014-07-08T00:00:00Z"/>
        <d v="2014-03-14T00:00:00Z"/>
        <d v="2014-01-28T00:00:00Z"/>
        <d v="2014-04-08T00:00:00Z"/>
        <d v="2014-05-25T00:00:00Z"/>
        <d v="2014-04-18T00:00:00Z"/>
        <d v="2014-12-16T00:00:00Z"/>
        <d v="2014-11-24T00:00:00Z"/>
        <d v="2014-03-26T00:00:00Z"/>
        <d v="2014-10-19T00:00:00Z"/>
        <d v="2014-03-28T00:00:00Z"/>
        <d v="2014-06-02T00:00:00Z"/>
        <d v="2014-10-21T00:00:00Z"/>
        <d v="2014-11-19T00:00:00Z"/>
        <d v="2014-12-02T00:00:00Z"/>
        <d v="2014-12-09T00:00:00Z"/>
        <d v="2014-08-27T00:00:00Z"/>
        <d v="2014-12-22T00:00:00Z"/>
        <d v="2014-12-07T00:00:00Z"/>
        <d v="2014-12-26T00:00:00Z"/>
        <d v="2014-04-20T00:00:00Z"/>
        <d v="2014-09-12T00:00:00Z"/>
        <d v="2014-11-28T00:00:00Z"/>
        <d v="2014-12-15T00:00:00Z"/>
        <d v="2014-03-31T00:00:00Z"/>
        <d v="2014-11-17T00:00:00Z"/>
        <d v="2014-10-28T00:00:00Z"/>
        <d v="2014-09-30T00:00:00Z"/>
        <d v="2014-10-04T00:00:00Z"/>
        <d v="2014-11-21T00:00:00Z"/>
        <d v="2014-12-29T00:00:00Z"/>
        <d v="2014-01-23T00:00:00Z"/>
        <d v="2014-04-06T00:00:00Z"/>
        <d v="2014-11-01T00:00:00Z"/>
        <d v="2014-09-09T00:00:00Z"/>
        <d v="2014-04-05T00:00:00Z"/>
        <d v="2014-07-23T00:00:00Z"/>
        <d v="2014-10-17T00:00:00Z"/>
        <d v="2014-12-20T00:00:00Z"/>
        <d v="2014-09-22T00:00:00Z"/>
        <d v="2014-11-09T00:00:00Z"/>
        <d v="2014-05-10T00:00:00Z"/>
        <d v="2014-07-05T00:00:00Z"/>
        <d v="2014-08-26T00:00:00Z"/>
        <d v="2014-01-15T00:00:00Z"/>
        <d v="2014-05-18T00:00:00Z"/>
        <d v="2014-05-30T00:00:00Z"/>
        <d v="2014-10-10T00:00:00Z"/>
        <d v="2014-11-30T00:00:00Z"/>
        <d v="2014-08-25T00:00:00Z"/>
        <d v="2014-02-23T00:00:00Z"/>
        <d v="2014-01-03T00:00:00Z"/>
        <d v="2014-05-11T00:00:00Z"/>
        <d v="2014-09-17T00:00:00Z"/>
        <d v="2014-03-19T00:00:00Z"/>
        <d v="2014-03-01T00:00:00Z"/>
        <d v="2014-06-27T00:00:00Z"/>
        <d v="2014-06-17T00:00:00Z"/>
        <d v="2014-03-07T00:00:00Z"/>
        <d v="2014-12-30T00:00:00Z"/>
        <d v="2014-12-08T00:00:00Z"/>
        <d v="2014-05-21T00:00:00Z"/>
        <d v="2014-02-04T00:00:00Z"/>
        <d v="2014-11-18T00:00:00Z"/>
        <d v="2014-04-04T00:00:00Z"/>
        <d v="2014-11-11T00:00:00Z"/>
        <d v="2014-11-22T00:00:00Z"/>
        <d v="2014-01-07T00:00:00Z"/>
        <d v="2014-03-03T00:00:00Z"/>
        <d v="2014-01-06T00:00:00Z"/>
        <d v="2014-06-07T00:00:00Z"/>
        <d v="2014-12-05T00:00:00Z"/>
        <d v="2014-10-31T00:00:00Z"/>
        <d v="2014-09-05T00:00:00Z"/>
        <d v="2014-08-24T00:00:00Z"/>
        <d v="2014-12-06T00:00:00Z"/>
        <d v="2014-05-14T00:00:00Z"/>
        <d v="2014-09-02T00:00:00Z"/>
        <d v="2014-09-28T00:00:00Z"/>
        <d v="2014-11-02T00:00:00Z"/>
        <d v="2014-03-02T00:00:00Z"/>
        <d v="2014-12-12T00:00:00Z"/>
        <d v="2014-07-02T00:00:00Z"/>
        <d v="2014-02-14T00:00:00Z"/>
        <d v="2014-02-07T00:00:00Z"/>
        <d v="2014-04-29T00:00:00Z"/>
        <d v="2014-09-08T00:00:00Z"/>
        <d v="2014-06-08T00:00:00Z"/>
        <d v="2014-02-06T00:00:00Z"/>
        <d v="2014-10-02T00:00:00Z"/>
        <d v="2014-10-24T00:00:00Z"/>
        <d v="2014-05-28T00:00:00Z"/>
        <d v="2014-10-03T00:00:00Z"/>
        <d v="2014-08-15T00:00:00Z"/>
        <d v="2014-12-21T00:00:00Z"/>
        <d v="2014-11-05T00:00:00Z"/>
        <d v="2014-06-30T00:00:00Z"/>
        <d v="2014-01-13T00:00:00Z"/>
        <d v="2014-08-12T00:00:00Z"/>
        <d v="2014-02-20T00:00:00Z"/>
        <d v="2014-10-06T00:00:00Z"/>
        <d v="2014-09-01T00:00:00Z"/>
        <d v="2014-07-21T00:00:00Z"/>
        <d v="2014-07-14T00:00:00Z"/>
        <d v="2014-08-05T00:00:00Z"/>
        <d v="2014-10-22T00:00:00Z"/>
        <d v="2014-04-25T00:00:00Z"/>
        <d v="2014-07-12T00:00:00Z"/>
        <d v="2014-05-05T00:00:00Z"/>
        <d v="2014-11-23T00:00:00Z"/>
        <d v="2014-10-18T00:00:00Z"/>
        <d v="2014-01-21T00:00:00Z"/>
        <d v="2014-08-09T00:00:00Z"/>
        <d v="2014-04-11T00:00:00Z"/>
        <d v="2014-08-23T00:00:00Z"/>
        <d v="2014-06-01T00:00:00Z"/>
        <d v="2014-02-03T00:00:00Z"/>
        <d v="2014-12-31T00:00:00Z"/>
        <d v="2014-07-30T00:00:00Z"/>
        <d v="2014-08-17T00:00:00Z"/>
        <d v="2014-06-29T00:00:00Z"/>
        <d v="2014-04-23T00:00:00Z"/>
        <d v="2014-03-18T00:00:00Z"/>
        <d v="2014-05-04T00:00:00Z"/>
        <d v="2014-09-29T00:00:00Z"/>
        <d v="2014-04-03T00:00:00Z"/>
        <d v="2014-01-04T00:00:00Z"/>
        <d v="2014-09-11T00:00:00Z"/>
        <d v="2014-12-24T00:00:00Z"/>
        <d v="2014-07-09T00:00:00Z"/>
        <d v="2014-09-14T00:00:00Z"/>
        <d v="2014-09-10T00:00:00Z"/>
        <d v="2014-12-13T00:00:00Z"/>
        <d v="2014-05-13T00:00:00Z"/>
        <d v="2014-09-13T00:00:00Z"/>
        <d v="2014-06-16T00:00:00Z"/>
        <d v="2014-09-23T00:00:00Z"/>
        <d v="2014-10-11T00:00:00Z"/>
        <d v="2014-08-20T00:00:00Z"/>
        <d v="2014-12-23T00:00:00Z"/>
        <d v="2014-06-13T00:00:00Z"/>
        <d v="2014-03-11T00:00:00Z"/>
        <d v="2014-09-26T00:00:00Z"/>
        <d v="2014-05-02T00:00:00Z"/>
        <d v="2014-01-31T00:00:00Z"/>
        <d v="2014-08-06T00:00:00Z"/>
        <d v="2014-01-16T00:00:00Z"/>
        <d v="2014-06-09T00:00:00Z"/>
        <d v="2014-07-15T00:00:00Z"/>
        <d v="2014-07-26T00:00:00Z"/>
        <d v="2014-03-04T00:00:00Z"/>
        <d v="2014-11-15T00:00:00Z"/>
        <d v="2014-12-14T00:00:00Z"/>
        <d v="2014-05-08T00:00:00Z"/>
        <d v="2014-04-26T00:00:00Z"/>
        <d v="2014-08-01T00:00:00Z"/>
        <d v="2014-10-07T00:00:00Z"/>
        <d v="2014-07-22T00:00:00Z"/>
        <d v="2014-09-21T00:00:00Z"/>
        <d v="2014-03-17T00:00:00Z"/>
        <d v="2014-04-28T00:00:00Z"/>
        <d v="2014-11-27T00:00:00Z"/>
        <d v="2014-11-16T00:00:00Z"/>
        <d v="2014-11-25T00:00:00Z"/>
        <d v="2014-11-03T00:00:00Z"/>
        <d v="2014-10-08T00:00:00Z"/>
        <d v="2014-07-04T00:00:00Z"/>
        <d v="2014-12-27T00:00:00Z"/>
        <d v="2014-11-07T00:00:00Z"/>
        <d v="2014-09-20T00:00:00Z"/>
        <d v="2014-12-01T00:00:00Z"/>
        <d v="2014-12-19T00:00:00Z"/>
        <d v="2014-03-23T00:00:00Z"/>
        <d v="2014-09-27T00:00:00Z"/>
        <d v="2014-11-06T00:00:00Z"/>
        <d v="2014-11-10T00:00:00Z"/>
        <d v="2014-11-04T00:00:00Z"/>
        <d v="2014-05-06T00:00:00Z"/>
        <d v="2014-08-19T00:00:00Z"/>
        <d v="2014-04-22T00:00:00Z"/>
        <d v="2014-04-13T00:00:00Z"/>
        <d v="2014-02-16T00:00:00Z"/>
        <d v="2014-11-12T00:00:00Z"/>
        <d v="2014-12-03T00:00:00Z"/>
        <d v="2014-07-11T00:00:00Z"/>
        <d v="2014-08-22T00:00:00Z"/>
        <d v="2014-07-18T00:00:00Z"/>
        <d v="2014-10-13T00:00:00Z"/>
        <d v="2014-09-24T00:00:00Z"/>
        <d v="2014-02-02T00:00:00Z"/>
        <d v="2014-01-18T00:00:00Z"/>
        <d v="2014-06-18T00:00:00Z"/>
        <d v="2014-12-17T00:00:00Z"/>
        <d v="2014-04-07T00:00:00Z"/>
        <d v="2014-05-27T00:00:00Z"/>
        <d v="2014-08-08T00:00:00Z"/>
        <d v="2014-06-22T00:00:00Z"/>
        <d v="2014-07-27T00:00:00Z"/>
        <d v="2014-11-26T00:00:00Z"/>
        <d v="2014-05-16T00:00:00Z"/>
        <d v="2014-09-03T00:00:00Z"/>
        <d v="2014-11-14T00:00:00Z"/>
        <d v="2014-08-03T00:00:00Z"/>
        <d v="2014-02-08T00:00:00Z"/>
        <d v="2014-06-23T00:00:00Z"/>
        <d v="2014-08-04T00:00:00Z"/>
        <d v="2014-06-15T00:00:00Z"/>
        <d v="2014-08-11T00:00:00Z"/>
        <d v="2014-05-12T00:00:00Z"/>
        <d v="2014-12-04T00:00:00Z"/>
        <d v="2014-09-19T00:00:00Z"/>
        <d v="2014-02-11T00:00:00Z"/>
        <d v="2014-07-20T00:00:00Z"/>
        <d v="2014-06-21T00:00:00Z"/>
        <d v="2014-03-25T00:00:00Z"/>
        <d v="2014-05-26T00:00:00Z"/>
        <d v="2014-01-11T00:00:00Z"/>
        <d v="2014-05-19T00:00:00Z"/>
        <d v="2014-05-03T00:00:00Z"/>
        <d v="2014-09-06T00:00:00Z"/>
        <d v="2014-05-20T00:00:00Z"/>
        <d v="2014-03-30T00:00:00Z"/>
        <d v="2014-07-28T00:00:00Z"/>
        <d v="2014-06-06T00:00:00Z"/>
        <d v="2014-02-22T00:00:00Z"/>
        <d v="2014-01-30T00:00:00Z"/>
        <d v="2014-07-06T00:00:00Z"/>
        <d v="2014-01-09T00:00:00Z"/>
        <d v="2014-06-03T00:00:00Z"/>
        <d v="2014-08-29T00:00:00Z"/>
        <d v="2014-11-29T00:00:00Z"/>
        <d v="2014-04-21T00:00:00Z"/>
        <d v="2014-10-20T00:00:00Z"/>
        <d v="2014-03-29T00:00:00Z"/>
        <d v="2014-10-09T00:00:00Z"/>
        <d v="2014-09-15T00:00:00Z"/>
        <d v="2014-04-01T00:00:00Z"/>
        <d v="2014-05-23T00:00:00Z"/>
        <d v="2014-10-12T00:00:00Z"/>
        <d v="2014-10-25T00:00:00Z"/>
        <d v="2014-03-21T00:00:00Z"/>
        <d v="2014-11-20T00:00:00Z"/>
        <d v="2014-06-14T00:00:00Z"/>
        <d v="2014-02-01T00:00:00Z"/>
        <d v="2014-06-28T00:00:00Z"/>
        <d v="2014-09-16T00:00:00Z"/>
        <d v="2014-12-28T00:00:00Z"/>
        <d v="2014-09-25T00:00:00Z"/>
        <d v="2014-01-05T00:00:00Z"/>
        <d v="2014-08-16T00:00:00Z"/>
        <d v="2014-04-12T00:00:00Z"/>
        <d v="2014-10-15T00:00:00Z"/>
        <d v="2014-08-31T00:00:00Z"/>
        <d v="2014-05-24T00:00:00Z"/>
        <d v="2014-03-24T00:00:00Z"/>
        <d v="2014-05-22T00:00:00Z"/>
        <d v="2014-07-25T00:00:00Z"/>
        <d v="2014-06-10T00:00:00Z"/>
        <d v="2014-08-30T00:00:00Z"/>
        <d v="2014-01-19T00:00:00Z"/>
        <d v="2014-06-04T00:00:00Z"/>
        <d v="2014-03-22T00:00:00Z"/>
        <d v="2014-10-27T00:00:00Z"/>
        <d v="2014-12-10T00:00:00Z"/>
        <d v="2014-01-20T00:00:00Z"/>
        <d v="2014-05-17T00:00:00Z"/>
        <d v="2014-01-10T00:00:00Z"/>
        <d v="2014-01-14T00:00:00Z"/>
        <d v="2014-03-15T00:00:00Z"/>
        <d v="2014-10-14T00:00:00Z"/>
        <d v="2014-10-05T00:00:00Z"/>
        <d v="2014-02-18T00:00:00Z"/>
        <d v="2014-07-01T00:00:00Z"/>
        <d v="2014-02-17T00:00:00Z"/>
        <d v="2014-10-29T00:00:00Z"/>
        <d v="2014-04-16T00:00:00Z"/>
        <d v="2014-04-30T00:00:00Z"/>
        <d v="2014-02-27T00:00:00Z"/>
        <d v="2014-03-16T00:00:00Z"/>
        <d v="2014-04-19T00:00:00Z"/>
        <d v="2014-05-09T00:00:00Z"/>
        <d v="2014-06-25T00:00:00Z"/>
        <d v="2014-06-24T00:00:00Z"/>
        <d v="2014-04-02T00:00:00Z"/>
        <d v="2014-10-26T00:00:00Z"/>
        <d v="2014-02-21T00:00:00Z"/>
        <d v="2014-02-15T00:00:00Z"/>
        <d v="2014-05-31T00:00:00Z"/>
        <d v="2014-05-07T00:00:00Z"/>
        <d v="2014-06-20T00:00:00Z"/>
        <d v="2014-01-26T00:00:00Z"/>
        <d v="2014-07-19T00:00:00Z"/>
        <d v="2014-03-05T00:00:00Z"/>
        <d v="2015-05-14T00:00:00Z"/>
        <d v="2015-04-13T00:00:00Z"/>
        <d v="2015-05-17T00:00:00Z"/>
        <d v="2015-11-20T00:00:00Z"/>
        <d v="2015-11-22T00:00:00Z"/>
        <d v="2015-09-25T00:00:00Z"/>
        <d v="2015-11-02T00:00:00Z"/>
        <d v="2015-12-19T00:00:00Z"/>
        <d v="2015-09-15T00:00:00Z"/>
        <d v="2015-05-16T00:00:00Z"/>
        <d v="2015-05-31T00:00:00Z"/>
        <d v="2015-04-06T00:00:00Z"/>
        <d v="2015-04-09T00:00:00Z"/>
        <d v="2015-02-09T00:00:00Z"/>
        <d v="2015-12-05T00:00:00Z"/>
        <d v="2015-02-10T00:00:00Z"/>
        <d v="2015-09-18T00:00:00Z"/>
        <d v="2015-08-27T00:00:00Z"/>
        <d v="2015-06-09T00:00:00Z"/>
        <d v="2015-12-27T00:00:00Z"/>
        <d v="2015-11-27T00:00:00Z"/>
        <d v="2015-09-04T00:00:00Z"/>
        <d v="2015-09-12T00:00:00Z"/>
        <d v="2015-09-21T00:00:00Z"/>
        <d v="2015-09-22T00:00:00Z"/>
        <d v="2015-10-12T00:00:00Z"/>
        <d v="2015-03-01T00:00:00Z"/>
        <d v="2015-08-24T00:00:00Z"/>
        <d v="2015-04-18T00:00:00Z"/>
        <d v="2015-11-21T00:00:00Z"/>
        <d v="2015-05-21T00:00:00Z"/>
        <d v="2015-11-07T00:00:00Z"/>
        <d v="2015-04-05T00:00:00Z"/>
        <d v="2015-09-07T00:00:00Z"/>
        <d v="2015-09-27T00:00:00Z"/>
        <d v="2015-02-03T00:00:00Z"/>
        <d v="2015-07-24T00:00:00Z"/>
        <d v="2015-05-30T00:00:00Z"/>
        <d v="2015-12-08T00:00:00Z"/>
        <d v="2015-04-30T00:00:00Z"/>
        <d v="2015-12-01T00:00:00Z"/>
        <d v="2015-06-28T00:00:00Z"/>
        <d v="2015-03-26T00:00:00Z"/>
        <d v="2015-09-24T00:00:00Z"/>
        <d v="2015-08-09T00:00:00Z"/>
        <d v="2015-11-05T00:00:00Z"/>
        <d v="2015-02-06T00:00:00Z"/>
        <d v="2015-06-13T00:00:00Z"/>
        <d v="2015-06-12T00:00:00Z"/>
        <d v="2015-02-27T00:00:00Z"/>
        <d v="2015-01-04T00:00:00Z"/>
        <d v="2015-05-29T00:00:00Z"/>
        <d v="2015-12-11T00:00:00Z"/>
        <d v="2015-05-01T00:00:00Z"/>
        <d v="2015-10-02T00:00:00Z"/>
        <d v="2015-01-02T00:00:00Z"/>
        <d v="2015-09-01T00:00:00Z"/>
        <d v="2015-03-30T00:00:00Z"/>
        <d v="2015-11-13T00:00:00Z"/>
        <d v="2015-09-05T00:00:00Z"/>
        <d v="2015-11-01T00:00:00Z"/>
        <d v="2015-11-06T00:00:00Z"/>
        <d v="2015-11-24T00:00:00Z"/>
        <d v="2015-03-29T00:00:00Z"/>
        <d v="2015-10-18T00:00:00Z"/>
        <d v="2015-03-08T00:00:00Z"/>
        <d v="2015-11-08T00:00:00Z"/>
        <d v="2015-02-18T00:00:00Z"/>
        <d v="2015-10-25T00:00:00Z"/>
        <d v="2015-03-02T00:00:00Z"/>
        <d v="2015-06-23T00:00:00Z"/>
        <d v="2015-12-10T00:00:00Z"/>
        <d v="2015-04-16T00:00:00Z"/>
        <d v="2015-03-20T00:00:00Z"/>
        <d v="2015-09-28T00:00:00Z"/>
        <d v="2015-07-10T00:00:00Z"/>
        <d v="2015-12-18T00:00:00Z"/>
        <d v="2015-04-21T00:00:00Z"/>
        <d v="2015-11-30T00:00:00Z"/>
        <d v="2015-08-28T00:00:00Z"/>
        <d v="2015-05-03T00:00:00Z"/>
        <d v="2015-08-29T00:00:00Z"/>
        <d v="2015-01-05T00:00:00Z"/>
        <d v="2015-07-06T00:00:00Z"/>
        <d v="2015-09-10T00:00:00Z"/>
        <d v="2015-03-05T00:00:00Z"/>
        <d v="2015-04-20T00:00:00Z"/>
        <d v="2015-10-23T00:00:00Z"/>
        <d v="2015-12-31T00:00:00Z"/>
        <d v="2015-01-26T00:00:00Z"/>
        <d v="2015-12-15T00:00:00Z"/>
        <d v="2015-05-25T00:00:00Z"/>
        <d v="2015-10-10T00:00:00Z"/>
        <d v="2015-05-08T00:00:00Z"/>
        <d v="2015-11-29T00:00:00Z"/>
        <d v="2015-12-03T00:00:00Z"/>
        <d v="2015-12-04T00:00:00Z"/>
        <d v="2015-10-29T00:00:00Z"/>
        <d v="2015-03-09T00:00:00Z"/>
        <d v="2015-05-04T00:00:00Z"/>
        <d v="2015-03-17T00:00:00Z"/>
        <d v="2015-04-04T00:00:00Z"/>
        <d v="2015-10-16T00:00:00Z"/>
        <d v="2015-11-17T00:00:00Z"/>
        <d v="2015-12-12T00:00:00Z"/>
        <d v="2015-07-31T00:00:00Z"/>
        <d v="2015-12-26T00:00:00Z"/>
        <d v="2015-07-09T00:00:00Z"/>
        <d v="2015-04-11T00:00:00Z"/>
        <d v="2015-07-18T00:00:00Z"/>
        <d v="2015-08-17T00:00:00Z"/>
        <d v="2015-11-23T00:00:00Z"/>
        <d v="2015-09-26T00:00:00Z"/>
        <d v="2015-08-31T00:00:00Z"/>
        <d v="2015-11-28T00:00:00Z"/>
        <d v="2015-07-02T00:00:00Z"/>
        <d v="2015-12-25T00:00:00Z"/>
        <d v="2015-03-19T00:00:00Z"/>
        <d v="2015-06-19T00:00:00Z"/>
        <d v="2015-11-11T00:00:00Z"/>
        <d v="2015-08-13T00:00:00Z"/>
        <d v="2015-10-11T00:00:00Z"/>
        <d v="2015-03-16T00:00:00Z"/>
        <d v="2015-08-05T00:00:00Z"/>
        <d v="2015-12-21T00:00:00Z"/>
        <d v="2015-04-25T00:00:00Z"/>
        <d v="2015-07-12T00:00:00Z"/>
        <d v="2015-08-02T00:00:00Z"/>
        <d v="2015-11-15T00:00:00Z"/>
        <d v="2015-09-03T00:00:00Z"/>
        <d v="2015-11-09T00:00:00Z"/>
        <d v="2015-07-16T00:00:00Z"/>
        <d v="2015-11-12T00:00:00Z"/>
        <d v="2015-10-19T00:00:00Z"/>
        <d v="2015-12-14T00:00:00Z"/>
        <d v="2015-07-13T00:00:00Z"/>
        <d v="2015-03-13T00:00:00Z"/>
        <d v="2015-10-13T00:00:00Z"/>
        <d v="2015-08-23T00:00:00Z"/>
        <d v="2015-02-08T00:00:00Z"/>
        <d v="2015-10-05T00:00:00Z"/>
        <d v="2015-06-05T00:00:00Z"/>
        <d v="2015-10-01T00:00:00Z"/>
        <d v="2015-09-13T00:00:00Z"/>
        <d v="2015-09-19T00:00:00Z"/>
        <d v="2015-09-14T00:00:00Z"/>
        <d v="2015-06-26T00:00:00Z"/>
        <d v="2015-06-25T00:00:00Z"/>
        <d v="2015-02-15T00:00:00Z"/>
        <d v="2015-01-28T00:00:00Z"/>
        <d v="2015-05-02T00:00:00Z"/>
        <d v="2015-07-05T00:00:00Z"/>
        <d v="2015-04-14T00:00:00Z"/>
        <d v="2015-02-14T00:00:00Z"/>
        <d v="2015-12-23T00:00:00Z"/>
        <d v="2015-03-22T00:00:00Z"/>
        <d v="2015-11-26T00:00:00Z"/>
        <d v="2015-04-24T00:00:00Z"/>
        <d v="2015-03-24T00:00:00Z"/>
        <d v="2015-10-24T00:00:00Z"/>
        <d v="2015-05-28T00:00:00Z"/>
        <d v="2015-06-16T00:00:00Z"/>
        <d v="2015-05-23T00:00:00Z"/>
        <d v="2015-01-23T00:00:00Z"/>
        <d v="2015-01-09T00:00:00Z"/>
        <d v="2015-08-11T00:00:00Z"/>
        <d v="2015-12-28T00:00:00Z"/>
        <d v="2015-12-24T00:00:00Z"/>
        <d v="2015-06-14T00:00:00Z"/>
        <d v="2015-11-16T00:00:00Z"/>
        <d v="2015-03-21T00:00:00Z"/>
        <d v="2015-04-28T00:00:00Z"/>
        <d v="2015-07-23T00:00:00Z"/>
        <d v="2015-11-03T00:00:00Z"/>
        <d v="2015-01-03T00:00:00Z"/>
        <d v="2015-07-17T00:00:00Z"/>
        <d v="2015-10-04T00:00:00Z"/>
        <d v="2015-08-10T00:00:00Z"/>
        <d v="2015-06-11T00:00:00Z"/>
        <d v="2015-02-16T00:00:00Z"/>
        <d v="2015-11-10T00:00:00Z"/>
        <d v="2015-01-30T00:00:00Z"/>
        <d v="2015-08-21T00:00:00Z"/>
        <d v="2015-10-31T00:00:00Z"/>
        <d v="2015-04-26T00:00:00Z"/>
        <d v="2015-06-18T00:00:00Z"/>
        <d v="2015-11-14T00:00:00Z"/>
        <d v="2015-06-21T00:00:00Z"/>
        <d v="2015-10-30T00:00:00Z"/>
        <d v="2015-10-09T00:00:00Z"/>
        <d v="2015-07-04T00:00:00Z"/>
        <d v="2015-04-27T00:00:00Z"/>
        <d v="2015-06-22T00:00:00Z"/>
        <d v="2015-10-03T00:00:00Z"/>
        <d v="2015-12-13T00:00:00Z"/>
        <d v="2015-10-08T00:00:00Z"/>
        <d v="2015-09-11T00:00:00Z"/>
        <d v="2015-09-20T00:00:00Z"/>
        <d v="2015-08-08T00:00:00Z"/>
        <d v="2015-07-26T00:00:00Z"/>
        <d v="2015-03-12T00:00:00Z"/>
        <d v="2015-03-31T00:00:00Z"/>
        <d v="2015-07-03T00:00:00Z"/>
        <d v="2015-01-12T00:00:00Z"/>
        <d v="2015-06-29T00:00:00Z"/>
        <d v="2015-01-24T00:00:00Z"/>
        <d v="2015-05-10T00:00:00Z"/>
        <d v="2015-07-08T00:00:00Z"/>
        <d v="2015-10-15T00:00:00Z"/>
        <d v="2015-02-21T00:00:00Z"/>
        <d v="2015-08-22T00:00:00Z"/>
        <d v="2015-06-15T00:00:00Z"/>
        <d v="2015-03-23T00:00:00Z"/>
        <d v="2015-04-07T00:00:00Z"/>
        <d v="2015-12-07T00:00:00Z"/>
        <d v="2015-12-29T00:00:00Z"/>
        <d v="2015-05-12T00:00:00Z"/>
        <d v="2015-03-28T00:00:00Z"/>
        <d v="2015-12-06T00:00:00Z"/>
        <d v="2015-02-23T00:00:00Z"/>
        <d v="2015-02-22T00:00:00Z"/>
        <d v="2015-07-30T00:00:00Z"/>
        <d v="2015-03-27T00:00:00Z"/>
        <d v="2015-09-17T00:00:00Z"/>
        <d v="2015-09-06T00:00:00Z"/>
        <d v="2015-12-17T00:00:00Z"/>
        <d v="2015-04-10T00:00:00Z"/>
        <d v="2015-08-06T00:00:00Z"/>
        <d v="2015-12-30T00:00:00Z"/>
        <d v="2015-05-11T00:00:00Z"/>
        <d v="2015-04-02T00:00:00Z"/>
        <d v="2015-07-11T00:00:00Z"/>
        <d v="2015-12-20T00:00:00Z"/>
        <d v="2015-05-07T00:00:00Z"/>
        <d v="2015-01-13T00:00:00Z"/>
        <d v="2015-08-07T00:00:00Z"/>
        <d v="2015-05-15T00:00:00Z"/>
        <d v="2015-07-25T00:00:00Z"/>
        <d v="2015-10-26T00:00:00Z"/>
        <d v="2015-06-20T00:00:00Z"/>
        <d v="2015-01-19T00:00:00Z"/>
        <d v="2015-06-07T00:00:00Z"/>
        <d v="2015-08-15T00:00:00Z"/>
        <d v="2015-03-06T00:00:00Z"/>
        <d v="2015-05-26T00:00:00Z"/>
        <d v="2015-07-14T00:00:00Z"/>
        <d v="2015-04-12T00:00:00Z"/>
        <d v="2015-11-19T00:00:00Z"/>
        <d v="2015-05-13T00:00:00Z"/>
        <d v="2015-03-07T00:00:00Z"/>
        <d v="2015-03-10T00:00:00Z"/>
        <d v="2015-02-07T00:00:00Z"/>
        <d v="2015-04-17T00:00:00Z"/>
        <d v="2015-10-20T00:00:00Z"/>
        <d v="2015-01-31T00:00:00Z"/>
        <d v="2015-01-06T00:00:00Z"/>
        <d v="2015-05-22T00:00:00Z"/>
        <d v="2015-04-22T00:00:00Z"/>
        <d v="2015-01-17T00:00:00Z"/>
        <d v="2015-09-08T00:00:00Z"/>
        <d v="2015-10-17T00:00:00Z"/>
        <d v="2015-02-20T00:00:00Z"/>
        <d v="2015-08-01T00:00:00Z"/>
        <d v="2015-05-20T00:00:00Z"/>
        <d v="2015-12-22T00:00:00Z"/>
        <d v="2015-02-25T00:00:00Z"/>
        <d v="2015-03-15T00:00:00Z"/>
        <d v="2015-05-09T00:00:00Z"/>
        <d v="2015-12-09T00:00:00Z"/>
        <d v="2015-04-29T00:00:00Z"/>
        <d v="2015-06-04T00:00:00Z"/>
        <d v="2015-07-20T00:00:00Z"/>
        <d v="2015-06-01T00:00:00Z"/>
        <d v="2015-06-08T00:00:00Z"/>
        <d v="2015-10-28T00:00:00Z"/>
        <d v="2015-12-16T00:00:00Z"/>
        <d v="2015-03-14T00:00:00Z"/>
        <d v="2015-01-27T00:00:00Z"/>
        <d v="2015-05-18T00:00:00Z"/>
        <d v="2015-09-16T00:00:00Z"/>
        <d v="2015-08-25T00:00:00Z"/>
        <d v="2015-10-22T00:00:00Z"/>
        <d v="2014-03-10T00:00:00Z"/>
        <d v="2014-08-02T00:00:00Z"/>
        <d v="2014-10-16T00:00:00Z"/>
        <d v="2014-02-12T00:00:00Z"/>
        <d v="2014-01-27T00:00:00Z"/>
        <d v="2014-04-15T00:00:00Z"/>
        <d v="2014-11-08T00:00:00Z"/>
        <d v="2014-10-01T00:00:00Z"/>
        <d v="2014-02-24T00:00:00Z"/>
        <d v="2014-07-07T00:00:00Z"/>
        <d v="2014-07-13T00:00:00Z"/>
        <d v="2015-08-16T00:00:00Z"/>
        <d v="2015-07-27T00:00:00Z"/>
        <d v="2015-02-28T00:00:00Z"/>
        <d v="2015-04-19T00:00:00Z"/>
        <d v="2015-01-10T00:00:00Z"/>
        <d v="2015-07-19T00:00:00Z"/>
        <d v="2015-11-25T00:00:00Z"/>
        <d v="2015-05-24T00:00:00Z"/>
      </sharedItems>
      <fieldGroup base="1">
        <rangePr autoStart="0" autoEnd="0" groupBy="years" startDate="2014-01-03T00:00:00Z" endDate="2016-01-01T00:00:00Z"/>
        <groupItems>
          <s v="&lt;01/03/14"/>
          <s v="114"/>
          <s v="115"/>
          <s v="&gt;01/01/16"/>
        </groupItems>
      </fieldGroup>
    </cacheField>
    <cacheField name="Segment" numFmtId="0">
      <sharedItems>
        <s v="Consumer"/>
        <s v="Corporate"/>
        <s v="Home Office"/>
        <s v="Claudia Bergmann"/>
        <s v="Heather Jas"/>
        <s v="Dianna Vittorini"/>
        <s v="Brian Moss"/>
        <s v="Irene Maddox"/>
        <s v="Anne McFarland"/>
        <s v="Scot Wooten"/>
        <s v="Suzanne McNair"/>
        <s v="Ann Chong"/>
        <s v="Tracy Hopkins"/>
        <s v="Janet Molinari"/>
        <s v="Mark Hamilton"/>
        <s v="Ivan Gibson"/>
        <s v="Michael Stewart"/>
        <s v="Nona Balk"/>
        <s v="Charlotte Melton"/>
        <s v="Philip Fox"/>
        <s v="Max Jones"/>
        <s v="David Bremer"/>
        <s v="Carlos Daly"/>
        <s v="Ken Black"/>
        <s v="Tamara Manning"/>
        <s v="Chad Sievert"/>
        <s v="Sanjit Jacobs"/>
        <s v="Mark Packer"/>
        <s v="Dave Hallsten"/>
        <s v="Katrina Willman"/>
        <s v="Natalie Webber"/>
        <s v="Kelly Williams"/>
        <s v="John Huston"/>
        <s v="Henry Goldwyn"/>
        <s v="Karen Bern"/>
        <s v="Jennifer Ferguson"/>
        <s v="Lisa Ryan"/>
        <s v="Helen Wasserman"/>
        <s v="Frank Olsen"/>
        <s v="Shirley Schmidt"/>
        <s v="Edward Nazzal"/>
        <s v="Joel Jenkins"/>
        <s v="Beth Thompson"/>
        <s v="Benjamin Venier"/>
        <s v="Shaun Chance"/>
        <s v="Sung Pak"/>
        <s v="Dan Reichenbach"/>
        <s v="Hallie Redmond"/>
        <s v="Nathan Gelder"/>
        <s v="Lori Olson"/>
        <s v="Tracy Poddar"/>
        <s v="Frank Carlisle"/>
        <s v="Jonathan Howell"/>
        <s v="Erin Smith"/>
        <s v="Andrew Gjertsen"/>
        <s v="Chad Cunningham"/>
        <s v="Patrick O'Brill"/>
        <s v="Ed Braxton"/>
        <s v="Daniel Raglin"/>
        <s v="Keith Herrera"/>
        <s v="Brendan Murry"/>
        <s v="Valerie Mitchum"/>
        <s v="Meg Tillman"/>
        <s v="Darren Powers"/>
        <s v="Chad McGuire"/>
        <s v="Jamie Frazer"/>
        <s v="Christine Phan"/>
        <s v="Marc Crier"/>
        <s v="Kristina Nunn"/>
        <s v="Dana Kaydos"/>
        <s v="Helen Abelman"/>
        <s v="Carol Adams"/>
        <s v="Guy Thornton"/>
        <s v="Pete Armstrong"/>
        <s v="Randy Ferguson"/>
        <s v="Julia West"/>
        <s v="Brad Norvell"/>
        <s v="Eugene Barchas"/>
        <s v="Emily Burns"/>
        <s v="Lena Creighton"/>
        <s v="Bart Watters"/>
        <s v="Zuschuss Carroll"/>
        <s v="Mike Vittorini"/>
        <s v="Brenda Bowman"/>
        <s v="Michael Kennedy"/>
        <s v="Juliana Krohn"/>
        <s v="John Murray"/>
        <s v="Fred Chung"/>
        <s v="Julia Barnett"/>
        <s v="MaryBeth Skach"/>
        <s v="Noel Staavos"/>
        <s v="Brooke Gillingham"/>
        <s v="Kalyca Meade"/>
        <s v="Frank Atkinson"/>
        <s v="Katherine Nockton"/>
        <s v="Eileen Kiefer"/>
        <s v="Olvera Toch"/>
        <s v="Craig Carroll"/>
        <s v="Jas O'Carroll"/>
        <s v="Denise Leinenbach"/>
        <s v="Rob Haberlin"/>
        <s v="Karen Carlisle"/>
        <s v="Luke Foster"/>
        <s v="Ken Heidel"/>
        <s v="Elizabeth Moffitt"/>
        <s v="Joseph Holt"/>
        <s v="Craig Yedwab"/>
        <s v="Denny Joy"/>
        <s v="Heather Kirkland"/>
        <s v="Allen Armold"/>
        <s v="Bill Tyler"/>
        <s v="Alejandro Ballentine"/>
        <s v="Ritsa Hightower"/>
        <s v="Matt Abelman"/>
        <s v="Toby Gnade"/>
        <s v="Dave Kipp"/>
        <s v="Anna Häberlin"/>
        <s v="Harold Ryan"/>
        <s v="Nicole Fjeld"/>
        <s v="Helen Andreada"/>
        <s v="Michael Paige"/>
        <s v="Brian Derr"/>
        <s v="Anna Andreadi"/>
        <s v="Karen Daniels"/>
        <s v="Joe Elijah"/>
        <s v="Phillina Ober"/>
        <s v="Anthony Garverick"/>
        <s v="Steve Chapman"/>
        <s v="Lindsay Castell"/>
        <s v="Mick Crebagga"/>
        <s v="Sanjit Engle"/>
        <s v="Joe Kamberova"/>
        <s v="Roland Fjeld"/>
        <s v="Ann Blume"/>
        <s v="Victoria Pisteka"/>
        <s v="Victoria Brennan"/>
        <s v="Victoria Wilson"/>
        <s v="Scott Cohen"/>
        <s v="Karl Braun"/>
        <s v="Ralph Arnett"/>
        <s v="Fred Hopkins"/>
        <s v="Paul Prost"/>
        <s v="Duane Benoit"/>
        <s v="Odella Nelson"/>
        <s v="Shahid Hopkins"/>
        <s v="Jeremy Ellison"/>
        <s v="Stewart Visinsky"/>
        <s v="Katrina Bavinger"/>
        <s v="Andrew Roberts"/>
        <s v="Roger Demir"/>
        <s v="Nat Carroll"/>
        <s v="David Philippe"/>
        <s v="John Lucas"/>
        <s v="Daniel Lacy"/>
        <s v="Fred McMath"/>
        <s v="Darren Koutras"/>
        <s v="Ryan Akin"/>
        <s v="Berenike Kampe"/>
        <s v="Maria Bertelson"/>
        <s v="Valerie Dominguez"/>
        <s v="Jim Karlsson"/>
        <s v="Dean Katz"/>
        <s v="Cathy Prescott"/>
        <s v="Eleni McCrary"/>
        <s v="Shahid Collister"/>
        <s v="Nicole Hansen"/>
        <s v="Eric Hoffmann"/>
        <s v="Natalie DeCherney"/>
        <s v="Art Foster"/>
        <s v="Tamara Dahlen"/>
        <s v="Keith Dawkins"/>
        <s v="Lisa Hazard"/>
        <s v="Robert Marley"/>
        <s v="Arthur Gainer"/>
        <s v="Linda Southworth"/>
        <s v="Ken Lonsdale"/>
        <s v="Tracy Collins"/>
        <s v="Brad Eason"/>
        <s v="Sue Ann Reed"/>
        <s v="Alan Barnes"/>
        <s v="Justin MacKendrick"/>
        <s v="Barbara Fisher"/>
        <s v="Jamie Kunitz"/>
        <s v="Noah Childs"/>
        <s v="Theone Pippenger"/>
        <s v="Ted Trevino"/>
        <s v="Quincy Jones"/>
        <s v="Steve Nguyen"/>
        <s v="Maria Zettner"/>
        <s v="Matt Collins"/>
        <s v="Bradley Drucker"/>
        <s v="Debra Catini"/>
        <s v="Tim Brockman"/>
        <s v="Guy Phonely"/>
        <s v="Deborah Brumfield"/>
        <s v="Dennis Pardue"/>
        <s v="Harry Marie"/>
        <s v="Neil Knudson"/>
        <s v="Lycoris Saunders"/>
        <s v="Kristen Hastings"/>
        <s v="Carl Weiss"/>
        <s v="Jesus Ocampo"/>
        <s v="Tracy Zic"/>
        <s v="Roger Barcio"/>
        <s v="Muhammed MacIntyre"/>
        <s v="Steven Cartwright"/>
        <s v="Barry Weirich"/>
        <s v="Mark Van Huff"/>
        <s v="Eric Murdock"/>
        <s v="Shahid Shariari"/>
        <s v="Logan Currie"/>
        <s v="Maribeth Schnelling"/>
        <s v="Sarah Foster"/>
        <s v="Christina Anderson"/>
        <s v="Richard Bierner"/>
        <s v="Alan Dominguez"/>
        <s v="John Grady"/>
        <s v="Clytie Kelty"/>
        <s v="Sonia Sunley"/>
        <s v="Bill Donatelli"/>
        <s v="Shirley Daniels"/>
        <s v="Marina Lichtenstein"/>
        <s v="Barry Gonzalez"/>
        <s v="Jennifer Jackson"/>
        <s v="Chris Selesnick"/>
        <s v="Sylvia Foulston"/>
        <s v="Cassandra Brandow"/>
        <s v="Denny Ordway"/>
        <s v="Alex Avila"/>
        <s v="Fred Wasserman"/>
        <s v="Jennifer Braxton"/>
        <s v="Jim Epp"/>
        <s v="Rob Dowd"/>
        <s v="Philisse Overcash"/>
        <s v="Charles Crestani"/>
        <s v="Logan Haushalter"/>
        <s v="William Brown"/>
        <s v="Harold Pawlan"/>
        <s v="Skye Norling"/>
        <s v="Bryan Spruell"/>
        <s v="Rick Duston"/>
        <s v="Pauline Johnson"/>
        <s v="Jack Garza"/>
        <s v="Annie Thurman"/>
        <s v="Gary Zandusky"/>
        <s v="Doug Jacobs"/>
        <s v="Emily Phan"/>
        <s v="Kean Nguyen"/>
        <s v="Andy Reiter"/>
        <s v="Sanjit Chand"/>
        <s v="Cathy Hwang"/>
        <s v="Maurice Satty"/>
        <s v="Melanie Seite"/>
        <s v="Greg Tran"/>
        <s v="Thomas Thornton"/>
        <s v="Rick Wilson"/>
        <s v="Rick Hansen"/>
        <s v="Stephanie Phelps"/>
        <s v="David Flashing"/>
        <s v="Michael Grace"/>
        <s v="Mary Zewe"/>
        <s v="Alan Haines"/>
        <s v="Laura Armstrong"/>
        <s v="Kelly Collister"/>
        <s v="Patrick Ryan"/>
        <s v="Nora Pelletier"/>
        <s v="Brian Thompson"/>
        <s v="Bruce Stewart"/>
        <s v="George Bell"/>
        <s v="Ashley Jarboe"/>
        <s v="Rob Lucas"/>
        <s v="Doug O'Connell"/>
        <s v="Stuart Van"/>
        <s v="Brian Stugart"/>
        <s v="Justin Hirsh"/>
        <s v="Elpida Rittenbach"/>
        <s v="Gene McClure"/>
        <s v="Pauline Webber"/>
        <s v="Jay Kimmel"/>
        <s v="Jonathan Doherty"/>
        <s v="Adam Shillingsburg"/>
        <s v="Duane Huffman"/>
        <s v="Cyma Kinney"/>
        <s v="John Castell"/>
        <s v="Monica Federle"/>
        <s v="Christopher Martinez"/>
        <s v="Edward Becker"/>
        <s v="Bruce Degenhardt"/>
        <s v="Resi Pölking"/>
        <s v="Cindy Schnelling"/>
        <s v="Cyra Reiten"/>
        <s v="Craig Carreira"/>
        <s v="Anthony Witt"/>
        <s v="Denny Blanton"/>
        <s v="Darrin Martin"/>
        <s v="Yana Sorensen"/>
        <s v="Roy Phan"/>
        <s v="Peter Fuller"/>
        <s v="Henry MacAllister"/>
        <s v="Julie Kriz"/>
        <s v="Aaron Hawkins"/>
        <s v="Sheri Gordon"/>
        <s v="David Smith"/>
        <s v="Frank Merwin"/>
        <s v="Victor Preis"/>
        <s v="Jeremy Farry"/>
        <s v="Russell Applegate"/>
        <s v="Deirdre Greer"/>
        <s v="Roy Französisch"/>
        <s v="Annie Zypern"/>
        <s v="Tracy Blumstein"/>
        <s v="Naresj Patel"/>
        <s v="Gene Hale"/>
        <s v="Stefania Perrino"/>
        <s v="Laurel Elliston"/>
        <s v="James Galang"/>
        <s v="Dennis Kane"/>
        <s v="Dave Poirier"/>
        <s v="Penelope Sewall"/>
        <s v="Don Miller"/>
        <s v="Jay Fein"/>
        <s v="Corey Catlett"/>
        <s v="Kean Thornton"/>
        <s v="Meg O'Connel"/>
        <s v="Grace Kelly"/>
        <s v="Craig Molinari"/>
        <s v="Sample Company A"/>
        <s v="Thea Hendricks"/>
        <s v="Alyssa Tate"/>
        <s v="Jim Kriz"/>
        <s v="Paul Gonzalez"/>
        <s v="Eugene Hildebrand"/>
        <s v="John Dryer"/>
        <s v="Maribeth Dona"/>
        <s v="Stephanie Ulpright"/>
        <s v="Maxwell Schwartz"/>
        <s v="Benjamin Patterson"/>
        <s v="Rachel Payne"/>
        <s v="Chloris Kastensmidt"/>
        <s v="Giulietta Weimer"/>
        <s v="Tamara Willingham"/>
        <s v="Kunst Miller"/>
        <s v="Clay Ludtke"/>
        <s v="Tonja Turnell"/>
        <s v="Mike Pelletier"/>
        <s v="Paul Stevenson"/>
        <s v="Cynthia Arntzen"/>
        <s v="Sam Zeldin"/>
        <s v="Tom Prescott"/>
        <s v="Muhammed Lee"/>
        <s v="Cari Sayre"/>
        <s v="Todd Sumrall"/>
        <s v="Bobby Odegard"/>
        <s v="Nathan Mautz"/>
        <s v="Trudy Schmidt"/>
        <s v="Emily Ducich"/>
        <s v="Anna Gayman"/>
        <s v="Philip Brown"/>
        <s v="Marc Harrigan"/>
        <s v="Jill Fjeld"/>
        <s v="Patrick Jones"/>
        <s v="Janet Lee"/>
        <s v="Doug Bickford"/>
        <s v="Lauren Leatherbury"/>
        <s v="Bart Pistole"/>
        <s v="Nora Paige"/>
        <s v="Jessica Myrick"/>
        <s v="Emily Grady"/>
        <s v="Maya Herman"/>
        <s v="Christine Sundaresam"/>
        <s v="Russell D'Ascenzo"/>
        <s v="Maribeth Yedwab"/>
        <s v="Alex Russell"/>
        <s v="Joel Eaton"/>
        <s v="Giulietta Baptist"/>
        <s v="Dean percer"/>
        <s v="Stewart Carmichael"/>
        <s v="Corinna Mitchell"/>
        <s v="Tanja Norvell"/>
        <s v="Trudy Glocke"/>
        <s v="Amy Hunt"/>
        <s v="Paul MacIntyre"/>
        <s v="Lena Radford"/>
        <s v="Darren Budd"/>
        <s v="Evan Minnotte"/>
        <s v="Barry Blumstein"/>
        <s v="Parhena Norris"/>
        <s v="Justin Ritter"/>
        <s v="Erica Smith"/>
        <s v="Richard Eichhorn"/>
        <s v="Bill Stewart"/>
        <s v="Deanra Eno"/>
        <s v="Denise Monton"/>
        <s v="Evan Bailliet"/>
        <s v="Sandra Flanagan"/>
        <s v="Kelly Andreada"/>
        <s v="Pamela Stobb"/>
        <s v="Dan Campbell"/>
        <s v="Jill Stevenson"/>
        <s v="Saphhira Shifley"/>
        <s v="Alan Shonely"/>
        <s v="Dennis Bolton"/>
        <s v="Nathan Cano"/>
        <s v="Alan Schoenberger"/>
        <s v="Nick Zandusky"/>
        <s v="Pierre Wener"/>
        <s v="Maria Etezadi"/>
        <s v="Grant Thornton"/>
        <s v="Arthur Wiediger"/>
        <s v="Gary Hwang"/>
        <s v="Sean Miller"/>
        <s v="Justin Deggeller"/>
        <s v="Matt Connell"/>
        <s v="Jeremy Pistek"/>
        <s v="Robert Dilbeck"/>
        <s v="Barry Französisch"/>
        <s v="Katherine Ducich"/>
        <s v="Ben Ferrer"/>
        <s v="Carol Triggs"/>
        <s v="Sarah Jordon"/>
        <s v="Eugene Moren"/>
        <s v="Patrick Bzostek"/>
        <s v="Sarah Brown"/>
        <s v="Toby Swindell"/>
        <s v="Michael Granlund"/>
        <s v="Corey-Lock"/>
        <s v="Damala Kotsonis"/>
        <s v="Sam Craven"/>
        <s v="Carlos Meador"/>
        <s v="Natalie Fritzler"/>
        <s v="Chris Cortes"/>
        <s v="Mike Caudle"/>
        <s v="Katherine Murray"/>
        <s v="Michelle Huthwaite"/>
        <s v="Fred Harton"/>
        <s v="Ruben Dartt"/>
        <s v="Sally Hughsby"/>
        <s v="Brosina Hoffman"/>
        <s v="Theresa Swint"/>
        <s v="Trudy Brown"/>
        <s v="Julie Creighton"/>
        <s v="Cynthia Delaney"/>
        <s v="Guy Armstrong"/>
        <s v="Steven Roelle"/>
        <s v="Rick Reed"/>
        <s v="Cari Schnelling"/>
        <s v="Adam Bellavance"/>
        <s v="Shaun Weien"/>
        <s v="Lena Cacioppo"/>
        <s v="Chuck Clark"/>
        <s v="Maureen Gastineau"/>
        <s v="Tony Chapman"/>
        <s v="Ivan Liston"/>
        <s v="Carlos Soltero"/>
        <s v="Julie Prescott"/>
        <s v="Robert Barroso"/>
        <s v="Yoseph Carroll"/>
        <s v="Shui Tom"/>
        <s v="Pauline Chand"/>
        <s v="Sara Luxemburg"/>
        <s v="Dionis Lloyd"/>
        <s v="Alejandro Grove"/>
        <s v="Rose O'Brian"/>
        <s v="Sean Braxton"/>
        <s v="Bruce Geld"/>
        <s v="Liz Thompson"/>
        <s v="Sung Shariari"/>
        <s v="Erin Ashbrook"/>
        <s v="Alan Hwang"/>
        <s v="Karen Seio"/>
        <s v="George Ashbrook"/>
        <s v="Ruben Ausman"/>
        <s v="Xylona Preis"/>
        <s v="Max Engle"/>
        <s v="Stuart Calhoun"/>
        <s v="Tamara Chand"/>
        <s v="Raymond Messe"/>
        <s v="Matt Hagelstein"/>
        <s v="Erica Hackney"/>
        <s v="Dan Lawera"/>
        <s v="Michelle Tran"/>
        <s v="Michelle Arnett"/>
        <s v="Ken Brennan"/>
        <s v="Harold Dahlen"/>
        <s v="Rick Huthwaite"/>
        <s v="Dean Braden"/>
        <s v="Becky Castell"/>
        <s v="Kean Takahito"/>
        <s v="Becky Pak"/>
        <s v="James Lanier"/>
        <s v="Brian Dahlen"/>
        <s v="Arianne Irving"/>
        <s v="Cindy Stewart"/>
        <s v="Ralph Kennedy"/>
        <s v="Thomas Brumley"/>
        <s v="Anthony Rawles"/>
        <s v="Bryan Mills"/>
        <s v="Catherine Glotzbach"/>
        <s v="Mark Cousins"/>
        <s v="Sean O'Donnell"/>
        <s v="Adam Hart"/>
        <s v="Neoma Murray"/>
        <s v="Tim Taslimi"/>
        <s v="Sandra Glassco"/>
        <s v="Cathy Armstrong"/>
        <s v="Sonia Cooley"/>
        <s v="Dorothy Wardle"/>
        <s v="Greg Hansen"/>
        <s v="Adrian Barton"/>
        <s v="Eudokia Martin"/>
        <s v="Brendan Dodson"/>
        <s v="Maureen Gnade"/>
        <s v="Andy Gerbode"/>
        <s v="Ellis Ballard"/>
        <s v="Mitch Webber"/>
        <s v="Allen Rosenblatt"/>
        <s v="Amy Cox"/>
        <s v="Sean Christensen"/>
        <s v="Brad Thomas"/>
        <s v="Hunter Glantz"/>
        <s v="Lynn Smith"/>
        <s v="Anthony Jacobs"/>
        <s v="Ben Peterman"/>
        <s v="Aleksandra Gannaway"/>
        <s v="Stefanie Holloman"/>
        <s v="Valerie Takahito"/>
        <s v="Aimee Bixby"/>
        <s v="Dario Medina"/>
        <s v="Art Ferguson"/>
        <s v="Seth Vernon"/>
        <s v="Michelle Ellison"/>
        <s v="Joni Blumstein"/>
        <s v="Ed Jacobs"/>
        <s v="Liz MacKendrick"/>
        <s v="Neil Französisch"/>
        <s v="Joni Sundaresam"/>
        <s v="Jim Radford"/>
        <s v="Alice McCarthy"/>
        <s v="Brendan Sweed"/>
        <s v="Jane Waco"/>
        <s v="Lindsay Shagiari"/>
        <s v="Christopher Schild"/>
        <s v="Michael Oakman"/>
        <s v="Larry Tron"/>
        <s v="Claire Gute"/>
        <s v="Julia Dunbar"/>
        <s v="John Stevenson"/>
        <s v="Speros Goranitis"/>
        <s v="Ken Dana"/>
        <s v="Patrick Gardner"/>
        <s v="Nat Gilpin"/>
        <s v="Peter McVee"/>
        <s v="Christy Brittain"/>
        <s v="Greg Guthrie"/>
        <s v="Lena Hernandez"/>
        <s v="Jennifer Patt"/>
        <s v="John Lee"/>
        <s v="Mike Gockenbach"/>
        <s v="Nancy Lomonaco"/>
        <s v="Neil Ducich"/>
        <s v="Michelle Moray"/>
        <s v="Ann Steele"/>
        <s v="Edward Hooks"/>
        <s v="Ross Baird"/>
        <s v="Michael Moore"/>
        <s v="Roland Schwarz"/>
        <s v="Thais Sissman"/>
        <s v="Harry Greene"/>
        <s v="Katrina Edelman"/>
        <s v="Joni Wasserman"/>
        <s v="Steve Carroll"/>
        <s v="Gary Hansen"/>
        <s v="Anne Pryor"/>
        <s v="Vivek Sundaresam"/>
        <s v="Frank Preis"/>
        <s v="Khloe Miller"/>
      </sharedItems>
    </cacheField>
    <cacheField name="State" numFmtId="0">
      <sharedItems>
        <s v="New York"/>
        <s v="California"/>
        <s v="Florida"/>
        <s v="Arizona"/>
        <s v="Texas"/>
        <s v="Virginia"/>
        <s v="Michigan"/>
        <s v="New Mexico"/>
        <s v="Georgia"/>
        <s v="Utah"/>
        <s v="Illinois"/>
        <s v="Washington"/>
        <s v="Pennsylvania"/>
        <s v="South Carolina"/>
        <s v="Kentucky"/>
        <s v="Nevada"/>
        <s v="North Carolina"/>
        <s v="Indiana"/>
        <s v="Delaware"/>
        <s v="Ohio"/>
        <s v="Mississippi"/>
        <s v="Wisconsin"/>
        <s v="Montana"/>
        <s v="Minnesota"/>
        <s v="Massachusetts"/>
        <s v="New Jersey"/>
        <s v="Kansas"/>
        <s v="Tennessee"/>
        <s v="Nebraska"/>
        <s v="Alabama"/>
        <s v="Missouri"/>
        <s v="Colorado"/>
        <s v="Arkansas"/>
        <s v="South Dakota"/>
        <s v="Oklahoma"/>
        <s v="Maryland"/>
        <s v="Rhode Island"/>
        <s v="Oregon"/>
        <s v="Connecticut"/>
        <s v="Maine"/>
        <s v="Louisiana"/>
        <s v="Corporate"/>
        <s v="Home Office"/>
        <s v="Consumer"/>
        <s v="Idaho"/>
        <s v="New Hampshire"/>
        <s v="Iowa"/>
      </sharedItems>
    </cacheField>
    <cacheField name="Region" numFmtId="0">
      <sharedItems>
        <s v="East"/>
        <s v="West"/>
        <s v="South"/>
        <s v="Central"/>
      </sharedItems>
    </cacheField>
    <cacheField name="Sales" numFmtId="4">
      <sharedItems containsSemiMixedTypes="0" containsString="0" containsNumber="1">
        <n v="377.97"/>
        <n v="502.488"/>
        <n v="91.056"/>
        <n v="3.928"/>
        <n v="2.368"/>
        <n v="14.62"/>
        <n v="2.688"/>
        <n v="99.98"/>
        <n v="151.92"/>
        <n v="18.75"/>
        <n v="321.552"/>
        <n v="302.376"/>
        <n v="8.56"/>
        <n v="194.7"/>
        <n v="166.44"/>
        <n v="2.394"/>
        <n v="100.704"/>
        <n v="13.36"/>
        <n v="296.712"/>
        <n v="269.36"/>
        <n v="8.016"/>
        <n v="59.92"/>
        <n v="69.99"/>
        <n v="397.6"/>
        <n v="40.68"/>
        <n v="1.869"/>
        <n v="34.44"/>
        <n v="7.184"/>
        <n v="48.94"/>
        <n v="29.24"/>
        <n v="36.99"/>
        <n v="120.712"/>
        <n v="88.8"/>
        <n v="40.08"/>
        <n v="91.96"/>
        <n v="7.52"/>
        <n v="15.552"/>
        <n v="22.96"/>
        <n v="5.312"/>
        <n v="3.69"/>
        <n v="331.536"/>
        <n v="56.52"/>
        <n v="39.96"/>
        <n v="19.52"/>
        <n v="10.68"/>
        <n v="149.95"/>
        <n v="779.796"/>
        <n v="12.96"/>
        <n v="25.584"/>
        <n v="719.952"/>
        <n v="10.896"/>
        <n v="62.28"/>
        <n v="1007.944"/>
        <n v="63.924"/>
        <n v="6.936"/>
        <n v="16.448"/>
        <n v="5.95"/>
        <n v="58.112"/>
        <n v="30.28"/>
        <n v="323.976"/>
        <n v="6.28"/>
        <n v="457.568"/>
        <n v="306.2"/>
        <n v="65.97"/>
        <n v="59.808"/>
        <n v="20.65"/>
        <n v="12.984"/>
        <n v="60.416"/>
        <n v="31.84"/>
        <n v="17.248"/>
        <n v="21.98"/>
        <n v="34.68"/>
        <n v="196.776"/>
        <n v="18.9"/>
        <n v="7.36"/>
        <n v="30.48"/>
        <n v="6.928"/>
        <n v="76.728"/>
        <n v="626.352"/>
        <n v="70.368"/>
        <n v="665.88"/>
        <n v="1049.97"/>
        <n v="12.78"/>
        <n v="268.935"/>
        <n v="11.91"/>
        <n v="1113.024"/>
        <n v="11.34"/>
        <n v="264.32"/>
        <n v="8.288"/>
        <n v="1261.33"/>
        <n v="24.56"/>
        <n v="310.88"/>
        <n v="475.944"/>
        <n v="180.96"/>
        <n v="46.26"/>
        <n v="82.896"/>
        <n v="6.528"/>
        <n v="34.86"/>
        <n v="11.36"/>
        <n v="23.472"/>
        <n v="73.98"/>
        <n v="16.176"/>
        <n v="115.36"/>
        <n v="257.98"/>
        <n v="561.584"/>
        <n v="5.88"/>
        <n v="13.28"/>
        <n v="68.48"/>
        <n v="8.952"/>
        <n v="9.408"/>
        <n v="36.288"/>
        <n v="1421.664"/>
        <n v="10.368"/>
        <n v="136.96"/>
        <n v="55.984"/>
        <n v="91.36"/>
        <n v="17.28"/>
        <n v="20.04"/>
        <n v="32.4"/>
        <n v="545.94"/>
        <n v="196.21"/>
        <n v="62.31"/>
        <n v="386.34"/>
        <n v="23.744"/>
        <n v="35.98"/>
        <n v="806.336"/>
        <n v="17.94"/>
        <n v="27.36"/>
        <n v="10.688"/>
        <n v="23.976"/>
        <n v="135.99"/>
        <n v="93.888"/>
        <n v="249.75"/>
        <n v="127.869"/>
        <n v="23.68"/>
        <n v="275.97"/>
        <n v="25.248"/>
        <n v="20.88"/>
        <n v="87.08"/>
        <n v="83.92"/>
        <n v="25.92"/>
        <n v="24.9"/>
        <n v="287.968"/>
        <n v="45.48"/>
        <n v="83.84"/>
        <n v="29.68"/>
        <n v="3.424"/>
        <n v="1367.84"/>
        <n v="5.742"/>
        <n v="300.416"/>
        <n v="114.2"/>
        <n v="13.92"/>
        <n v="48.91"/>
        <n v="1198.33"/>
        <n v="37.84"/>
        <n v="11.88"/>
        <n v="10.048"/>
        <n v="119.96"/>
        <n v="11.16"/>
        <n v="11.784"/>
        <n v="0.852"/>
        <n v="1.167"/>
        <n v="127.95"/>
        <n v="182.94"/>
        <n v="11.85"/>
        <n v="9.568"/>
        <n v="319.968"/>
        <n v="14.304"/>
        <n v="12.54"/>
        <n v="449.15"/>
        <n v="81.92"/>
        <n v="90.24"/>
        <n v="279.456"/>
        <n v="340.116"/>
        <n v="634.116"/>
        <n v="55.48"/>
        <n v="41.4"/>
        <n v="18.464"/>
        <n v="2.88"/>
        <n v="349.965"/>
        <n v="68.704"/>
        <n v="273.568"/>
        <n v="7.31"/>
        <n v="500.24"/>
        <n v="337.088"/>
        <n v="149.97"/>
        <n v="33.088"/>
        <n v="53.316"/>
        <n v="14.52"/>
        <n v="146.76"/>
        <n v="153.824"/>
        <n v="26.136"/>
        <n v="605.34"/>
        <n v="16.704"/>
        <n v="290.666"/>
        <n v="40.096"/>
        <n v="14.48"/>
        <n v="62.91"/>
        <n v="127.104"/>
        <n v="48.86"/>
        <n v="46.384"/>
        <n v="2.624"/>
        <n v="2.97"/>
        <n v="67.88"/>
        <n v="354.9"/>
        <n v="3785.292"/>
        <n v="4.224"/>
        <n v="186.304"/>
        <n v="1799.97"/>
        <n v="6.16"/>
        <n v="21.4"/>
        <n v="63.47"/>
        <n v="99.2"/>
        <n v="13.44"/>
        <n v="17.544"/>
        <n v="129.92"/>
        <n v="11.52"/>
        <n v="6.57"/>
        <n v="2715.93"/>
        <n v="46.8"/>
        <n v="429.9"/>
        <n v="37.408"/>
        <n v="8.736"/>
        <n v="19.98"/>
        <n v="93.78"/>
        <n v="20.94"/>
        <n v="20.86"/>
        <n v="3.76"/>
        <n v="79.968"/>
        <n v="1117.92"/>
        <n v="17.472"/>
        <n v="2934.33"/>
        <n v="8.544"/>
        <n v="5.76"/>
        <n v="123.92"/>
        <n v="177.536"/>
        <n v="11.56"/>
        <n v="245.88"/>
        <n v="493.43"/>
        <n v="25.5"/>
        <n v="2807.84"/>
        <n v="6.368"/>
        <n v="799.92"/>
        <n v="152.76"/>
        <n v="4.344"/>
        <n v="330.4"/>
        <n v="19.432"/>
        <n v="87.54"/>
        <n v="43.68"/>
        <n v="3.9"/>
        <n v="8.376"/>
        <n v="783.96"/>
        <n v="998.85"/>
        <n v="140.736"/>
        <n v="10.72"/>
        <n v="239.97"/>
        <n v="172.11"/>
        <n v="247.84"/>
        <n v="111.15"/>
        <n v="17.856"/>
        <n v="1.08"/>
        <n v="52.96"/>
        <n v="25.128"/>
        <n v="19.68"/>
        <n v="479.96"/>
        <n v="64.784"/>
        <n v="5.248"/>
        <n v="16.78"/>
        <n v="575.968"/>
        <n v="3.912"/>
        <n v="176.8"/>
        <n v="259.136"/>
        <n v="7.752"/>
        <n v="123.144"/>
        <n v="211.96"/>
        <n v="18.336"/>
        <n v="64.864"/>
        <n v="26.046"/>
        <n v="139.8"/>
        <n v="40.05"/>
        <n v="8.96"/>
        <n v="87.96"/>
        <n v="1403.92"/>
        <n v="10.78"/>
        <n v="567.12"/>
        <n v="39.48"/>
        <n v="549.99"/>
        <n v="66.03"/>
        <n v="479.984"/>
        <n v="501.81"/>
        <n v="579.95"/>
        <n v="137.54"/>
        <n v="238.0"/>
        <n v="489.23"/>
        <n v="279.96"/>
        <n v="35.856"/>
        <n v="1395.54"/>
        <n v="96.256"/>
        <n v="232.88"/>
        <n v="14.4"/>
        <n v="25.96"/>
        <n v="348.488"/>
        <n v="832.93"/>
        <n v="9.96"/>
        <n v="21.728"/>
        <n v="14.56"/>
        <n v="666.344"/>
        <n v="629.95"/>
        <n v="86.376"/>
        <n v="13.16"/>
        <n v="25.68"/>
        <n v="2.502"/>
        <n v="5.184"/>
        <n v="1089.75"/>
        <n v="53.94"/>
        <n v="911.984"/>
        <n v="38.976"/>
        <n v="15.696"/>
        <n v="36.544"/>
        <n v="12.35"/>
        <n v="12.096"/>
        <n v="34.79"/>
        <n v="56.064"/>
        <n v="129.98"/>
        <n v="67.344"/>
        <n v="49.568"/>
        <n v="24.672"/>
        <n v="4.608"/>
        <n v="35.91"/>
        <n v="10.11"/>
        <n v="310.12"/>
        <n v="234.45"/>
        <n v="5.96"/>
        <n v="126.624"/>
        <n v="41.94"/>
        <n v="21.24"/>
        <n v="9.99"/>
        <n v="673.568"/>
        <n v="1322.93"/>
        <n v="2152.776"/>
        <n v="6.56"/>
        <n v="22.98"/>
        <n v="7.64"/>
        <n v="10.95"/>
        <n v="45.0"/>
        <n v="604.656"/>
        <n v="93.024"/>
        <n v="16.23"/>
        <n v="539.964"/>
        <n v="4.992"/>
        <n v="27.888"/>
        <n v="48.4"/>
        <n v="12.39"/>
        <n v="7.712"/>
        <n v="445.802"/>
        <n v="9.94"/>
        <n v="34.2"/>
        <n v="21.56"/>
        <n v="176.772"/>
        <n v="1125.488"/>
        <n v="41.88"/>
        <n v="9.264"/>
        <n v="19.65"/>
        <n v="10.332"/>
        <n v="34.272"/>
        <n v="19.44"/>
        <n v="7.08"/>
        <n v="7.632"/>
        <n v="9.84"/>
        <n v="57.69"/>
        <n v="18.84"/>
        <n v="58.2"/>
        <n v="205.666"/>
        <n v="123.136"/>
        <n v="1679.96"/>
        <n v="76.12"/>
        <n v="95.968"/>
        <n v="14.32"/>
        <n v="122.94"/>
        <n v="15.0"/>
        <n v="2001.86"/>
        <n v="36.4"/>
        <n v="52.064"/>
        <n v="585.552"/>
        <n v="49.98"/>
        <n v="15.36"/>
        <n v="1441.3"/>
        <n v="92.52"/>
        <n v="107.44"/>
        <n v="119.8"/>
        <n v="13.97"/>
        <n v="159.98"/>
        <n v="289.24"/>
        <n v="5.47"/>
        <n v="49.12"/>
        <n v="8.226"/>
        <n v="15.84"/>
        <n v="11.76"/>
        <n v="195.64"/>
        <n v="47.79"/>
        <n v="218.75"/>
        <n v="43.92"/>
        <n v="7.992"/>
        <n v="11.808"/>
        <n v="26.46"/>
        <n v="3.984"/>
        <n v="17.46"/>
        <n v="10.56"/>
        <n v="101.96"/>
        <n v="559.992"/>
        <n v="43.176"/>
        <n v="43.512"/>
        <n v="744.1"/>
        <n v="18.24"/>
        <n v="9.09"/>
        <n v="53.82"/>
        <n v="9.344"/>
        <n v="45.68"/>
        <n v="515.88"/>
        <n v="109.92"/>
        <n v="40.176"/>
        <n v="57.408"/>
        <n v="5.04"/>
        <n v="828.84"/>
        <n v="44.46"/>
        <n v="122.48"/>
        <n v="647.84"/>
        <n v="44.91"/>
        <n v="31.984"/>
        <n v="890.841"/>
        <n v="199.98"/>
        <n v="286.344"/>
        <n v="88.768"/>
        <n v="30.96"/>
        <n v="27.968"/>
        <n v="14.94"/>
        <n v="30.672"/>
        <n v="73.915"/>
        <n v="13.904"/>
        <n v="144.6"/>
        <n v="24.896"/>
        <n v="66.96"/>
        <n v="66.3"/>
        <n v="52.512"/>
        <n v="51.968"/>
        <n v="21.84"/>
        <n v="8.64"/>
        <n v="758.352"/>
        <n v="46.864"/>
        <n v="1113.504"/>
        <n v="14.67"/>
        <n v="14.9"/>
        <n v="40.776"/>
        <n v="18.264"/>
        <n v="5.484"/>
        <n v="9.936"/>
        <n v="7.408"/>
        <n v="8.608"/>
        <n v="79.4"/>
        <n v="7.104"/>
        <n v="6.912"/>
        <n v="34.74"/>
        <n v="122.352"/>
        <n v="719.976"/>
        <n v="212.94"/>
        <n v="575.928"/>
        <n v="468.9"/>
        <n v="447.944"/>
        <n v="41.472"/>
        <n v="69.216"/>
        <n v="62.94"/>
        <n v="4.32"/>
        <n v="33.552"/>
        <n v="67.15"/>
        <n v="15.28"/>
        <n v="1737.18"/>
        <n v="14.576"/>
        <n v="43.31"/>
        <n v="795.408"/>
        <n v="104.85"/>
        <n v="1214.85"/>
        <n v="19.536"/>
        <n v="3.36"/>
        <n v="5.98"/>
        <n v="196.752"/>
        <n v="207.24"/>
        <n v="132.16"/>
        <n v="121.792"/>
        <n v="51.96"/>
        <n v="5.7"/>
        <n v="853.092"/>
        <n v="25.984"/>
        <n v="39.68"/>
        <n v="61.96"/>
        <n v="15.384"/>
        <n v="271.9"/>
        <n v="998.82"/>
        <n v="116.28"/>
        <n v="40.48"/>
        <n v="135.98"/>
        <n v="342.864"/>
        <n v="53.72"/>
        <n v="102.624"/>
        <n v="39.88"/>
        <n v="491.55"/>
        <n v="103.6"/>
        <n v="6.24"/>
        <n v="4548.81"/>
        <n v="340.92"/>
        <n v="5.97"/>
        <n v="5.46"/>
        <n v="604.752"/>
        <n v="821.3"/>
        <n v="49.25"/>
        <n v="6999.96"/>
        <n v="13.0"/>
        <n v="355.455"/>
        <n v="479.9"/>
        <n v="17.904"/>
        <n v="25.3"/>
        <n v="6.48"/>
        <n v="32.34"/>
        <n v="334.768"/>
        <n v="3.488"/>
        <n v="172.764"/>
        <n v="47.992"/>
        <n v="216.4"/>
        <n v="13.62"/>
        <n v="204.6"/>
        <n v="5.92"/>
        <n v="5.94"/>
        <n v="230.28"/>
        <n v="478.48"/>
        <n v="28.8"/>
        <n v="16.224"/>
        <n v="74.352"/>
        <n v="11.12"/>
        <n v="946.764"/>
        <n v="6.642"/>
        <n v="366.786"/>
        <n v="19.36"/>
        <n v="91.68"/>
        <n v="88.776"/>
        <n v="443.92"/>
        <n v="5.104"/>
        <n v="2.89"/>
        <n v="62.808"/>
        <n v="26.7"/>
        <n v="35.34"/>
        <n v="232.55"/>
        <n v="103.936"/>
        <n v="273.96"/>
        <n v="142.776"/>
        <n v="250.26"/>
        <n v="1573.488"/>
        <n v="63.882"/>
        <n v="46.872"/>
        <n v="16.36"/>
        <n v="221.16"/>
        <n v="99.592"/>
        <n v="659.988"/>
        <n v="49.632"/>
        <n v="98.376"/>
        <n v="11.96"/>
        <n v="177.0"/>
        <n v="20.736"/>
        <n v="121.376"/>
        <n v="239.976"/>
        <n v="100.24"/>
        <n v="56.96"/>
        <n v="2.816"/>
        <n v="1212.96"/>
        <n v="310.688"/>
        <n v="1793.98"/>
        <n v="19.752"/>
        <n v="91.92"/>
        <n v="447.86"/>
        <n v="69.52"/>
        <n v="574.91"/>
        <n v="4.368"/>
        <n v="12.624"/>
        <n v="23.92"/>
        <n v="19.92"/>
        <n v="14.45"/>
        <n v="6.72"/>
        <n v="70.95"/>
        <n v="35.168"/>
        <n v="1013.832"/>
        <n v="14.04"/>
        <n v="15.56"/>
        <n v="258.279"/>
        <n v="575.92"/>
        <n v="60.72"/>
        <n v="45.528"/>
        <n v="54.208"/>
        <n v="2.92"/>
        <n v="164.88"/>
        <n v="1075.088"/>
        <n v="2735.952"/>
        <n v="375.34"/>
        <n v="423.28"/>
        <n v="6.58"/>
        <n v="1325.76"/>
        <n v="170.058"/>
        <n v="39.072"/>
        <n v="2.992"/>
        <n v="27.46"/>
        <n v="42.208"/>
        <n v="11.64"/>
        <n v="23.968"/>
        <n v="19.456"/>
        <n v="700.056"/>
        <n v="97.44"/>
        <n v="31.104"/>
        <n v="30.36"/>
        <n v="62.016"/>
        <n v="48.712"/>
        <n v="487.984"/>
        <n v="7.16"/>
        <n v="155.456"/>
        <n v="6.08"/>
        <n v="1325.85"/>
        <n v="89.712"/>
        <n v="471.92"/>
        <n v="34.77"/>
        <n v="19.9"/>
        <n v="479.97"/>
        <n v="143.432"/>
        <n v="31.92"/>
        <n v="225.296"/>
        <n v="16.52"/>
        <n v="169.45"/>
        <n v="503.96"/>
        <n v="559.71"/>
        <n v="108.92"/>
        <n v="601.536"/>
        <n v="4.448"/>
        <n v="58.05"/>
        <n v="151.72"/>
        <n v="83.25"/>
        <n v="111.93"/>
        <n v="142.4"/>
        <n v="683.144"/>
        <n v="447.84"/>
        <n v="15.24"/>
        <n v="149.544"/>
        <n v="105.52"/>
        <n v="158.13"/>
        <n v="4.272"/>
        <n v="12.448"/>
        <n v="5.67"/>
        <n v="5.22"/>
        <n v="174.95"/>
        <n v="190.848"/>
        <n v="18.06"/>
        <n v="177.68"/>
        <n v="45.248"/>
        <n v="464.292"/>
        <n v="392.94"/>
        <n v="4.464"/>
        <n v="512.358"/>
        <n v="335.72"/>
        <n v="63.92"/>
        <n v="12.72"/>
        <n v="5.68"/>
        <n v="32.952"/>
        <n v="646.2"/>
        <n v="3499.93"/>
        <n v="32.97"/>
        <n v="192.186"/>
        <n v="3.392"/>
        <n v="767.214"/>
        <n v="292.1"/>
        <n v="177.2"/>
        <n v="139.44"/>
        <n v="3.16"/>
        <n v="15.936"/>
        <n v="13.494"/>
        <n v="145.98"/>
        <n v="149.232"/>
        <n v="99.136"/>
        <n v="143.952"/>
        <n v="263.96"/>
        <n v="320.88"/>
        <n v="245.98"/>
        <n v="9.912"/>
        <n v="7.872"/>
        <n v="135.882"/>
        <n v="896.99"/>
        <n v="4.984"/>
        <n v="3.648"/>
        <n v="48.36"/>
        <n v="8.85"/>
        <n v="21.36"/>
        <n v="58.32"/>
        <n v="32.76"/>
        <n v="659.97"/>
        <n v="16.14"/>
        <n v="24.816"/>
        <n v="9.42"/>
        <n v="1091.168"/>
        <n v="164.85"/>
        <n v="1.98"/>
        <n v="421.372"/>
        <n v="39.128"/>
        <n v="164.22"/>
        <n v="201.584"/>
        <n v="8.32"/>
        <n v="589.41"/>
        <n v="303.25"/>
        <n v="10.98"/>
        <n v="55.5"/>
        <n v="2573.82"/>
        <n v="111.79"/>
        <n v="199.9"/>
        <n v="7.83"/>
        <n v="178.384"/>
        <n v="13.98"/>
        <n v="887.103"/>
        <n v="6.096"/>
        <n v="44.4"/>
        <n v="137.352"/>
        <n v="60.89"/>
        <n v="191.88"/>
        <n v="764.688"/>
        <n v="56.65"/>
        <n v="11.352"/>
        <n v="2177.584"/>
        <n v="49.65"/>
        <n v="59.52"/>
        <n v="1.365"/>
        <n v="76.14"/>
        <n v="276.28"/>
        <n v="8.448"/>
        <n v="328.59"/>
        <n v="2060.744"/>
        <n v="29.808"/>
        <n v="653.55"/>
        <n v="36.36"/>
        <n v="509.9575"/>
        <n v="31.5"/>
        <n v="60.45"/>
        <n v="11.61"/>
        <n v="17.48"/>
        <n v="109.764"/>
        <n v="7.04"/>
        <n v="3.576"/>
        <n v="255.968"/>
        <n v="5.904"/>
        <n v="47.952"/>
        <n v="370.14"/>
        <n v="20.8"/>
        <n v="47.984"/>
        <n v="77.24"/>
        <n v="32.94"/>
        <n v="64.2"/>
        <n v="1548.99"/>
        <n v="283.92"/>
        <n v="9.762"/>
        <n v="9.26"/>
        <n v="199.74"/>
        <n v="12.0"/>
        <n v="899.136"/>
        <n v="15.984"/>
        <n v="3080.0"/>
        <n v="801.96"/>
        <n v="106.5"/>
        <n v="18.176"/>
        <n v="24.588"/>
        <n v="190.72"/>
        <n v="239.94"/>
        <n v="9.522"/>
        <n v="16.4"/>
        <n v="74.52"/>
        <n v="34.65"/>
        <n v="13.9"/>
        <n v="119.56"/>
        <n v="14.91"/>
        <n v="4.728"/>
        <n v="899.91"/>
        <n v="687.4"/>
        <n v="19.824"/>
        <n v="146.73"/>
        <n v="95.84"/>
        <n v="105.98"/>
        <n v="192.22"/>
        <n v="85.056"/>
        <n v="13.12"/>
        <n v="12.176"/>
        <n v="57.504"/>
        <n v="85.52"/>
        <n v="114.6"/>
        <n v="366.744"/>
        <n v="24.78"/>
        <n v="9.872"/>
        <n v="79.872"/>
        <n v="35.36"/>
        <n v="368.91"/>
        <n v="17.64"/>
        <n v="39.98"/>
        <n v="16.146"/>
        <n v="13.96"/>
        <n v="27.696"/>
        <n v="512.94"/>
        <n v="11.65"/>
        <n v="246.1328"/>
        <n v="61.06"/>
        <n v="79.36"/>
        <n v="10.16"/>
        <n v="27.42"/>
        <n v="53.088"/>
        <n v="12.576"/>
        <n v="241.568"/>
        <n v="1044.63"/>
        <n v="51.84"/>
        <n v="12.536"/>
        <n v="39.92"/>
        <n v="5.344"/>
        <n v="6.848"/>
        <n v="191.96"/>
        <n v="80.96"/>
        <n v="3.408"/>
        <n v="470.36"/>
        <n v="301.96"/>
        <n v="31.504"/>
        <n v="131.98"/>
        <n v="106.68"/>
        <n v="466.158"/>
        <n v="25.488"/>
        <n v="60.736"/>
        <n v="10.92"/>
        <n v="44.43"/>
        <n v="94.74"/>
        <n v="29.34"/>
        <n v="41.96"/>
        <n v="182.72"/>
        <n v="103.92"/>
        <n v="467.04"/>
        <n v="45.36"/>
        <n v="158.99"/>
        <n v="33.4"/>
        <n v="787.53"/>
        <n v="946.344"/>
        <n v="15.02"/>
        <n v="671.93"/>
        <n v="824.97"/>
        <n v="232.4"/>
        <n v="541.24"/>
        <n v="299.94"/>
        <n v="344.372"/>
        <n v="113.1"/>
        <n v="52.59"/>
        <n v="2676.672"/>
        <n v="51.588"/>
        <n v="85.14"/>
        <n v="115.296"/>
        <n v="519.96"/>
        <n v="9.24"/>
        <n v="52.2"/>
        <n v="4.419"/>
        <n v="41.568"/>
        <n v="335.52"/>
        <n v="50.0"/>
        <n v="5.28"/>
        <n v="1552.831"/>
        <n v="71.12"/>
        <n v="11.952"/>
        <n v="1199.96"/>
        <n v="1247.64"/>
        <n v="418.32"/>
        <n v="10.476"/>
        <n v="50.8"/>
        <n v="31.95"/>
        <n v="171.96"/>
        <n v="59.904"/>
        <n v="33.488"/>
        <n v="119.04"/>
        <n v="50.88"/>
        <n v="644.076"/>
        <n v="206.43"/>
        <n v="307.168"/>
        <n v="277.5"/>
        <n v="17.568"/>
        <n v="6.732"/>
        <n v="13.52"/>
        <n v="843.9"/>
        <n v="250.272"/>
        <n v="238.152"/>
        <n v="10.74"/>
        <n v="1348.704"/>
        <n v="7.656"/>
        <n v="38.28"/>
        <n v="8.352"/>
        <n v="29.22"/>
        <n v="141.96"/>
        <n v="83.72"/>
        <n v="31.68"/>
        <n v="84.96"/>
        <n v="107.982"/>
        <n v="46.2"/>
        <n v="311.98"/>
        <n v="21.34"/>
        <n v="199.96"/>
        <n v="56.3"/>
        <n v="38.22"/>
        <n v="25.9"/>
        <n v="143.96"/>
        <n v="20.96"/>
        <n v="63.824"/>
        <n v="4297.644"/>
        <n v="8.856"/>
        <n v="4.928"/>
        <n v="35.208"/>
        <n v="26.424"/>
        <n v="4404.9"/>
        <n v="113.328"/>
        <n v="5.0"/>
        <n v="353.88"/>
        <n v="589.9"/>
        <n v="194.32"/>
        <n v="12.224"/>
        <n v="14.73"/>
        <n v="25.99"/>
        <n v="359.058"/>
        <n v="387.136"/>
        <n v="129.93"/>
        <n v="271.44"/>
        <n v="6.63"/>
        <n v="28.752"/>
        <n v="51.45"/>
        <n v="29.04"/>
        <n v="198.272"/>
        <n v="106.32"/>
        <n v="16.9"/>
        <n v="275.058"/>
        <n v="30.08"/>
        <n v="46.152"/>
        <n v="54.384"/>
        <n v="1252.704"/>
        <n v="55.424"/>
        <n v="23.904"/>
        <n v="106.232"/>
        <n v="121.104"/>
        <n v="912.75"/>
        <n v="32.784"/>
        <n v="51.072"/>
        <n v="5.64"/>
        <n v="17.43"/>
        <n v="962.08"/>
        <n v="2567.84"/>
        <n v="186.732"/>
        <n v="68.94"/>
        <n v="6.336"/>
        <n v="152.688"/>
        <n v="293.52"/>
        <n v="6.608"/>
        <n v="6.264"/>
        <n v="892.35"/>
        <n v="73.28"/>
        <n v="26.96"/>
        <n v="23.52"/>
        <n v="19.56"/>
        <n v="137.62"/>
        <n v="64.75"/>
        <n v="1123.92"/>
        <n v="36.84"/>
        <n v="715.64"/>
        <n v="227.36"/>
        <n v="12.56"/>
        <n v="17.52"/>
        <n v="152.991"/>
        <n v="70.12"/>
        <n v="191.5155"/>
        <n v="64.17"/>
        <n v="128.85"/>
        <n v="47.516"/>
        <n v="482.34"/>
        <n v="201.568"/>
        <n v="3.328"/>
        <n v="77.952"/>
        <n v="2625.12"/>
        <n v="883.84"/>
        <n v="113.52"/>
        <n v="107.976"/>
        <n v="48.632"/>
        <n v="299.9"/>
        <n v="26.982"/>
        <n v="10.512"/>
        <n v="72.744"/>
        <n v="619.95"/>
        <n v="15.48"/>
        <n v="22.74"/>
        <n v="389.97"/>
        <n v="42.048"/>
        <n v="132.79"/>
        <n v="86.272"/>
        <n v="2309.65"/>
        <n v="58.38"/>
        <n v="212.64"/>
        <n v="796.425"/>
        <n v="15.008"/>
        <n v="99.372"/>
        <n v="107.97"/>
        <n v="41.9"/>
        <n v="447.93"/>
        <n v="67.36"/>
        <n v="7.38"/>
        <n v="3.44"/>
        <n v="31.05"/>
        <n v="154.9"/>
        <n v="120.666"/>
        <n v="24.64"/>
        <n v="484.65"/>
        <n v="2.48"/>
        <n v="383.607"/>
        <n v="76.64"/>
        <n v="415.968"/>
        <n v="327.564"/>
        <n v="2.808"/>
        <n v="60.984"/>
        <n v="90.882"/>
        <n v="36.624"/>
        <n v="434.352"/>
        <n v="17.22"/>
        <n v="79.99"/>
        <n v="85.3"/>
        <n v="2.512"/>
        <n v="266.352"/>
        <n v="249.584"/>
        <n v="10.02"/>
        <n v="269.49"/>
        <n v="8.688"/>
        <n v="70.98"/>
        <n v="4.96"/>
        <n v="10.944"/>
        <n v="20.104"/>
        <n v="8.22"/>
        <n v="30.84"/>
        <n v="21.48"/>
        <n v="70.97"/>
        <n v="39.66"/>
        <n v="21.12"/>
        <n v="339.96"/>
        <n v="166.92"/>
        <n v="221.96"/>
        <n v="186.15"/>
        <n v="22.288"/>
        <n v="3.75"/>
        <n v="323.1"/>
        <n v="613.9992"/>
        <n v="31.44"/>
        <n v="31.56"/>
        <n v="221.024"/>
        <n v="586.398"/>
        <n v="11.736"/>
        <n v="19.0"/>
        <n v="3.96"/>
        <n v="411.332"/>
        <n v="8.652"/>
        <n v="582.336"/>
        <n v="6.36"/>
        <n v="36.63"/>
        <n v="141.76"/>
        <n v="1038.84"/>
        <n v="4.95"/>
        <n v="98.352"/>
        <n v="307.98"/>
        <n v="72.78"/>
        <n v="207.0"/>
        <n v="14.28"/>
        <n v="166.24"/>
        <n v="170.136"/>
        <n v="47.82"/>
        <n v="29.9"/>
        <n v="21.968"/>
        <n v="485.94"/>
        <n v="50.112"/>
        <n v="453.576"/>
        <n v="8.568"/>
        <n v="26.88"/>
        <n v="182.91"/>
        <n v="362.136"/>
        <n v="210.68"/>
        <n v="148.32"/>
        <n v="61.792"/>
        <n v="2.78"/>
        <n v="15.8"/>
        <n v="12.144"/>
        <n v="51.52"/>
        <n v="22.368"/>
        <n v="83.7"/>
        <n v="60.84"/>
        <n v="64.68"/>
        <n v="66.294"/>
        <n v="3.552"/>
        <n v="22.92"/>
        <n v="55.328"/>
        <n v="22.2"/>
        <n v="10.744"/>
        <n v="3.444"/>
        <n v="166.5"/>
        <n v="110.528"/>
        <n v="204.85"/>
        <n v="142.04"/>
        <n v="1801.632"/>
        <n v="135.72"/>
        <n v="105.42"/>
        <n v="64.944"/>
        <n v="152.94"/>
        <n v="24.4"/>
        <n v="152.8"/>
        <n v="45.99"/>
        <n v="1022.97"/>
        <n v="35.52"/>
        <n v="79.92"/>
        <n v="269.982"/>
        <n v="279.86"/>
        <n v="67.96"/>
        <n v="68.52"/>
        <n v="360.712"/>
        <n v="179.82"/>
        <n v="191.968"/>
        <n v="175.23"/>
        <n v="322.59"/>
        <n v="10.272"/>
        <n v="9.156"/>
        <n v="89.696"/>
        <n v="199.836"/>
        <n v="7.824"/>
        <n v="167.86"/>
        <n v="43.98"/>
        <n v="850.5"/>
        <n v="2.934"/>
        <n v="100.8"/>
        <n v="79.96"/>
        <n v="2003.92"/>
        <n v="3.28"/>
        <n v="63.936"/>
        <n v="244.006"/>
        <n v="70.008"/>
        <n v="8.4"/>
        <n v="37.94"/>
        <n v="37.6"/>
        <n v="23.66"/>
        <n v="4.752"/>
        <n v="569.64"/>
        <n v="33.36"/>
        <n v="106.8"/>
        <n v="13.092"/>
        <n v="538.92"/>
        <n v="195.466"/>
        <n v="197.72"/>
        <n v="8.72"/>
        <n v="845.728"/>
        <n v="206.962"/>
        <n v="217.584"/>
        <n v="623.96"/>
        <n v="179.886"/>
        <n v="284.364"/>
        <n v="263.88"/>
        <n v="128.744"/>
        <n v="116.4"/>
        <n v="463.248"/>
        <n v="257.64"/>
        <n v="11.212"/>
        <n v="1212.848"/>
        <n v="559.93"/>
        <n v="74.24"/>
        <n v="28.4"/>
        <n v="991.2"/>
        <n v="355.36"/>
        <n v="631.96"/>
        <n v="87.168"/>
        <n v="398.4"/>
        <n v="102.438"/>
        <n v="6.048"/>
        <n v="1369.764"/>
        <n v="55.264"/>
        <n v="205.164"/>
        <n v="11.696"/>
        <n v="29.372"/>
        <n v="19.152"/>
        <n v="369.912"/>
        <n v="717.12"/>
        <n v="289.8"/>
        <n v="85.96"/>
        <n v="29.97"/>
        <n v="117.456"/>
        <n v="104.23"/>
        <n v="590.352"/>
        <n v="947.17"/>
        <n v="3.592"/>
        <n v="127.764"/>
        <n v="279.9"/>
        <n v="45.04"/>
        <n v="435.26"/>
        <n v="17.9"/>
        <n v="21.936"/>
        <n v="517.5"/>
        <n v="105.686"/>
        <n v="46.32"/>
        <n v="272.736"/>
        <n v="120.15"/>
        <n v="14.496"/>
        <n v="13.944"/>
        <n v="43.056"/>
        <n v="414.96"/>
        <n v="46.688"/>
        <n v="4.304"/>
        <n v="26.8"/>
        <n v="544.008"/>
        <n v="9.216"/>
        <n v="5.792"/>
        <n v="25.344"/>
        <n v="19.46"/>
        <n v="43.13"/>
        <n v="206.112"/>
        <n v="7.86"/>
        <n v="83.97"/>
        <n v="2.74"/>
        <n v="21.488"/>
        <n v="40.74"/>
        <n v="46.9"/>
        <n v="62.8"/>
        <n v="1035.8"/>
        <n v="5.984"/>
        <n v="88.752"/>
        <n v="53.04"/>
        <n v="222.384"/>
        <n v="190.86"/>
        <n v="203.92"/>
        <n v="119.85"/>
        <n v="125.93"/>
        <n v="24.192"/>
        <n v="244.55"/>
        <n v="999.432"/>
        <n v="1439.968"/>
        <n v="8.096"/>
        <n v="1.112"/>
        <n v="150.98"/>
        <n v="13.632"/>
        <n v="66.36"/>
        <n v="311.15"/>
        <n v="577.584"/>
        <n v="1406.86"/>
        <n v="35.12"/>
        <n v="2025.36"/>
        <n v="10.752"/>
        <n v="9.144"/>
        <n v="106.96"/>
        <n v="26.18"/>
        <n v="32.75"/>
        <n v="99.6"/>
        <n v="20.24"/>
        <n v="307.136"/>
        <n v="74.76"/>
        <n v="32.985"/>
        <n v="287.97"/>
        <n v="3.366"/>
        <n v="39.0"/>
        <n v="16.24"/>
        <n v="29.6"/>
        <n v="454.272"/>
        <n v="12.88"/>
        <n v="160.72"/>
        <n v="200.984"/>
        <n v="274.8"/>
        <n v="8.26"/>
        <n v="63.77"/>
        <n v="10.9"/>
        <n v="246.168"/>
        <n v="1.72"/>
        <n v="18.54"/>
        <n v="196.62"/>
        <n v="146.544"/>
        <n v="5.56"/>
        <n v="8.82"/>
        <n v="271.764"/>
        <n v="696.42"/>
        <n v="45.584"/>
        <n v="88.96"/>
        <n v="288.0"/>
        <n v="43.56"/>
        <n v="102.582"/>
        <n v="22.848"/>
        <n v="77.88"/>
        <n v="286.79"/>
        <n v="6.68"/>
        <n v="55.936"/>
        <n v="17.496"/>
        <n v="15.7"/>
        <n v="58.72"/>
        <n v="3.168"/>
        <n v="1217.568"/>
        <n v="163.136"/>
        <n v="1166.92"/>
        <n v="17.12"/>
        <n v="5.16"/>
        <n v="37.68"/>
        <n v="173.94"/>
        <n v="265.86"/>
        <n v="57.75"/>
        <n v="85.9"/>
        <n v="51.98"/>
        <n v="600.53"/>
        <n v="98.46"/>
        <n v="134.97"/>
        <n v="348.928"/>
        <n v="33.96"/>
        <n v="7.92"/>
        <n v="12.828"/>
        <n v="119.9"/>
        <n v="3.15"/>
        <n v="186.69"/>
        <n v="1099.96"/>
        <n v="61.584"/>
        <n v="79.9"/>
        <n v="55.944"/>
        <n v="16.776"/>
        <n v="209.93"/>
        <n v="2.21"/>
        <n v="1598.058"/>
        <n v="48.81"/>
        <n v="159.984"/>
        <n v="61.4"/>
        <n v="999.98"/>
        <n v="105.584"/>
        <n v="7.56"/>
        <n v="177.48"/>
        <n v="63.96"/>
        <n v="14.76"/>
        <n v="1268.82"/>
        <n v="10.76"/>
        <n v="572.8"/>
        <n v="6.129"/>
        <n v="465.18"/>
        <n v="184.66"/>
        <n v="35.88"/>
        <n v="8.28"/>
        <n v="34.02"/>
        <n v="675.96"/>
        <n v="151.96"/>
        <n v="33.568"/>
        <n v="408.422"/>
        <n v="18.312"/>
        <n v="7.968"/>
        <n v="494.376"/>
        <n v="555.96"/>
        <n v="18.392"/>
        <n v="136.92"/>
        <n v="36.27"/>
        <n v="17.088"/>
        <n v="319.984"/>
        <n v="1690.04"/>
        <n v="19.936"/>
        <n v="119.98"/>
        <n v="714.3"/>
        <n v="87.36"/>
        <n v="599.99"/>
        <n v="12.84"/>
        <n v="49.848"/>
        <n v="68.62"/>
        <n v="209.67"/>
        <n v="134.376"/>
        <n v="1640.7"/>
        <n v="2621.322"/>
        <n v="34.76"/>
        <n v="7.24"/>
        <n v="2.946"/>
        <n v="27.216"/>
        <n v="13.848"/>
        <n v="77.55"/>
        <n v="45.216"/>
        <n v="892.224"/>
        <n v="170.352"/>
        <n v="68.16"/>
        <n v="28.44"/>
        <n v="479.988"/>
        <n v="3.008"/>
        <n v="35.96"/>
        <n v="63.552"/>
        <n v="1448.82"/>
        <n v="26.4"/>
        <n v="173.488"/>
        <n v="10.67"/>
        <n v="4.98"/>
        <n v="14.592"/>
        <n v="16.27"/>
        <n v="1.872"/>
        <n v="2541.98"/>
        <n v="715.2"/>
        <n v="2.2"/>
        <n v="40.92"/>
        <n v="23.64"/>
        <n v="494.97"/>
        <n v="228.92"/>
        <n v="29.79"/>
        <n v="3.304"/>
        <n v="7.23"/>
        <n v="2.376"/>
        <n v="70.26"/>
        <n v="3393.68"/>
        <n v="34.8"/>
        <n v="239.7"/>
        <n v="52.272"/>
        <n v="45.28"/>
        <n v="523.25"/>
        <n v="225.576"/>
        <n v="2803.92"/>
        <n v="181.35"/>
        <n v="28.9"/>
        <n v="47.976"/>
        <n v="10.86"/>
        <n v="542.94"/>
        <n v="117.882"/>
        <n v="29.304"/>
        <n v="139.424"/>
        <n v="14.832"/>
        <n v="971.88"/>
        <n v="31.08"/>
        <n v="1522.638"/>
        <n v="692.472"/>
        <n v="98.112"/>
        <n v="15.51"/>
        <n v="6.208"/>
        <n v="40.032"/>
        <n v="31.12"/>
        <n v="11.68"/>
        <n v="65.584"/>
        <n v="96.96"/>
        <n v="145.9"/>
        <n v="7.78"/>
        <n v="181.986"/>
        <n v="61.44"/>
        <n v="12.832"/>
        <n v="43.26"/>
        <n v="26.976"/>
        <n v="7.152"/>
        <n v="5.584"/>
        <n v="7.5"/>
        <n v="46.62"/>
        <n v="422.856"/>
        <n v="9.82"/>
        <n v="9.952"/>
        <n v="29.99"/>
        <n v="2321.9"/>
        <n v="22.38"/>
        <n v="52.448"/>
        <n v="67.8"/>
        <n v="94.428"/>
        <n v="7.98"/>
        <n v="29.932"/>
        <n v="8.134"/>
        <n v="101.994"/>
        <n v="10.5"/>
        <n v="3.282"/>
        <n v="3059.982"/>
        <n v="16.272"/>
        <n v="57.42"/>
        <n v="51.016"/>
        <n v="14.352"/>
        <n v="129.568"/>
        <n v="8.69"/>
        <n v="25.06"/>
        <n v="9.98"/>
        <n v="53.424"/>
        <n v="33.792"/>
        <n v="471.9"/>
        <n v="338.352"/>
        <n v="129.3"/>
        <n v="33.28"/>
        <n v="149.9"/>
        <n v="251.964"/>
        <n v="1299.99"/>
        <n v="51.184"/>
        <n v="104.01"/>
        <n v="57.23"/>
        <n v="330.588"/>
        <n v="58.36"/>
        <n v="79.47"/>
        <n v="10.304"/>
        <n v="1215.92"/>
        <n v="357.93"/>
        <n v="8.16"/>
        <n v="64.02"/>
        <n v="7.68"/>
        <n v="73.584"/>
        <n v="9.584"/>
        <n v="183.372"/>
        <n v="210.392"/>
        <n v="22.5"/>
        <n v="89.97"/>
        <n v="1139.92"/>
        <n v="333.576"/>
        <n v="281.904"/>
        <n v="15.12"/>
        <n v="16.28"/>
        <n v="20.016"/>
        <n v="75.6"/>
        <n v="111.0"/>
        <n v="60.672"/>
        <n v="107.648"/>
        <n v="4.71"/>
        <n v="603.92"/>
        <n v="255.85"/>
        <n v="2.94"/>
        <n v="617.7"/>
        <n v="435.999"/>
        <n v="12.462"/>
        <n v="17.96"/>
        <n v="246.384"/>
        <n v="533.94"/>
        <n v="32.896"/>
        <n v="6.12"/>
        <n v="173.656"/>
        <n v="172.186"/>
        <n v="9.64"/>
        <n v="37.296"/>
        <n v="636.408"/>
        <n v="14.016"/>
        <n v="10.984"/>
        <n v="99.918"/>
        <n v="63.2"/>
        <n v="46.35"/>
        <n v="344.91"/>
        <n v="155.372"/>
        <n v="539.92"/>
        <n v="19.3"/>
        <n v="699.93"/>
        <n v="81.98"/>
        <n v="78.35"/>
        <n v="67.194"/>
        <n v="12.18"/>
        <n v="1579.746"/>
        <n v="47.496"/>
        <n v="281.372"/>
        <n v="65.78"/>
        <n v="359.98"/>
        <n v="55.92"/>
        <n v="4.812"/>
        <n v="5.18"/>
        <n v="322.192"/>
        <n v="145.568"/>
        <n v="600.558"/>
        <n v="0.876"/>
        <n v="22.24"/>
        <n v="5.78"/>
        <n v="62.82"/>
        <n v="59.2"/>
        <n v="61.568"/>
        <n v="123.552"/>
        <n v="18.648"/>
        <n v="638.82"/>
        <n v="138.56"/>
        <n v="26.72"/>
        <n v="7.644"/>
        <n v="49.408"/>
        <n v="5.892"/>
        <n v="182.352"/>
        <n v="2.672"/>
        <n v="50.997"/>
        <n v="220.776"/>
        <n v="11.088"/>
        <n v="674.058"/>
        <n v="56.4"/>
        <n v="49.792"/>
        <n v="152.91"/>
        <n v="76.776"/>
        <n v="26.632"/>
        <n v="11.43"/>
        <n v="25.16"/>
        <n v="351.216"/>
        <n v="742.336"/>
        <n v="142.86"/>
        <n v="1.632"/>
        <n v="64.96"/>
        <n v="551.985"/>
        <n v="269.98"/>
        <n v="2799.96"/>
        <n v="15.08"/>
        <n v="254.744"/>
        <n v="396.802"/>
        <n v="590.058"/>
        <n v="120.33"/>
        <n v="5.176"/>
        <n v="6.688"/>
        <n v="11.672"/>
        <n v="192.72"/>
        <n v="957.5775"/>
        <n v="8.39"/>
        <n v="7.88"/>
        <n v="158.376"/>
        <n v="19.194"/>
        <n v="6.992"/>
        <n v="18.272"/>
        <n v="115.44"/>
        <n v="31.4"/>
        <n v="55.6"/>
        <n v="1085.42"/>
        <n v="77.58"/>
        <n v="89.82"/>
        <n v="68.81"/>
        <n v="270.34"/>
        <n v="646.776"/>
        <n v="32.192"/>
        <n v="131.376"/>
        <n v="53.7"/>
        <n v="107.772"/>
        <n v="1618.37"/>
        <n v="17.14"/>
        <n v="519.792"/>
        <n v="2.304"/>
        <n v="9.68"/>
        <n v="131.88"/>
        <n v="180.016"/>
        <n v="9.54"/>
        <n v="59.994"/>
        <n v="97.424"/>
        <n v="299.98"/>
        <n v="831.936"/>
        <n v="21.93"/>
        <n v="7.218"/>
        <n v="125.944"/>
        <n v="157.794"/>
        <n v="275.88"/>
        <n v="639.968"/>
        <n v="94.85"/>
        <n v="29.52"/>
        <n v="36.336"/>
        <n v="25.032"/>
        <n v="344.22"/>
        <n v="915.136"/>
        <n v="40.784"/>
        <n v="393.165"/>
        <n v="38.88"/>
        <n v="3.882"/>
        <n v="24.96"/>
        <n v="30.44"/>
        <n v="87.8"/>
        <n v="11.032"/>
        <n v="26.9"/>
        <n v="359.499"/>
        <n v="161.568"/>
        <n v="14.952"/>
        <n v="547.136"/>
        <n v="61.68"/>
        <n v="231.92"/>
        <n v="2.772"/>
        <n v="25.176"/>
        <n v="3083.43"/>
        <n v="85.98"/>
        <n v="479.952"/>
        <n v="168.464"/>
        <n v="748.752"/>
        <n v="19.568"/>
        <n v="438.368"/>
        <n v="238.896"/>
        <n v="32.07"/>
        <n v="1018.104"/>
        <n v="32.04"/>
        <n v="325.632"/>
        <n v="71.976"/>
        <n v="12.132"/>
        <n v="2.025"/>
        <n v="79.44"/>
        <n v="2.412"/>
        <n v="2.08"/>
        <n v="41.424"/>
        <n v="5.728"/>
        <n v="12.672"/>
        <n v="3050.376"/>
        <n v="213.115"/>
        <n v="44.688"/>
        <n v="821.94"/>
        <n v="9.728"/>
        <n v="155.88"/>
        <n v="27.168"/>
        <n v="602.651"/>
        <n v="4.896"/>
        <n v="80.88"/>
        <n v="609.98"/>
        <n v="1.78"/>
        <n v="20.768"/>
        <n v="375.4575"/>
      </sharedItems>
    </cacheField>
    <cacheField name="Quantity" numFmtId="0">
      <sharedItems containsSemiMixedTypes="0" containsString="0" containsNumber="1" containsInteger="1">
        <n v="3.0"/>
        <n v="6.0"/>
        <n v="1.0"/>
        <n v="2.0"/>
        <n v="4.0"/>
        <n v="5.0"/>
        <n v="13.0"/>
        <n v="7.0"/>
        <n v="9.0"/>
        <n v="8.0"/>
        <n v="10.0"/>
        <n v="11.0"/>
        <n v="14.0"/>
        <n v="12.0"/>
      </sharedItems>
    </cacheField>
    <cacheField name="Profit" numFmtId="0">
      <sharedItems containsSemiMixedTypes="0" containsString="0" containsNumber="1">
        <n v="109.6113"/>
        <n v="-87.9354"/>
        <n v="31.8696"/>
        <n v="1.3257"/>
        <n v="0.8288"/>
        <n v="6.7252"/>
        <n v="1.008"/>
        <n v="7.9984"/>
        <n v="45.576"/>
        <n v="9.0"/>
        <n v="20.097"/>
        <n v="22.6782"/>
        <n v="2.6536"/>
        <n v="9.735"/>
        <n v="79.8912"/>
        <n v="-6.3441"/>
        <n v="-1.2588"/>
        <n v="6.4128"/>
        <n v="100.1403"/>
        <n v="70.0336"/>
        <n v="1.1022"/>
        <n v="27.5632"/>
        <n v="30.0957"/>
        <n v="43.736"/>
        <n v="-9.153"/>
        <n v="-1.3083"/>
        <n v="17.22"/>
        <n v="2.245"/>
        <n v="24.47"/>
        <n v="13.7428"/>
        <n v="9.9873"/>
        <n v="-18.1068"/>
        <n v="44.4"/>
        <n v="19.2384"/>
        <n v="15.6332"/>
        <n v="1.41"/>
        <n v="5.4432"/>
        <n v="7.5768"/>
        <n v="-1.5936"/>
        <n v="1.7343"/>
        <n v="-82.884"/>
        <n v="21.4776"/>
        <n v="19.1808"/>
        <n v="5.368"/>
        <n v="4.0584"/>
        <n v="65.978"/>
        <n v="-168.9558"/>
        <n v="6.2208"/>
        <n v="8.9544"/>
        <n v="71.9952"/>
        <n v="3.405"/>
        <n v="29.2716"/>
        <n v="75.5958"/>
        <n v="-46.8776"/>
        <n v="2.3409"/>
        <n v="5.5512"/>
        <n v="0.833"/>
        <n v="7.264"/>
        <n v="1.2112"/>
        <n v="28.3479"/>
        <n v="2.6376"/>
        <n v="51.4764"/>
        <n v="0.0"/>
        <n v="31.0059"/>
        <n v="19.4376"/>
        <n v="9.499"/>
        <n v="4.7067"/>
        <n v="6.0416"/>
        <n v="10.5072"/>
        <n v="6.0368"/>
        <n v="9.891"/>
        <n v="16.9932"/>
        <n v="14.7582"/>
        <n v="9.072"/>
        <n v="0.1472"/>
        <n v="7.9248"/>
        <n v="-11.0848"/>
        <n v="-53.7096"/>
        <n v="-23.4882"/>
        <n v="26.388"/>
        <n v="13.3176"/>
        <n v="-209.994"/>
        <n v="5.2398"/>
        <n v="-209.7693"/>
        <n v="0.1191"/>
        <n v="111.3024"/>
        <n v="5.2164"/>
        <n v="19.824"/>
        <n v="2.6936"/>
        <n v="327.9458"/>
        <n v="6.8768"/>
        <n v="23.316"/>
        <n v="95.1888"/>
        <n v="67.86"/>
        <n v="12.4902"/>
        <n v="29.0136"/>
        <n v="-4.5696"/>
        <n v="16.0356"/>
        <n v="5.3392"/>
        <n v="7.6284"/>
        <n v="19.9746"/>
        <n v="6.066"/>
        <n v="49.6048"/>
        <n v="74.8142"/>
        <n v="70.198"/>
        <n v="2.646"/>
        <n v="6.3744"/>
        <n v="25.68"/>
        <n v="-14.7708"/>
        <n v="3.4104"/>
        <n v="12.7008"/>
        <n v="-734.5264"/>
        <n v="3.6288"/>
        <n v="51.36"/>
        <n v="4.1988"/>
        <n v="29.692"/>
        <n v="7.9488"/>
        <n v="8.8176"/>
        <n v="10.368"/>
        <n v="87.3504"/>
        <n v="98.105"/>
        <n v="22.4316"/>
        <n v="54.0876"/>
        <n v="8.3104"/>
        <n v="10.0744"/>
        <n v="50.396"/>
        <n v="4.485"/>
        <n v="7.3872"/>
        <n v="3.7408"/>
        <n v="-14.3856"/>
        <n v="36.7173"/>
        <n v="12.9096"/>
        <n v="37.797"/>
        <n v="44.955"/>
        <n v="-9.1335"/>
        <n v="8.88"/>
        <n v="11.0388"/>
        <n v="4.1028"/>
        <n v="9.6048"/>
        <n v="24.3824"/>
        <n v="-13.637"/>
        <n v="12.4416"/>
        <n v="8.217"/>
        <n v="97.1892"/>
        <n v="20.9208"/>
        <n v="27.248"/>
        <n v="11.5752"/>
        <n v="1.07"/>
        <n v="259.8896"/>
        <n v="-4.5936"/>
        <n v="78.8592"/>
        <n v="52.532"/>
        <n v="4.872"/>
        <n v="22.9877"/>
        <n v="70.49"/>
        <n v="2.838"/>
        <n v="5.346"/>
        <n v="3.14"/>
        <n v="52.7824"/>
        <n v="5.58"/>
        <n v="4.2717"/>
        <n v="-0.5964"/>
        <n v="-0.8558"/>
        <n v="21.7515"/>
        <n v="85.9818"/>
        <n v="3.792"/>
        <n v="3.4684"/>
        <n v="95.9904"/>
        <n v="4.6488"/>
        <n v="4.5144"/>
        <n v="8.983"/>
        <n v="22.1184"/>
        <n v="41.5104"/>
        <n v="20.9592"/>
        <n v="-9.7176"/>
        <n v="-172.1172"/>
        <n v="26.6304"/>
        <n v="19.458"/>
        <n v="6.924"/>
        <n v="1.4112"/>
        <n v="-216.9783"/>
        <n v="16.3172"/>
        <n v="-34.196"/>
        <n v="3.4357"/>
        <n v="145.0696"/>
        <n v="16.8544"/>
        <n v="52.4895"/>
        <n v="11.1672"/>
        <n v="-19.5492"/>
        <n v="4.7916"/>
        <n v="38.1576"/>
        <n v="38.456"/>
        <n v="1.9602"/>
        <n v="145.2816"/>
        <n v="1.2528"/>
        <n v="3.4196"/>
        <n v="14.5348"/>
        <n v="-23.892"/>
        <n v="22.6476"/>
        <n v="28.5984"/>
        <n v="14.1694"/>
        <n v="5.2182"/>
        <n v="0.4264"/>
        <n v="1.3068"/>
        <n v="18.3276"/>
        <n v="17.745"/>
        <n v="420.588"/>
        <n v="0.4752"/>
        <n v="13.9728"/>
        <n v="239.996"/>
        <n v="1.9712"/>
        <n v="6.206"/>
        <n v="19.041"/>
        <n v="15.552"/>
        <n v="25.792"/>
        <n v="2.3328"/>
        <n v="6.5856"/>
        <n v="5.9211"/>
        <n v="21.112"/>
        <n v="3.2256"/>
        <n v="-5.037"/>
        <n v="1276.4871"/>
        <n v="21.06"/>
        <n v="111.774"/>
        <n v="13.0928"/>
        <n v="-4.8048"/>
        <n v="5.1948"/>
        <n v="36.5742"/>
        <n v="9.8418"/>
        <n v="9.387"/>
        <n v="1.316"/>
        <n v="-17.9928"/>
        <n v="55.896"/>
        <n v="5.6784"/>
        <n v="792.2691"/>
        <n v="-7.476"/>
        <n v="2.8224"/>
        <n v="55.764"/>
        <n v="62.1376"/>
        <n v="5.4332"/>
        <n v="68.8464"/>
        <n v="-70.49"/>
        <n v="6.63"/>
        <n v="673.8816"/>
        <n v="-2.5472"/>
        <n v="239.976"/>
        <n v="74.8524"/>
        <n v="0.8688"/>
        <n v="85.904"/>
        <n v="-49.5516"/>
        <n v="37.6422"/>
        <n v="20.9664"/>
        <n v="1.521"/>
        <n v="2.7222"/>
        <n v="219.5088"/>
        <n v="-199.77"/>
        <n v="52.776"/>
        <n v="1.742"/>
        <n v="86.3892"/>
        <n v="-94.6605"/>
        <n v="121.4416"/>
        <n v="48.906"/>
        <n v="1.116"/>
        <n v="-1.728"/>
        <n v="20.1248"/>
        <n v="-6.9102"/>
        <n v="6.4944"/>
        <n v="134.3888"/>
        <n v="-14.5764"/>
        <n v="1.4784"/>
        <n v="1.64"/>
        <n v="4.195"/>
        <n v="43.1976"/>
        <n v="1.0269"/>
        <n v="22.984"/>
        <n v="-25.9136"/>
        <n v="2.8101"/>
        <n v="46.179"/>
        <n v="8.4784"/>
        <n v="-12.224"/>
        <n v="6.4864"/>
        <n v="-44.2782"/>
        <n v="12.2325"/>
        <n v="11.214"/>
        <n v="2.7776"/>
        <n v="7.6965"/>
        <n v="70.196"/>
        <n v="-17.248"/>
        <n v="-28.356"/>
        <n v="11.0544"/>
        <n v="274.995"/>
        <n v="17.1678"/>
        <n v="89.997"/>
        <n v="168.1855"/>
        <n v="55.016"/>
        <n v="38.08"/>
        <n v="41.934"/>
        <n v="78.3888"/>
        <n v="12.9978"/>
        <n v="362.8404"/>
        <n v="31.2832"/>
        <n v="17.466"/>
        <n v="7.056"/>
        <n v="7.5284"/>
        <n v="117.6147"/>
        <n v="233.2204"/>
        <n v="18.7812"/>
        <n v="4.8804"/>
        <n v="7.6048"/>
        <n v="5.5328"/>
        <n v="66.6344"/>
        <n v="157.4875"/>
        <n v="1.0797"/>
        <n v="4.1125"/>
        <n v="-39.804"/>
        <n v="-2.0016"/>
        <n v="1.8144"/>
        <n v="305.13"/>
        <n v="3.852"/>
        <n v="15.6426"/>
        <n v="2.9568"/>
        <n v="113.998"/>
        <n v="-50.6688"/>
        <n v="5.1012"/>
        <n v="11.8768"/>
        <n v="5.434"/>
        <n v="4.2336"/>
        <n v="10.7849"/>
        <n v="21.024"/>
        <n v="62.3904"/>
        <n v="7.5762"/>
        <n v="17.9684"/>
        <n v="1.6704"/>
        <n v="9.6957"/>
        <n v="3.2352"/>
        <n v="80.6312"/>
        <n v="103.158"/>
        <n v="1.6688"/>
        <n v="41.1528"/>
        <n v="15.0984"/>
        <n v="8.0712"/>
        <n v="4.5954"/>
        <n v="252.588"/>
        <n v="1.9845"/>
        <n v="357.1911"/>
        <n v="726.5619"/>
        <n v="1.9024"/>
        <n v="6.894"/>
        <n v="3.7436"/>
        <n v="3.285"/>
        <n v="21.6"/>
        <n v="163.787"/>
        <n v="204.0714"/>
        <n v="33.7212"/>
        <n v="7.9527"/>
        <n v="-107.9928"/>
        <n v="-12.9792"/>
        <n v="9.0636"/>
        <n v="23.232"/>
        <n v="5.8233"/>
        <n v="2.7956"/>
        <n v="-108.2662"/>
        <n v="3.0814"/>
        <n v="9.234"/>
        <n v="10.3488"/>
        <n v="-459.6072"/>
        <n v="98.4802"/>
        <n v="12.1452"/>
        <n v="-13.896"/>
        <n v="9.039"/>
        <n v="-5.9409"/>
        <n v="11.1384"/>
        <n v="9.3312"/>
        <n v="2.478"/>
        <n v="-1.8126"/>
        <n v="2.8536"/>
        <n v="23.6529"/>
        <n v="-3.5325"/>
        <n v="28.518"/>
        <n v="-12.098"/>
        <n v="13.8528"/>
        <n v="125.997"/>
        <n v="22.0748"/>
        <n v="9.5968"/>
        <n v="5.191"/>
        <n v="30.735"/>
        <n v="7.2"/>
        <n v="580.5394"/>
        <n v="0.4592"/>
        <n v="17.472"/>
        <n v="18.8732"/>
        <n v="73.194"/>
        <n v="8.4966"/>
        <n v="7.68"/>
        <n v="245.021"/>
        <n v="24.9804"/>
        <n v="10.744"/>
        <n v="29.95"/>
        <n v="3.6322"/>
        <n v="57.5928"/>
        <n v="26.0316"/>
        <n v="2.3521"/>
        <n v="4.9432"/>
        <n v="23.0864"/>
        <n v="-6.0324"/>
        <n v="3.1752"/>
        <n v="91.9508"/>
        <n v="16.2486"/>
        <n v="-161.875"/>
        <n v="11.8584"/>
        <n v="0.5994"/>
        <n v="-8.6592"/>
        <n v="11.907"/>
        <n v="1.4442"/>
        <n v="5.9364"/>
        <n v="4.752"/>
        <n v="27.5292"/>
        <n v="174.9975"/>
        <n v="4.3176"/>
        <n v="3.8073"/>
        <n v="-95.67"/>
        <n v="-14.592"/>
        <n v="1.9089"/>
        <n v="24.219"/>
        <n v="1.168"/>
        <n v="21.0128"/>
        <n v="113.4936"/>
        <n v="53.8608"/>
        <n v="14.5638"/>
        <n v="5.7408"/>
        <n v="1.764"/>
        <n v="14.6718"/>
        <n v="32.392"/>
        <n v="-35.928"/>
        <n v="1.999"/>
        <n v="71.9928"/>
        <n v="-152.7156"/>
        <n v="13.4925"/>
        <n v="83.9916"/>
        <n v="-64.4274"/>
        <n v="31.0688"/>
        <n v="-52.632"/>
        <n v="6.992"/>
        <n v="7.0218"/>
        <n v="9.585"/>
        <n v="-45.8273"/>
        <n v="4.5188"/>
        <n v="8.4024"/>
        <n v="2.6784"/>
        <n v="8.619"/>
        <n v="19.692"/>
        <n v="10.3936"/>
        <n v="10.92"/>
        <n v="2.4192"/>
        <n v="265.4232"/>
        <n v="7.6154"/>
        <n v="125.2692"/>
        <n v="6.7482"/>
        <n v="4.172"/>
        <n v="0.5097"/>
        <n v="6.1641"/>
        <n v="-4.0216"/>
        <n v="5.8045"/>
        <n v="2.7324"/>
        <n v="1.2038"/>
        <n v="3.0128"/>
        <n v="5.955"/>
        <n v="2.3976"/>
        <n v="2.5056"/>
        <n v="17.37"/>
        <n v="13.7646"/>
        <n v="134.9955"/>
        <n v="57.4938"/>
        <n v="206.316"/>
        <n v="89.5888"/>
        <n v="14.5152"/>
        <n v="11.2476"/>
        <n v="30.2112"/>
        <n v="1.512"/>
        <n v="12.582"/>
        <n v="16.7875"/>
        <n v="7.4872"/>
        <n v="503.7822"/>
        <n v="2.3686"/>
        <n v="4.331"/>
        <n v="59.6556"/>
        <n v="50.328"/>
        <n v="352.3065"/>
        <n v="4.884"/>
        <n v="0.84"/>
        <n v="2.691"/>
        <n v="56.5662"/>
        <n v="58.0272"/>
        <n v="9.912"/>
        <n v="13.7016"/>
        <n v="12.99"/>
        <n v="2.679"/>
        <n v="-227.4912"/>
        <n v="4.9878"/>
        <n v="-5.1968"/>
        <n v="16.2688"/>
        <n v="27.882"/>
        <n v="4.0383"/>
        <n v="78.851"/>
        <n v="2.4824"/>
        <n v="29.9646"/>
        <n v="18.504"/>
        <n v="56.9772"/>
        <n v="14.5728"/>
        <n v="33.995"/>
        <n v="38.5722"/>
        <n v="15.0416"/>
        <n v="7.6968"/>
        <n v="11.1664"/>
        <n v="240.8595"/>
        <n v="51.8"/>
        <n v="2.6208"/>
        <n v="1228.1787"/>
        <n v="3.4092"/>
        <n v="-4.577"/>
        <n v="1.4742"/>
        <n v="60.4752"/>
        <n v="-16.426"/>
        <n v="18.715"/>
        <n v="2239.9872"/>
        <n v="1.3"/>
        <n v="-184.8366"/>
        <n v="81.583"/>
        <n v="6.2664"/>
        <n v="11.891"/>
        <n v="-23.716"/>
        <n v="108.7996"/>
        <n v="1.1772"/>
        <n v="13.4372"/>
        <n v="3.5994"/>
        <n v="56.264"/>
        <n v="6.129"/>
        <n v="53.196"/>
        <n v="2.8416"/>
        <n v="11.703"/>
        <n v="23.028"/>
        <n v="47.848"/>
        <n v="10.08"/>
        <n v="5.8812"/>
        <n v="23.235"/>
        <n v="5.4488"/>
        <n v="-694.2936"/>
        <n v="-4.428"/>
        <n v="5.2256"/>
        <n v="65.2064"/>
        <n v="9.2928"/>
        <n v="45.84"/>
        <n v="7.7679"/>
        <n v="-94.333"/>
        <n v="-8.6768"/>
        <n v="1.3583"/>
        <n v="21.1977"/>
        <n v="7.476"/>
        <n v="13.4292"/>
        <n v="-53.2856"/>
        <n v="9.302"/>
        <n v="16.8896"/>
        <n v="10.9584"/>
        <n v="17.847"/>
        <n v="72.5754"/>
        <n v="196.686"/>
        <n v="10.647"/>
        <n v="3.5154"/>
        <n v="1.636"/>
        <n v="57.5016"/>
        <n v="2.4898"/>
        <n v="109.998"/>
        <n v="3.7224"/>
        <n v="4.9632"/>
        <n v="35.6613"/>
        <n v="5.8604"/>
        <n v="30.09"/>
        <n v="7.2576"/>
        <n v="-3.0344"/>
        <n v="53.9946"/>
        <n v="33.831"/>
        <n v="21.0752"/>
        <n v="0.9856"/>
        <n v="-69.312"/>
        <n v="34.993"/>
        <n v="108.7408"/>
        <n v="843.1706"/>
        <n v="6.9132"/>
        <n v="-5.6943"/>
        <n v="11.49"/>
        <n v="219.4514"/>
        <n v="19.4656"/>
        <n v="156.047"/>
        <n v="0.3822"/>
        <n v="-2.5248"/>
        <n v="11.7208"/>
        <n v="6.972"/>
        <n v="6.7915"/>
        <n v="3.36"/>
        <n v="18.447"/>
        <n v="9.6712"/>
        <n v="101.3832"/>
        <n v="6.7392"/>
        <n v="7.3132"/>
        <n v="-70.1043"/>
        <n v="71.99"/>
        <n v="23.6808"/>
        <n v="15.9348"/>
        <n v="8.8088"/>
        <n v="0.365"/>
        <n v="80.7912"/>
        <n v="94.0702"/>
        <n v="341.994"/>
        <n v="18.767"/>
        <n v="110.0528"/>
        <n v="3.0268"/>
        <n v="17.3488"/>
        <n v="149.148"/>
        <n v="-4.8588"/>
        <n v="9.768"/>
        <n v="1.122"/>
        <n v="9.8856"/>
        <n v="13.7176"/>
        <n v="3.3756"/>
        <n v="7.7896"/>
        <n v="3.4048"/>
        <n v="-130.0104"/>
        <n v="35.0784"/>
        <n v="10.8864"/>
        <n v="8.7285"/>
        <n v="22.4808"/>
        <n v="27.3568"/>
        <n v="4.5816"/>
        <n v="5.4801"/>
        <n v="152.495"/>
        <n v="3.58"/>
        <n v="-7.7728"/>
        <n v="3.04"/>
        <n v="238.653"/>
        <n v="30.2778"/>
        <n v="29.495"/>
        <n v="11.4741"/>
        <n v="8.955"/>
        <n v="163.1898"/>
        <n v="3.5858"/>
        <n v="8.2992"/>
        <n v="22.5296"/>
        <n v="5.5755"/>
        <n v="42.3625"/>
        <n v="131.0296"/>
        <n v="-121.2705"/>
        <n v="49.014"/>
        <n v="60.1536"/>
        <n v="0.3336"/>
        <n v="26.703"/>
        <n v="27.3096"/>
        <n v="14.985"/>
        <n v="34.6983"/>
        <n v="52.688"/>
        <n v="11.196"/>
        <n v="5.1816"/>
        <n v="50.4711"/>
        <n v="8.802"/>
        <n v="48.5392"/>
        <n v="77.4837"/>
        <n v="11.7936"/>
        <n v="0.9612"/>
        <n v="3.89"/>
        <n v="0.1134"/>
        <n v="2.4012"/>
        <n v="45.487"/>
        <n v="-21.4704"/>
        <n v="4.6956"/>
        <n v="46.1968"/>
        <n v="3.9592"/>
        <n v="-108.3348"/>
        <n v="43.2234"/>
        <n v="-0.9486"/>
        <n v="-14.6388"/>
        <n v="113.3055"/>
        <n v="3.196"/>
        <n v="6.36"/>
        <n v="1.917"/>
        <n v="-19.7712"/>
        <n v="6.8714"/>
        <n v="3.9609"/>
        <n v="-8.0775"/>
        <n v="909.9818"/>
        <n v="12.8583"/>
        <n v="36.3018"/>
        <n v="0.8056"/>
        <n v="161.9674"/>
        <n v="-175.26"/>
        <n v="83.284"/>
        <n v="47.061"/>
        <n v="-8.532"/>
        <n v="5.1792"/>
        <n v="-2.249"/>
        <n v="-99.2664"/>
        <n v="3.7308"/>
        <n v="8.6744"/>
        <n v="7.128"/>
        <n v="14.3952"/>
        <n v="19.797"/>
        <n v="93.0552"/>
        <n v="27.0578"/>
        <n v="3.2214"/>
        <n v="0.8856"/>
        <n v="24.1568"/>
        <n v="-1480.0335"/>
        <n v="-8.4728"/>
        <n v="-6.0192"/>
        <n v="6.045"/>
        <n v="-13.7175"/>
        <n v="7.209"/>
        <n v="-1.624"/>
        <n v="27.9936"/>
        <n v="3.6855"/>
        <n v="197.991"/>
        <n v="7.9086"/>
        <n v="1.8612"/>
        <n v="4.239"/>
        <n v="68.198"/>
        <n v="47.8065"/>
        <n v="0.891"/>
        <n v="-6.0196"/>
        <n v="-8.8038"/>
        <n v="50.9082"/>
        <n v="20.1584"/>
        <n v="2.288"/>
        <n v="-6.549"/>
        <n v="63.6825"/>
        <n v="2.9646"/>
        <n v="9.99"/>
        <n v="746.4078"/>
        <n v="43.5981"/>
        <n v="39.98"/>
        <n v="3.6018"/>
        <n v="22.298"/>
        <n v="4.0542"/>
        <n v="5.0196"/>
        <n v="177.4206"/>
        <n v="2.2098"/>
        <n v="22.2"/>
        <n v="8.5845"/>
        <n v="15.2225"/>
        <n v="19.188"/>
        <n v="95.586"/>
        <n v="24.3595"/>
        <n v="4.1151"/>
        <n v="-3701.8928"/>
        <n v="20.853"/>
        <n v="15.4752"/>
        <n v="-0.91"/>
        <n v="36.4473"/>
        <n v="26.649"/>
        <n v="-147.8655"/>
        <n v="643.9825"/>
        <n v="10.8054"/>
        <n v="111.1035"/>
        <n v="12.2715"/>
        <n v="41.9965"/>
        <n v="15.12"/>
        <n v="16.3215"/>
        <n v="-9.288"/>
        <n v="8.2156"/>
        <n v="8.5372"/>
        <n v="3.3088"/>
        <n v="-2.8608"/>
        <n v="31.996"/>
        <n v="1.9926"/>
        <n v="16.1838"/>
        <n v="144.3546"/>
        <n v="6.5"/>
        <n v="0.5998"/>
        <n v="7.724"/>
        <n v="8.8784"/>
        <n v="9.2232"/>
        <n v="-42.8"/>
        <n v="-464.697"/>
        <n v="-6.8334"/>
        <n v="3.0558"/>
        <n v="47.9376"/>
        <n v="4.2"/>
        <n v="112.392"/>
        <n v="1.1988"/>
        <n v="1416.8"/>
        <n v="200.49"/>
        <n v="41.535"/>
        <n v="4.7712"/>
        <n v="-18.0312"/>
        <n v="11.92"/>
        <n v="26.3934"/>
        <n v="-6.9828"/>
        <n v="4.756"/>
        <n v="35.0244"/>
        <n v="6.0726"/>
        <n v="2.3997"/>
        <n v="11.996"/>
        <n v="9.702"/>
        <n v="5.56"/>
        <n v="54.9976"/>
        <n v="4.6221"/>
        <n v="0.7092"/>
        <n v="395.9604"/>
        <n v="48.118"/>
        <n v="6.4428"/>
        <n v="2.9346"/>
        <n v="34.742"/>
        <n v="0.2996"/>
        <n v="1.0598"/>
        <n v="69.1992"/>
        <n v="28.7064"/>
        <n v="1.148"/>
        <n v="4.4138"/>
        <n v="20.1264"/>
        <n v="22.2352"/>
        <n v="51.57"/>
        <n v="-110.0232"/>
        <n v="6.9384"/>
        <n v="3.4552"/>
        <n v="29.952"/>
        <n v="-3.094"/>
        <n v="180.7659"/>
        <n v="8.1144"/>
        <n v="17.991"/>
        <n v="-12.9168"/>
        <n v="0.2792"/>
        <n v="3.462"/>
        <n v="97.4586"/>
        <n v="3.3785"/>
        <n v="-76.0116"/>
        <n v="28.0876"/>
        <n v="23.808"/>
        <n v="2.6416"/>
        <n v="9.3228"/>
        <n v="-108.8304"/>
        <n v="4.0872"/>
        <n v="-15.098"/>
        <n v="240.2649"/>
        <n v="-7.5768"/>
        <n v="24.8832"/>
        <n v="4.2309"/>
        <n v="12.974"/>
        <n v="0.7348"/>
        <n v="0.5992"/>
        <n v="51.8292"/>
        <n v="29.1456"/>
        <n v="0.8946"/>
        <n v="122.2936"/>
        <n v="106.5408"/>
        <n v="45.294"/>
        <n v="11.814"/>
        <n v="35.6346"/>
        <n v="6.7008"/>
        <n v="33.0708"/>
        <n v="-93.2316"/>
        <n v="4.779"/>
        <n v="81.432"/>
        <n v="20.4984"/>
        <n v="4.914"/>
        <n v="18.6606"/>
        <n v="44.5278"/>
        <n v="14.67"/>
        <n v="7.9724"/>
        <n v="84.0512"/>
        <n v="36.372"/>
        <n v="58.38"/>
        <n v="21.7728"/>
        <n v="41.3374"/>
        <n v="0.5904"/>
        <n v="9.3624"/>
        <n v="16.032"/>
        <n v="165.3813"/>
        <n v="118.293"/>
        <n v="2.7036"/>
        <n v="4.3524"/>
        <n v="20.1579"/>
        <n v="214.4922"/>
        <n v="78.435"/>
        <n v="5.4124"/>
        <n v="128.9742"/>
        <n v="-93.4724"/>
        <n v="56.55"/>
        <n v="15.777"/>
        <n v="267.6672"/>
        <n v="-15.4764"/>
        <n v="34.9074"/>
        <n v="40.3536"/>
        <n v="176.7864"/>
        <n v="4.4352"/>
        <n v="23.49"/>
        <n v="-3.3879"/>
        <n v="-4.1568"/>
        <n v="117.432"/>
        <n v="12.0"/>
        <n v="1.5312"/>
        <n v="200.9546"/>
        <n v="9.779"/>
        <n v="4.0338"/>
        <n v="224.9925"/>
        <n v="349.3392"/>
        <n v="117.1296"/>
        <n v="-17.2854"/>
        <n v="13.208"/>
        <n v="2.2365"/>
        <n v="44.7096"/>
        <n v="14.2272"/>
        <n v="-1.2558"/>
        <n v="30.9504"/>
        <n v="14.628"/>
        <n v="107.346"/>
        <n v="1.002"/>
        <n v="90.8292"/>
        <n v="30.7168"/>
        <n v="-188.7"/>
        <n v="4.4604"/>
        <n v="1.6588"/>
        <n v="6.3684"/>
        <n v="-4.488"/>
        <n v="6.2192"/>
        <n v="371.316"/>
        <n v="15.642"/>
        <n v="89.307"/>
        <n v="5.1552"/>
        <n v="-219.1644"/>
        <n v="-6.1248"/>
        <n v="1.323"/>
        <n v="17.6088"/>
        <n v="12.8568"/>
        <n v="4.2804"/>
        <n v="39.7488"/>
        <n v="23.4416"/>
        <n v="2.772"/>
        <n v="6.372"/>
        <n v="-26.9955"/>
        <n v="12.936"/>
        <n v="93.594"/>
        <n v="9.8164"/>
        <n v="41.1684"/>
        <n v="15.9968"/>
        <n v="15.764"/>
        <n v="17.9634"/>
        <n v="94.4925"/>
        <n v="4.3372"/>
        <n v="12.691"/>
        <n v="69.1008"/>
        <n v="5.24"/>
        <n v="2.8912"/>
        <n v="9.5736"/>
        <n v="3.0498"/>
        <n v="-1862.3124"/>
        <n v="2.9889"/>
        <n v="0.7392"/>
        <n v="2.6406"/>
        <n v="9.5787"/>
        <n v="1013.127"/>
        <n v="35.415"/>
        <n v="2.4"/>
        <n v="17.694"/>
        <n v="147.475"/>
        <n v="56.3528"/>
        <n v="4.4312"/>
        <n v="6.9231"/>
        <n v="7.5371"/>
        <n v="-35.9058"/>
        <n v="24.196"/>
        <n v="12.993"/>
        <n v="122.148"/>
        <n v="1.7901"/>
        <n v="9.3444"/>
        <n v="13.8915"/>
        <n v="13.9392"/>
        <n v="49.9704"/>
        <n v="6.253"/>
        <n v="-90.3762"/>
        <n v="1.8048"/>
        <n v="-5.264"/>
        <n v="12.1149"/>
        <n v="1.3596"/>
        <n v="-480.2032"/>
        <n v="19.3984"/>
        <n v="7.7688"/>
        <n v="37.1812"/>
        <n v="2.394"/>
        <n v="-100.92"/>
        <n v="118.6575"/>
        <n v="-85.2384"/>
        <n v="5.1072"/>
        <n v="8.694"/>
        <n v="2.7072"/>
        <n v="8.0178"/>
        <n v="156.338"/>
        <n v="770.352"/>
        <n v="41.496"/>
        <n v="20.682"/>
        <n v="-4.6464"/>
        <n v="-26.7204"/>
        <n v="76.3152"/>
        <n v="2.1476"/>
        <n v="2.0358"/>
        <n v="267.705"/>
        <n v="21.2512"/>
        <n v="7.0096"/>
        <n v="8.526"/>
        <n v="5.4768"/>
        <n v="60.5528"/>
        <n v="29.1375"/>
        <n v="-182.637"/>
        <n v="17.3148"/>
        <n v="178.91"/>
        <n v="81.8496"/>
        <n v="4.0192"/>
        <n v="8.2344"/>
        <n v="-122.3928"/>
        <n v="21.036"/>
        <n v="-76.6062"/>
        <n v="4.3326"/>
        <n v="18.6093"/>
        <n v="3.8655"/>
        <n v="-2.0364"/>
        <n v="-337.638"/>
        <n v="22.6764"/>
        <n v="1.2064"/>
        <n v="12.6672"/>
        <n v="735.0336"/>
        <n v="99.432"/>
        <n v="29.799"/>
        <n v="35.9964"/>
        <n v="37.7916"/>
        <n v="-121.58"/>
        <n v="0.2016"/>
        <n v="74.975"/>
        <n v="4.0473"/>
        <n v="3.6792"/>
        <n v="-15.4581"/>
        <n v="111.591"/>
        <n v="4.4892"/>
        <n v="8.8686"/>
        <n v="35.0973"/>
        <n v="5.256"/>
        <n v="63.7392"/>
        <n v="31.2736"/>
        <n v="762.1845"/>
        <n v="26.271"/>
        <n v="99.9408"/>
        <n v="-525.6405"/>
        <n v="1.5008"/>
        <n v="-7.098"/>
        <n v="22.6737"/>
        <n v="8.799"/>
        <n v="49.2723"/>
        <n v="10.104"/>
        <n v="-5.412"/>
        <n v="0.559"/>
        <n v="14.904"/>
        <n v="69.705"/>
        <n v="18.4548"/>
        <n v="4.004"/>
        <n v="10.5"/>
        <n v="92.0835"/>
        <n v="1.1656"/>
        <n v="-5.4801"/>
        <n v="26.824"/>
        <n v="51.996"/>
        <n v="21.8376"/>
        <n v="-4.4928"/>
        <n v="4.5738"/>
        <n v="16.1868"/>
        <n v="15.147"/>
        <n v="13.734"/>
        <n v="43.4352"/>
        <n v="15.876"/>
        <n v="7.9212"/>
        <n v="28.7964"/>
        <n v="14.501"/>
        <n v="-4.396"/>
        <n v="15.599"/>
        <n v="4.4088"/>
        <n v="5.3898"/>
        <n v="2.9322"/>
        <n v="4.9686"/>
        <n v="2.3312"/>
        <n v="0.9576"/>
        <n v="1.5552"/>
        <n v="1.7591"/>
        <n v="2.132"/>
        <n v="8.5722"/>
        <n v="2.2194"/>
        <n v="8.3268"/>
        <n v="-0.2685"/>
        <n v="-191.619"/>
        <n v="11.898"/>
        <n v="6.6"/>
        <n v="67.992"/>
        <n v="-116.844"/>
        <n v="4.4392"/>
        <n v="55.845"/>
        <n v="-8.9152"/>
        <n v="7.5992"/>
        <n v="2.99"/>
        <n v="4.1328"/>
        <n v="1.8"/>
        <n v="61.389"/>
        <n v="-18.0588"/>
        <n v="8.4888"/>
        <n v="14.202"/>
        <n v="-55.256"/>
        <n v="34.494"/>
        <n v="8.93"/>
        <n v="8.7906"/>
        <n v="-4.8392"/>
        <n v="-20.3322"/>
        <n v="-29.1168"/>
        <n v="0.0636"/>
        <n v="9.8901"/>
        <n v="47.844"/>
        <n v="51.942"/>
        <n v="1.3365"/>
        <n v="35.6526"/>
        <n v="89.3142"/>
        <n v="-70.9605"/>
        <n v="25.875"/>
        <n v="6.7116"/>
        <n v="24.936"/>
        <n v="-8.5068"/>
        <n v="14.346"/>
        <n v="5.083"/>
        <n v="-15.9268"/>
        <n v="-89.089"/>
        <n v="16.2864"/>
        <n v="39.6879"/>
        <n v="-14.5656"/>
        <n v="6.72"/>
        <n v="53.0439"/>
        <n v="20.6336"/>
        <n v="-54.3204"/>
        <n v="50.5632"/>
        <n v="63.7776"/>
        <n v="6.1792"/>
        <n v="0.7228"/>
        <n v="5.056"/>
        <n v="4.0986"/>
        <n v="11.2504"/>
        <n v="1.5456"/>
        <n v="1.6776"/>
        <n v="3.348"/>
        <n v="19.4688"/>
        <n v="8.085"/>
        <n v="-103.8606"/>
        <n v="69.986"/>
        <n v="0.444"/>
        <n v="11.2308"/>
        <n v="6.2244"/>
        <n v="9.102"/>
        <n v="0.8058"/>
        <n v="-2.5256"/>
        <n v="21.645"/>
        <n v="38.6848"/>
        <n v="53.261"/>
        <n v="38.3508"/>
        <n v="-337.806"/>
        <n v="35.2872"/>
        <n v="51.6558"/>
        <n v="41.2938"/>
        <n v="7.93"/>
        <n v="76.4"/>
        <n v="13.3371"/>
        <n v="-255.7425"/>
        <n v="13.32"/>
        <n v="28.7712"/>
        <n v="40.4973"/>
        <n v="13.5324"/>
        <n v="134.3328"/>
        <n v="12.2328"/>
        <n v="6.1512"/>
        <n v="31.5192"/>
        <n v="130.7581"/>
        <n v="84.5154"/>
        <n v="16.7972"/>
        <n v="61.3305"/>
        <n v="64.518"/>
        <n v="1.1556"/>
        <n v="-13.734"/>
        <n v="33.636"/>
        <n v="-37.1124"/>
        <n v="2.0672"/>
        <n v="4.3904"/>
        <n v="2.934"/>
        <n v="78.8942"/>
        <n v="21.99"/>
        <n v="245.7"/>
        <n v="-4.9878"/>
        <n v="21.42"/>
        <n v="27.986"/>
        <n v="125.245"/>
        <n v="1.4104"/>
        <n v="3.1104"/>
        <n v="6.3936"/>
        <n v="-31.3722"/>
        <n v="24.5028"/>
        <n v="2.184"/>
        <n v="18.2112"/>
        <n v="57.358"/>
        <n v="2.256"/>
        <n v="10.8836"/>
        <n v="1.6038"/>
        <n v="148.1064"/>
        <n v="2.1336"/>
        <n v="87.5684"/>
        <n v="16.68"/>
        <n v="10.68"/>
        <n v="-10.0372"/>
        <n v="80.838"/>
        <n v="-10.3936"/>
        <n v="-13.7976"/>
        <n v="55.3616"/>
        <n v="2.289"/>
        <n v="84.5728"/>
        <n v="20.5755"/>
        <n v="-32.5226"/>
        <n v="19.0386"/>
        <n v="38.9975"/>
        <n v="2.6496"/>
        <n v="-2.5698"/>
        <n v="-75.8304"/>
        <n v="42.8805"/>
        <n v="12.8744"/>
        <n v="52.38"/>
        <n v="-1181.2824"/>
        <n v="100.4796"/>
        <n v="-16.818"/>
        <n v="106.1242"/>
        <n v="167.979"/>
        <n v="8.352"/>
        <n v="11.076"/>
        <n v="257.712"/>
        <n v="92.3936"/>
        <n v="303.3408"/>
        <n v="10.896"/>
        <n v="84.66"/>
        <n v="-13.1706"/>
        <n v="-4.2336"/>
        <n v="-913.176"/>
        <n v="20.724"/>
        <n v="13.6776"/>
        <n v="3.9474"/>
        <n v="4.8609"/>
        <n v="-46.9952"/>
        <n v="6.4638"/>
        <n v="-13.8717"/>
        <n v="2.632"/>
        <n v="6.812"/>
        <n v="152.388"/>
        <n v="36.225"/>
        <n v="40.4012"/>
        <n v="13.4865"/>
        <n v="44.046"/>
        <n v="28.1421"/>
        <n v="206.6232"/>
        <n v="9.4717"/>
        <n v="1.1225"/>
        <n v="2.8392"/>
        <n v="137.151"/>
        <n v="4.504"/>
        <n v="95.7572"/>
        <n v="3.401"/>
        <n v="-10.4196"/>
        <n v="155.25"/>
        <n v="-28.6862"/>
        <n v="18.0648"/>
        <n v="-64.7748"/>
        <n v="33.642"/>
        <n v="4.8924"/>
        <n v="4.5318"/>
        <n v="15.6078"/>
        <n v="124.488"/>
        <n v="-2.918"/>
        <n v="1.5602"/>
        <n v="12.864"/>
        <n v="40.8006"/>
        <n v="3.3408"/>
        <n v="-9.5568"/>
        <n v="8.8704"/>
        <n v="42.495"/>
        <n v="5.0596"/>
        <n v="18.1146"/>
        <n v="48.9516"/>
        <n v="3.6156"/>
        <n v="23.5116"/>
        <n v="14.3856"/>
        <n v="0.7398"/>
        <n v="1.6116"/>
        <n v="5.0064"/>
        <n v="0.4074"/>
        <n v="13.132"/>
        <n v="15.7"/>
        <n v="269.308"/>
        <n v="2.244"/>
        <n v="11.094"/>
        <n v="-4.641"/>
        <n v="16.6788"/>
        <n v="11.4516"/>
        <n v="22.941"/>
        <n v="60.392"/>
        <n v="52.734"/>
        <n v="35.2604"/>
        <n v="7.56"/>
        <n v="4.891"/>
        <n v="124.929"/>
        <n v="485.9892"/>
        <n v="-1.8904"/>
        <n v="43.7842"/>
        <n v="3.5784"/>
        <n v="23.226"/>
        <n v="2.1492"/>
        <n v="146.2405"/>
        <n v="43.3188"/>
        <n v="140.686"/>
        <n v="13.17"/>
        <n v="607.608"/>
        <n v="3.0861"/>
        <n v="31.0184"/>
        <n v="0.5236"/>
        <n v="10.4148"/>
        <n v="15.065"/>
        <n v="0.471"/>
        <n v="36.852"/>
        <n v="1.551"/>
        <n v="7.8936"/>
        <n v="-11.5176"/>
        <n v="23.9232"/>
        <n v="-1.9791"/>
        <n v="77.7519"/>
        <n v="-2.244"/>
        <n v="17.55"/>
        <n v="2.436"/>
        <n v="9.25"/>
        <n v="-73.8192"/>
        <n v="0.3864"/>
        <n v="78.7528"/>
        <n v="62.8075"/>
        <n v="134.652"/>
        <n v="15.5232"/>
        <n v="3.7996"/>
        <n v="28.6965"/>
        <n v="3.597"/>
        <n v="21.5397"/>
        <n v="-2.838"/>
        <n v="5.5664"/>
        <n v="8.7138"/>
        <n v="96.3438"/>
        <n v="47.6268"/>
        <n v="1.4456"/>
        <n v="2.5578"/>
        <n v="160.1766"/>
        <n v="-1.1996"/>
        <n v="16.5242"/>
        <n v="10.008"/>
        <n v="8.1168"/>
        <n v="22.7136"/>
        <n v="57.6"/>
        <n v="2.4864"/>
        <n v="3.267"/>
        <n v="6.8388"/>
        <n v="7.4256"/>
        <n v="3.894"/>
        <n v="74.5654"/>
        <n v="2.004"/>
        <n v="18.8784"/>
        <n v="-7.4358"/>
        <n v="6.6976"/>
        <n v="7.065"/>
        <n v="27.0112"/>
        <n v="6.858"/>
        <n v="0.99"/>
        <n v="456.588"/>
        <n v="20.392"/>
        <n v="131.2785"/>
        <n v="4.9648"/>
        <n v="0.8385"/>
        <n v="16.956"/>
        <n v="50.4426"/>
        <n v="79.758"/>
        <n v="16.17"/>
        <n v="2.577"/>
        <n v="15.0742"/>
        <n v="137.264"/>
        <n v="49.23"/>
        <n v="64.7856"/>
        <n v="34.8928"/>
        <n v="16.98"/>
        <n v="-8.9796"/>
        <n v="43.164"/>
        <n v="87.7443"/>
        <n v="285.9896"/>
        <n v="-6.9282"/>
        <n v="35.156"/>
        <n v="3.8822"/>
        <n v="-13.2867"/>
        <n v="3.4848"/>
        <n v="2.224"/>
        <n v="92.3692"/>
        <n v="0.5967"/>
        <n v="-1065.372"/>
        <n v="23.9169"/>
        <n v="28.858"/>
        <n v="449.991"/>
        <n v="9.2386"/>
        <n v="0.3024"/>
        <n v="19.9665"/>
        <n v="19.8276"/>
        <n v="-11.439"/>
        <n v="266.4522"/>
        <n v="5.1648"/>
        <n v="50.12"/>
        <n v="-6.286"/>
        <n v="-4.4946"/>
        <n v="120.9468"/>
        <n v="84.9436"/>
        <n v="16.146"/>
        <n v="3.4776"/>
        <n v="16.6698"/>
        <n v="84.495"/>
        <n v="-182.352"/>
        <n v="1.6784"/>
        <n v="-5.8346"/>
        <n v="-12.208"/>
        <n v="2.8884"/>
        <n v="49.4376"/>
        <n v="41.697"/>
        <n v="5.2877"/>
        <n v="41.076"/>
        <n v="10.881"/>
        <n v="1.068"/>
        <n v="91.9954"/>
        <n v="422.51"/>
        <n v="7.2268"/>
        <n v="35.994"/>
        <n v="207.147"/>
        <n v="23.5872"/>
        <n v="10.434"/>
        <n v="7.704"/>
        <n v="233.9961"/>
        <n v="5.778"/>
        <n v="16.8237"/>
        <n v="1.6128"/>
        <n v="32.2514"/>
        <n v="-13.978"/>
        <n v="6.7188"/>
        <n v="3.0576"/>
        <n v="459.396"/>
        <n v="553.3902"/>
        <n v="9.7328"/>
        <n v="1.1765"/>
        <n v="-2.0622"/>
        <n v="9.8658"/>
        <n v="5.193"/>
        <n v="21.714"/>
        <n v="5.7624"/>
        <n v="4.5216"/>
        <n v="12.3144"/>
        <n v="89.2224"/>
        <n v="-17.0352"/>
        <n v="27.9456"/>
        <n v="11.376"/>
        <n v="55.9986"/>
        <n v="0.3384"/>
        <n v="10.4284"/>
        <n v="14.2992"/>
        <n v="209.274"/>
        <n v="11.88"/>
        <n v="54.215"/>
        <n v="4.9082"/>
        <n v="2.3406"/>
        <n v="4.9248"/>
        <n v="-25.2185"/>
        <n v="-1.3104"/>
        <n v="1270.99"/>
        <n v="178.8"/>
        <n v="0.968"/>
        <n v="3.069"/>
        <n v="5.319"/>
        <n v="148.491"/>
        <n v="14.3075"/>
        <n v="12.5118"/>
        <n v="1.1151"/>
        <n v="36.4704"/>
        <n v="-5.784"/>
        <n v="0.7425"/>
        <n v="18.9702"/>
        <n v="610.8624"/>
        <n v="2.175"/>
        <n v="105.468"/>
        <n v="17.6418"/>
        <n v="15.3952"/>
        <n v="141.2775"/>
        <n v="22.5576"/>
        <n v="11.5432"/>
        <n v="3.4686"/>
        <n v="9.3906"/>
        <n v="48.9645"/>
        <n v="14.161"/>
        <n v="4.7976"/>
        <n v="5.3214"/>
        <n v="152.0232"/>
        <n v="1.3098"/>
        <n v="2.5641"/>
        <n v="17.428"/>
        <n v="82.497"/>
        <n v="-10.3824"/>
        <n v="59.998"/>
        <n v="109.3365"/>
        <n v="8.3916"/>
        <n v="169.182"/>
        <n v="190.4298"/>
        <n v="18.396"/>
        <n v="4.3428"/>
        <n v="2.1728"/>
        <n v="12.51"/>
        <n v="14.6264"/>
        <n v="5.4896"/>
        <n v="23.7742"/>
        <n v="33.936"/>
        <n v="5.6994"/>
        <n v="31.0912"/>
        <n v="62.737"/>
        <n v="2.2302"/>
        <n v="2.0228"/>
        <n v="-54.5958"/>
        <n v="16.5888"/>
        <n v="4.3308"/>
        <n v="-16.5858"/>
        <n v="14.2758"/>
        <n v="8.7672"/>
        <n v="0.7152"/>
        <n v="1.8148"/>
        <n v="3.6"/>
        <n v="21.4452"/>
        <n v="15.8571"/>
        <n v="4.8118"/>
        <n v="0.9952"/>
        <n v="2.999"/>
        <n v="1114.512"/>
        <n v="10.7424"/>
        <n v="-131.12"/>
        <n v="4.068"/>
        <n v="-42.4926"/>
        <n v="2.0748"/>
        <n v="-46.3946"/>
        <n v="-13.8278"/>
        <n v="-71.3958"/>
        <n v="2.94"/>
        <n v="-2.6256"/>
        <n v="12.549"/>
        <n v="-509.997"/>
        <n v="-3.8646"/>
        <n v="26.4132"/>
        <n v="8.2901"/>
        <n v="5.0232"/>
        <n v="-24.294"/>
        <n v="-14.773"/>
        <n v="11.7782"/>
        <n v="-16.467"/>
        <n v="-1.7514"/>
        <n v="9.5256"/>
        <n v="4.6746"/>
        <n v="10.56"/>
        <n v="155.727"/>
        <n v="4.2294"/>
        <n v="6.465"/>
        <n v="9.3184"/>
        <n v="40.473"/>
        <n v="-50.3928"/>
        <n v="-571.9956"/>
        <n v="-79.3352"/>
        <n v="-30.555"/>
        <n v="14.5614"/>
        <n v="13.1956"/>
        <n v="-143.2548"/>
        <n v="-24.803"/>
        <n v="22.2516"/>
        <n v="-2.1896"/>
        <n v="316.1392"/>
        <n v="7.1586"/>
        <n v="-5.712"/>
        <n v="29.4492"/>
        <n v="-11.52"/>
        <n v="8.2782"/>
        <n v="3.3544"/>
        <n v="-7.8588"/>
        <n v="-336.6272"/>
        <n v="10.8"/>
        <n v="0.2952"/>
        <n v="18.8937"/>
        <n v="284.98"/>
        <n v="25.0182"/>
        <n v="10.5714"/>
        <n v="-1.3608"/>
        <n v="6.512"/>
        <n v="1.7514"/>
        <n v="-166.32"/>
        <n v="14.43"/>
        <n v="12.8928"/>
        <n v="33.64"/>
        <n v="59.493"/>
        <n v="112.574"/>
        <n v="0.7938"/>
        <n v="-407.682"/>
        <n v="3.945"/>
        <n v="20.5176"/>
        <n v="-20.5623"/>
        <n v="5.837"/>
        <n v="27.7182"/>
        <n v="154.8426"/>
        <n v="11.1024"/>
        <n v="2.8764"/>
        <n v="17.3656"/>
        <n v="-46.7362"/>
        <n v="4.7236"/>
        <n v="-1.0656"/>
        <n v="-15.9102"/>
        <n v="-31.536"/>
        <n v="-7.9634"/>
        <n v="-18.5562"/>
        <n v="23.384"/>
        <n v="21.7845"/>
        <n v="10.3473"/>
        <n v="-35.5136"/>
        <n v="47.243"/>
        <n v="11.0016"/>
        <n v="-14.475"/>
        <n v="181.9818"/>
        <n v="40.1702"/>
        <n v="36.8245"/>
        <n v="-51.5154"/>
        <n v="3.8976"/>
        <n v="-447.5947"/>
        <n v="-1.1874"/>
        <n v="-12.0588"/>
        <n v="32.2322"/>
        <n v="93.5948"/>
        <n v="6.291"/>
        <n v="-3.6892"/>
        <n v="-8.029"/>
        <n v="100.685"/>
        <n v="-8.5794"/>
        <n v="-1.4016"/>
        <n v="2.502"/>
        <n v="2.7166"/>
        <n v="30.7818"/>
        <n v="4.6176"/>
        <n v="-29.3436"/>
        <n v="-12.432"/>
        <n v="172.4814"/>
        <n v="14.8"/>
        <n v="66.5088"/>
        <n v="56.5264"/>
        <n v="-67.941"/>
        <n v="9.352"/>
        <n v="-5.8604"/>
        <n v="18.528"/>
        <n v="-4.1244"/>
        <n v="-18.2352"/>
        <n v="0.334"/>
        <n v="-40.7976"/>
        <n v="-44.1552"/>
        <n v="-8.1312"/>
        <n v="-38.1114"/>
        <n v="-19.2588"/>
        <n v="3.384"/>
        <n v="-11.8256"/>
        <n v="42.8148"/>
        <n v="-58.8616"/>
        <n v="1.3316"/>
        <n v="5.3721"/>
        <n v="-11.322"/>
        <n v="4.3902"/>
        <n v="5.6644"/>
        <n v="83.5128"/>
        <n v="41.4294"/>
        <n v="0.5508"/>
        <n v="9.744"/>
        <n v="-459.9875"/>
        <n v="72.8946"/>
        <n v="874.9875"/>
        <n v="-22.62"/>
        <n v="-312.0614"/>
        <n v="-11.3372"/>
        <n v="-786.744"/>
        <n v="31.2858"/>
        <n v="-7.764"/>
        <n v="-4.0128"/>
        <n v="-0.7295"/>
        <n v="-66.5088"/>
        <n v="92.5056"/>
        <n v="-383.031"/>
        <n v="2.0975"/>
        <n v="1.773"/>
        <n v="13.8579"/>
        <n v="-12.796"/>
        <n v="0.5244"/>
        <n v="5.9384"/>
        <n v="30.0144"/>
        <n v="13.188"/>
        <n v="6.255"/>
        <n v="282.2092"/>
        <n v="-49.92"/>
        <n v="20.1708"/>
        <n v="1.674"/>
        <n v="25.1496"/>
        <n v="-123.858"/>
        <n v="75.6952"/>
        <n v="-145.5246"/>
        <n v="15.8256"/>
        <n v="-2.22"/>
        <n v="-80.48"/>
        <n v="-4.464"/>
        <n v="11.9988"/>
        <n v="-95.2476"/>
        <n v="10.203"/>
        <n v="13.064"/>
        <n v="-29.2524"/>
        <n v="356.0414"/>
        <n v="6.1704"/>
        <n v="-112.6216"/>
        <n v="1.043"/>
        <n v="0.2592"/>
        <n v="3.7752"/>
        <n v="55.3896"/>
        <n v="0.2997"/>
        <n v="-15.7514"/>
        <n v="4.293"/>
        <n v="-0.6976"/>
        <n v="-45.9954"/>
        <n v="10.9602"/>
        <n v="83.9944"/>
        <n v="-114.3912"/>
        <n v="10.3071"/>
        <n v="14.651"/>
        <n v="-5.5338"/>
        <n v="15.743"/>
        <n v="-115.7156"/>
        <n v="46.8996"/>
        <n v="215.9892"/>
        <n v="45.528"/>
        <n v="9.3024"/>
        <n v="14.4648"/>
        <n v="-7.2672"/>
        <n v="7.8225"/>
        <n v="-103.266"/>
        <n v="102.9528"/>
        <n v="4.5882"/>
        <n v="-204.4458"/>
        <n v="18.6624"/>
        <n v="-5.823"/>
        <n v="11.232"/>
        <n v="14.3068"/>
        <n v="32.925"/>
        <n v="3.0338"/>
        <n v="13.181"/>
        <n v="-29.6058"/>
        <n v="-28.2744"/>
        <n v="-12.9568"/>
        <n v="16.1096"/>
        <n v="-11.9616"/>
        <n v="-68.392"/>
        <n v="16.6536"/>
        <n v="5.798"/>
        <n v="-4.851"/>
        <n v="-18.4624"/>
        <n v="6.3072"/>
        <n v="-1665.0522"/>
        <n v="76.5484"/>
        <n v="22.3548"/>
        <n v="89.991"/>
        <n v="-29.4812"/>
        <n v="-162.2296"/>
        <n v="-52.8336"/>
        <n v="38.3572"/>
        <n v="3.1096"/>
        <n v="-26.8758"/>
        <n v="-22.449"/>
        <n v="-373.3048"/>
        <n v="8.01"/>
        <n v="28.4928"/>
        <n v="24.2919"/>
        <n v="-8.4924"/>
        <n v="-1.35"/>
        <n v="30.1872"/>
        <n v="-2.01"/>
        <n v="-3.432"/>
        <n v="8.2848"/>
        <n v="-9.1648"/>
        <n v="-3.168"/>
        <n v="1143.891"/>
        <n v="-15.2225"/>
        <n v="3.3516"/>
        <n v="213.7044"/>
        <n v="1.476"/>
        <n v="3.2832"/>
        <n v="38.97"/>
        <n v="-1.3584"/>
        <n v="-163.5767"/>
        <n v="-3.4272"/>
        <n v="39.6312"/>
        <n v="6.4308"/>
        <n v="-113.282"/>
        <n v="0.4984"/>
        <n v="-52.9584"/>
        <n v="-157.0095"/>
      </sharedItems>
    </cacheField>
    <cacheField name="Seles_in_selected_currency" formula="sum(Sales)*$T$6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008" sheet="ДАНІ"/>
  </cacheSource>
  <cacheFields>
    <cacheField name="Order ID" numFmtId="0">
      <sharedItems>
        <s v="CA-2014-100006"/>
        <s v="CA-2014-100090"/>
        <s v="CA-2014-100293"/>
        <s v="CA-2014-100328"/>
        <s v="CA-2014-100363"/>
        <s v="CA-2014-100391"/>
        <s v="CA-2014-100678"/>
        <s v="CA-2014-100706"/>
        <s v="CA-2014-100762"/>
        <s v="CA-2014-100860"/>
        <s v="CA-2014-100867"/>
        <s v="CA-2014-100881"/>
        <s v="CA-2014-100895"/>
        <s v="CA-2014-100916"/>
        <s v="CA-2014-100972"/>
        <s v="CA-2014-101147"/>
        <s v="CA-2014-101175"/>
        <s v="CA-2014-101266"/>
        <s v="CA-2014-101364"/>
        <s v="CA-2014-101392"/>
        <s v="CA-2014-101427"/>
        <s v="CA-2014-101462"/>
        <s v="CA-2014-101476"/>
        <s v="CA-2014-101560"/>
        <s v="CA-2014-101602"/>
        <s v="CA-2014-101770"/>
        <s v="CA-2014-101833"/>
        <s v="CA-2014-101931"/>
        <s v="CA-2014-102008"/>
        <s v="CA-2014-102085"/>
        <s v="CA-2014-102274"/>
        <s v="CA-2014-102295"/>
        <s v="CA-2014-102330"/>
        <s v="CA-2014-102645"/>
        <s v="CA-2014-102652"/>
        <s v="CA-2014-102673"/>
        <s v="CA-2014-102869"/>
        <s v="CA-2014-102988"/>
        <s v="CA-2014-103058"/>
        <s v="CA-2014-103086"/>
        <s v="CA-2014-103100"/>
        <s v="CA-2014-103191"/>
        <s v="CA-2014-103219"/>
        <s v="CA-2014-103310"/>
        <s v="CA-2014-103317"/>
        <s v="CA-2014-103331"/>
        <s v="CA-2014-103366"/>
        <s v="CA-2014-103373"/>
        <s v="CA-2014-103401"/>
        <s v="CA-2014-103429"/>
        <s v="CA-2014-103492"/>
        <s v="CA-2014-103527"/>
        <s v="CA-2014-103590"/>
        <s v="CA-2014-103660"/>
        <s v="CA-2014-103702"/>
        <s v="CA-2014-103744"/>
        <s v="CA-2014-103800"/>
        <s v="CA-2014-103807"/>
        <s v="CA-2014-103849"/>
        <s v="CA-2014-103940"/>
        <s v="CA-2014-103989"/>
        <s v="CA-2014-104178"/>
        <s v="CA-2014-104269"/>
        <s v="CA-2014-104283"/>
        <s v="CA-2014-104402"/>
        <s v="CA-2014-104472"/>
        <s v="CA-2014-104563"/>
        <s v="CA-2014-104738"/>
        <s v="CA-2014-104773"/>
        <s v="CA-2014-104780"/>
        <s v="CA-2014-104808"/>
        <s v="CA-2014-104829"/>
        <s v="CA-2014-104976"/>
        <s v="CA-2014-105165"/>
        <s v="CA-2014-105172"/>
        <s v="CA-2014-105249"/>
        <s v="CA-2014-105270"/>
        <s v="CA-2014-105340"/>
        <s v="CA-2014-105417"/>
        <s v="CA-2014-105648"/>
        <s v="CA-2014-105872"/>
        <s v="CA-2014-105893"/>
        <s v="CA-2014-105984"/>
        <s v="CA-2014-106054"/>
        <s v="CA-2014-106229"/>
        <s v="CA-2014-106264"/>
        <s v="CA-2014-106376"/>
        <s v="CA-2014-106439"/>
        <s v="CA-2014-106572"/>
        <s v="CA-2014-106719"/>
        <s v="CA-2014-106726"/>
        <s v="CA-2014-106803"/>
        <s v="CA-2014-106810"/>
        <s v="CA-2014-106971"/>
        <s v="CA-2014-107139"/>
        <s v="CA-2014-107153"/>
        <s v="CA-2014-107181"/>
        <s v="CA-2014-107398"/>
        <s v="CA-2014-107454"/>
        <s v="CA-2014-107524"/>
        <s v="CA-2014-107573"/>
        <s v="CA-2014-107594"/>
        <s v="CA-2014-107706"/>
        <s v="CA-2014-107755"/>
        <s v="CA-2014-107769"/>
        <s v="CA-2014-107811"/>
        <s v="CA-2014-107818"/>
        <s v="CA-2014-107916"/>
        <s v="CA-2014-108147"/>
        <s v="CA-2014-108182"/>
        <s v="CA-2014-108189"/>
        <s v="CA-2014-108273"/>
        <s v="CA-2014-108609"/>
        <s v="CA-2014-108707"/>
        <s v="CA-2014-108861"/>
        <s v="CA-2014-108903"/>
        <s v="CA-2014-109043"/>
        <s v="CA-2014-109127"/>
        <s v="CA-2014-109134"/>
        <s v="CA-2014-109218"/>
        <s v="CA-2014-109232"/>
        <s v="CA-2014-109302"/>
        <s v="CA-2014-109491"/>
        <s v="CA-2014-109680"/>
        <s v="CA-2014-109855"/>
        <s v="CA-2014-109890"/>
        <s v="CA-2014-109897"/>
        <s v="CA-2014-109904"/>
        <s v="CA-2014-109918"/>
        <s v="CA-2014-109932"/>
        <s v="CA-2014-110030"/>
        <s v="CA-2014-110065"/>
        <s v="CA-2014-110072"/>
        <s v="CA-2014-110100"/>
        <s v="CA-2014-110184"/>
        <s v="CA-2014-110219"/>
        <s v="CA-2014-110352"/>
        <s v="CA-2014-110408"/>
        <s v="CA-2014-110422"/>
        <s v="CA-2014-110527"/>
        <s v="CA-2014-110555"/>
        <s v="CA-2014-110611"/>
        <s v="CA-2014-110639"/>
        <s v="CA-2014-110786"/>
        <s v="CA-2014-110849"/>
        <s v="CA-2014-111003"/>
        <s v="CA-2014-111059"/>
        <s v="CA-2014-111150"/>
        <s v="CA-2014-111157"/>
        <s v="CA-2014-111192"/>
        <s v="CA-2014-111360"/>
        <s v="CA-2014-111451"/>
        <s v="CA-2014-111500"/>
        <s v="CA-2014-111773"/>
        <s v="CA-2014-111857"/>
        <s v="CA-2014-111871"/>
        <s v="CA-2014-111899"/>
        <s v="CA-2014-111934"/>
        <s v="CA-2014-111962"/>
        <s v="CA-2014-112158"/>
        <s v="CA-2014-112291"/>
        <s v="CA-2014-112326"/>
        <s v="CA-2014-112403"/>
        <s v="CA-2014-112718"/>
        <s v="CA-2014-112837"/>
        <s v="CA-2014-112851"/>
        <s v="CA-2014-113047"/>
        <s v="CA-2014-113166"/>
        <s v="CA-2014-113257"/>
        <s v="CA-2014-113271"/>
        <s v="CA-2014-113320"/>
        <s v="CA-2014-113362"/>
        <s v="CA-2014-113383"/>
        <s v="CA-2014-113579"/>
        <s v="CA-2014-113768"/>
        <s v="CA-2014-113859"/>
        <s v="CA-2014-113880"/>
        <s v="CA-2014-113887"/>
        <s v="CA-2014-113929"/>
        <s v="CA-2014-113964"/>
        <s v="CA-2014-114125"/>
        <s v="CA-2014-114181"/>
        <s v="CA-2014-114195"/>
        <s v="CA-2014-114251"/>
        <s v="CA-2014-114314"/>
        <s v="CA-2014-114321"/>
        <s v="CA-2014-114335"/>
        <s v="CA-2014-114433"/>
        <s v="CA-2014-114510"/>
        <s v="CA-2014-114517"/>
        <s v="CA-2014-114643"/>
        <s v="CA-2014-114790"/>
        <s v="CA-2014-115049"/>
        <s v="CA-2014-115056"/>
        <s v="CA-2014-115084"/>
        <s v="CA-2014-115133"/>
        <s v="CA-2014-115161"/>
        <s v="CA-2014-115259"/>
        <s v="CA-2014-115336"/>
        <s v="CA-2014-115357"/>
        <s v="CA-2014-115791"/>
        <s v="CA-2014-115812"/>
        <s v="CA-2014-115889"/>
        <s v="CA-2014-115973"/>
        <s v="CA-2014-115980"/>
        <s v="CA-2014-116190"/>
        <s v="CA-2014-116239"/>
        <s v="CA-2014-116246"/>
        <s v="CA-2014-116407"/>
        <s v="CA-2014-116568"/>
        <s v="CA-2014-116666"/>
        <s v="CA-2014-116673"/>
        <s v="CA-2014-116757"/>
        <s v="CA-2014-116785"/>
        <s v="CA-2014-116834"/>
        <s v="CA-2014-116904"/>
        <s v="CA-2014-116932"/>
        <s v="CA-2014-117016"/>
        <s v="CA-2014-117317"/>
        <s v="CA-2014-117345"/>
        <s v="CA-2014-117429"/>
        <s v="CA-2014-117464"/>
        <s v="CA-2014-117478"/>
        <s v="CA-2014-117639"/>
        <s v="CA-2014-117709"/>
        <s v="CA-2014-117765"/>
        <s v="CA-2014-118192"/>
        <s v="CA-2014-118276"/>
        <s v="CA-2014-118304"/>
        <s v="CA-2014-118339"/>
        <s v="CA-2014-118962"/>
        <s v="CA-2014-118976"/>
        <s v="CA-2014-119032"/>
        <s v="CA-2014-119144"/>
        <s v="CA-2014-119151"/>
        <s v="CA-2014-119172"/>
        <s v="CA-2014-119375"/>
        <s v="CA-2014-119466"/>
        <s v="CA-2014-119529"/>
        <s v="CA-2014-119977"/>
        <s v="CA-2014-120096"/>
        <s v="CA-2014-120243"/>
        <s v="CA-2014-120278"/>
        <s v="CA-2014-120411"/>
        <s v="CA-2014-120432"/>
        <s v="CA-2014-120474"/>
        <s v="CA-2014-120544"/>
        <s v="CA-2014-120670"/>
        <s v="CA-2014-120768"/>
        <s v="CA-2014-120775"/>
        <s v="CA-2014-120838"/>
        <s v="CA-2014-120852"/>
        <s v="CA-2014-120887"/>
        <s v="CA-2014-120950"/>
        <s v="CA-2014-121006"/>
        <s v="CA-2014-121167"/>
        <s v="CA-2014-121286"/>
        <s v="CA-2014-121573"/>
        <s v="CA-2014-121629"/>
        <s v="CA-2014-121664"/>
        <s v="CA-2014-121727"/>
        <s v="CA-2014-121762"/>
        <s v="CA-2014-121769"/>
        <s v="CA-2014-122070"/>
        <s v="CA-2014-122217"/>
        <s v="CA-2014-122336"/>
        <s v="CA-2014-122567"/>
        <s v="CA-2014-122588"/>
        <s v="CA-2014-122609"/>
        <s v="CA-2014-122679"/>
        <s v="CA-2014-122749"/>
        <s v="CA-2014-122882"/>
        <s v="CA-2014-122931"/>
        <s v="CA-2014-123064"/>
        <s v="CA-2014-123127"/>
        <s v="CA-2014-123225"/>
        <s v="CA-2014-123253"/>
        <s v="CA-2014-123260"/>
        <s v="CA-2014-123295"/>
        <s v="CA-2014-123316"/>
        <s v="CA-2014-123323"/>
        <s v="CA-2014-123344"/>
        <s v="CA-2014-123400"/>
        <s v="CA-2014-123477"/>
        <s v="CA-2014-123498"/>
        <s v="CA-2014-123855"/>
        <s v="CA-2014-123925"/>
        <s v="CA-2014-124023"/>
        <s v="CA-2014-124079"/>
        <s v="CA-2014-124247"/>
        <s v="CA-2014-124394"/>
        <s v="CA-2014-124429"/>
        <s v="CA-2014-124464"/>
        <s v="CA-2014-124478"/>
        <s v="CA-2014-124513"/>
        <s v="CA-2014-124618"/>
        <s v="CA-2014-124646"/>
        <s v="CA-2014-124688"/>
        <s v="CA-2014-124702"/>
        <s v="CA-2014-124709"/>
        <s v="CA-2014-124723"/>
        <s v="CA-2014-124730"/>
        <s v="CA-2014-124737"/>
        <s v="CA-2014-124807"/>
        <s v="CA-2014-124856"/>
        <s v="CA-2014-125136"/>
        <s v="CA-2014-125150"/>
        <s v="CA-2014-125171"/>
        <s v="CA-2014-125514"/>
        <s v="CA-2014-125542"/>
        <s v="CA-2014-125556"/>
        <s v="CA-2014-125612"/>
        <s v="CA-2014-125682"/>
        <s v="CA-2014-125731"/>
        <s v="CA-2014-125759"/>
        <s v="CA-2014-125829"/>
        <s v="CA-2014-125997"/>
        <s v="CA-2014-126032"/>
        <s v="CA-2014-126193"/>
        <s v="CA-2014-126200"/>
        <s v="CA-2014-126277"/>
        <s v="CA-2014-126333"/>
        <s v="CA-2014-126361"/>
        <s v="CA-2014-126403"/>
        <s v="CA-2014-126480"/>
        <s v="CA-2014-126522"/>
        <s v="CA-2014-126683"/>
        <s v="CA-2014-126760"/>
        <s v="CA-2014-126802"/>
        <s v="CA-2014-126907"/>
        <s v="CA-2014-126963"/>
        <s v="CA-2014-127012"/>
        <s v="CA-2014-127131"/>
        <s v="CA-2014-127159"/>
        <s v="CA-2014-127166"/>
        <s v="CA-2014-127187"/>
        <s v="CA-2014-127299"/>
        <s v="CA-2014-127383"/>
        <s v="CA-2014-127446"/>
        <s v="CA-2014-127488"/>
        <s v="CA-2014-127523"/>
        <s v="CA-2014-127558"/>
        <s v="CA-2014-127586"/>
        <s v="CA-2014-127614"/>
        <s v="CA-2014-127691"/>
        <s v="CA-2014-127859"/>
        <s v="CA-2014-127866"/>
        <s v="CA-2014-127936"/>
        <s v="CA-2014-127964"/>
        <s v="CA-2014-128055"/>
        <s v="CA-2014-128062"/>
        <s v="CA-2014-128146"/>
        <s v="CA-2014-128209"/>
        <s v="CA-2014-128237"/>
        <s v="CA-2014-128524"/>
        <s v="CA-2014-128538"/>
        <s v="CA-2014-128622"/>
        <s v="CA-2014-128839"/>
        <s v="CA-2014-128846"/>
        <s v="CA-2014-128888"/>
        <s v="CA-2014-128986"/>
        <s v="CA-2014-129091"/>
        <s v="CA-2014-129147"/>
        <s v="CA-2014-129168"/>
        <s v="CA-2014-129189"/>
        <s v="CA-2014-129364"/>
        <s v="CA-2014-129574"/>
        <s v="CA-2014-129819"/>
        <s v="CA-2014-129924"/>
        <s v="CA-2014-129938"/>
        <s v="CA-2014-130092"/>
        <s v="CA-2014-130155"/>
        <s v="CA-2014-130274"/>
        <s v="CA-2014-130421"/>
        <s v="CA-2014-130428"/>
        <s v="CA-2014-130449"/>
        <s v="CA-2014-130575"/>
        <s v="CA-2014-130624"/>
        <s v="CA-2014-130673"/>
        <s v="CA-2014-130729"/>
        <s v="CA-2014-130813"/>
        <s v="CA-2014-130869"/>
        <s v="CA-2014-130918"/>
        <s v="CA-2014-130960"/>
        <s v="CA-2014-131002"/>
        <s v="CA-2014-131009"/>
        <s v="CA-2014-131051"/>
        <s v="CA-2014-131247"/>
        <s v="CA-2014-131310"/>
        <s v="CA-2014-131387"/>
        <s v="CA-2014-131450"/>
        <s v="CA-2014-131527"/>
        <s v="CA-2014-131541"/>
        <s v="CA-2014-131800"/>
        <s v="CA-2014-131905"/>
        <s v="CA-2014-131926"/>
        <s v="CA-2014-131947"/>
        <s v="CA-2014-132010"/>
        <s v="CA-2014-132227"/>
        <s v="CA-2014-132451"/>
        <s v="CA-2014-132500"/>
        <s v="CA-2014-132542"/>
        <s v="CA-2014-132612"/>
        <s v="CA-2014-132787"/>
        <s v="CA-2014-132801"/>
        <s v="CA-2014-132864"/>
        <s v="CA-2014-132913"/>
        <s v="CA-2014-132962"/>
        <s v="CA-2014-132983"/>
        <s v="CA-2014-133158"/>
        <s v="CA-2014-133228"/>
        <s v="CA-2014-133270"/>
        <s v="CA-2014-133305"/>
        <s v="CA-2014-133354"/>
        <s v="CA-2014-133389"/>
        <s v="CA-2014-133424"/>
        <s v="CA-2014-133543"/>
        <s v="CA-2014-133592"/>
        <s v="CA-2014-133634"/>
        <s v="CA-2014-133690"/>
        <s v="CA-2014-133704"/>
        <s v="CA-2014-133753"/>
        <s v="CA-2014-133809"/>
        <s v="CA-2014-133830"/>
        <s v="CA-2014-133851"/>
        <s v="CA-2014-133963"/>
        <s v="CA-2014-134061"/>
        <s v="CA-2014-134103"/>
        <s v="CA-2014-134215"/>
        <s v="CA-2014-134278"/>
        <s v="CA-2014-134313"/>
        <s v="CA-2014-134551"/>
        <s v="CA-2014-134572"/>
        <s v="CA-2014-134621"/>
        <s v="CA-2014-134677"/>
        <s v="CA-2014-134726"/>
        <s v="CA-2014-135090"/>
        <s v="CA-2014-135405"/>
        <s v="CA-2014-135608"/>
        <s v="CA-2014-135657"/>
        <s v="CA-2014-135699"/>
        <s v="CA-2014-135755"/>
        <s v="CA-2014-135993"/>
        <s v="CA-2014-136280"/>
        <s v="CA-2014-136336"/>
        <s v="CA-2014-136399"/>
        <s v="CA-2014-136567"/>
        <s v="CA-2014-136644"/>
        <s v="CA-2014-136742"/>
        <s v="CA-2014-136861"/>
        <s v="CA-2014-137092"/>
        <s v="CA-2014-137274"/>
        <s v="CA-2014-137351"/>
        <s v="CA-2014-137575"/>
        <s v="CA-2014-137589"/>
        <s v="CA-2014-137911"/>
        <s v="CA-2014-138023"/>
        <s v="CA-2014-138072"/>
        <s v="CA-2014-138100"/>
        <s v="CA-2014-138128"/>
        <s v="CA-2014-138177"/>
        <s v="CA-2014-138198"/>
        <s v="CA-2014-138240"/>
        <s v="CA-2014-138296"/>
        <s v="CA-2014-138317"/>
        <s v="CA-2014-138359"/>
        <s v="CA-2014-138436"/>
        <s v="CA-2014-138450"/>
        <s v="CA-2014-138513"/>
        <s v="CA-2014-138527"/>
        <s v="CA-2014-138681"/>
        <s v="CA-2014-138709"/>
        <s v="CA-2014-138737"/>
        <s v="CA-2014-138940"/>
        <s v="CA-2014-139017"/>
        <s v="CA-2014-139192"/>
        <s v="CA-2014-139283"/>
        <s v="CA-2014-139423"/>
        <s v="CA-2014-139451"/>
        <s v="CA-2014-139542"/>
        <s v="CA-2014-139598"/>
        <s v="CA-2014-139633"/>
        <s v="CA-2014-139857"/>
        <s v="CA-2014-139892"/>
        <s v="CA-2014-140004"/>
        <s v="CA-2014-140032"/>
        <s v="CA-2014-140039"/>
        <s v="CA-2014-140165"/>
        <s v="CA-2014-140228"/>
        <s v="CA-2014-140396"/>
        <s v="CA-2014-140403"/>
        <s v="CA-2014-140473"/>
        <s v="CA-2014-140487"/>
        <s v="CA-2014-140662"/>
        <s v="CA-2014-140732"/>
        <s v="CA-2014-140795"/>
        <s v="CA-2014-140816"/>
        <s v="CA-2014-140858"/>
        <s v="CA-2014-140886"/>
        <s v="CA-2014-141005"/>
        <s v="CA-2014-141110"/>
        <s v="CA-2014-141152"/>
        <s v="CA-2014-141173"/>
        <s v="CA-2014-141278"/>
        <s v="CA-2014-141299"/>
        <s v="CA-2014-141313"/>
        <s v="CA-2014-141355"/>
        <s v="CA-2014-141607"/>
        <s v="CA-2014-141649"/>
        <s v="CA-2014-141726"/>
        <s v="CA-2014-141796"/>
        <s v="CA-2014-141817"/>
        <s v="CA-2014-141838"/>
        <s v="CA-2014-141901"/>
        <s v="CA-2014-142048"/>
        <s v="CA-2014-142314"/>
        <s v="CA-2014-142510"/>
        <s v="CA-2014-142587"/>
        <s v="CA-2014-142727"/>
        <s v="CA-2014-142769"/>
        <s v="CA-2014-142839"/>
        <s v="CA-2014-142951"/>
        <s v="CA-2014-142965"/>
        <s v="CA-2014-142979"/>
        <s v="CA-2014-143168"/>
        <s v="CA-2014-143182"/>
        <s v="CA-2014-143210"/>
        <s v="CA-2014-143336"/>
        <s v="CA-2014-143371"/>
        <s v="CA-2014-143385"/>
        <s v="CA-2014-143413"/>
        <s v="CA-2014-143637"/>
        <s v="CA-2014-143840"/>
        <s v="CA-2014-143903"/>
        <s v="CA-2014-143917"/>
        <s v="CA-2014-144029"/>
        <s v="CA-2014-144071"/>
        <s v="CA-2014-144281"/>
        <s v="CA-2014-144407"/>
        <s v="CA-2014-144414"/>
        <s v="CA-2014-144624"/>
        <s v="CA-2014-144666"/>
        <s v="CA-2014-144974"/>
        <s v="CA-2014-145212"/>
        <s v="CA-2014-145254"/>
        <s v="CA-2014-145317"/>
        <s v="CA-2014-145387"/>
        <s v="CA-2014-145541"/>
        <s v="CA-2014-145576"/>
        <s v="CA-2014-145800"/>
        <s v="CA-2014-145926"/>
        <s v="CA-2014-146283"/>
        <s v="CA-2014-146500"/>
        <s v="CA-2014-146528"/>
        <s v="CA-2014-146591"/>
        <s v="CA-2014-146640"/>
        <s v="CA-2014-146703"/>
        <s v="CA-2014-146731"/>
        <s v="CA-2014-146815"/>
        <s v="CA-2014-146843"/>
        <s v="CA-2014-146864"/>
        <s v="CA-2014-146885"/>
        <s v="CA-2014-146969"/>
        <s v="CA-2014-146990"/>
        <s v="CA-2014-146997"/>
        <s v="CA-2014-147235"/>
        <s v="CA-2014-147298"/>
        <s v="CA-2014-147543"/>
        <s v="CA-2014-147900"/>
        <s v="CA-2014-147914"/>
        <s v="CA-2014-148040"/>
        <s v="CA-2014-148285"/>
        <s v="CA-2014-148369"/>
        <s v="CA-2014-148383"/>
        <s v="CA-2014-148425"/>
        <s v="CA-2014-148488"/>
        <s v="CA-2014-148586"/>
        <s v="CA-2014-148614"/>
        <s v="CA-2014-148761"/>
        <s v="CA-2014-148782"/>
        <s v="CA-2014-148915"/>
        <s v="CA-2014-148950"/>
        <s v="CA-2014-149020"/>
        <s v="CA-2014-149055"/>
        <s v="CA-2014-149104"/>
        <s v="CA-2014-149244"/>
        <s v="CA-2014-149524"/>
        <s v="CA-2014-149538"/>
        <s v="CA-2014-149594"/>
        <s v="CA-2014-149643"/>
        <s v="CA-2014-149958"/>
        <s v="CA-2014-150203"/>
        <s v="CA-2014-150245"/>
        <s v="CA-2014-150301"/>
        <s v="CA-2014-150329"/>
        <s v="CA-2014-150490"/>
        <s v="CA-2014-150518"/>
        <s v="CA-2014-150581"/>
        <s v="CA-2014-150798"/>
        <s v="CA-2014-151001"/>
        <s v="CA-2014-151078"/>
        <s v="CA-2014-151162"/>
        <s v="CA-2014-151295"/>
        <s v="CA-2014-151330"/>
        <s v="CA-2014-151379"/>
        <s v="CA-2014-151554"/>
        <s v="CA-2014-151708"/>
        <s v="CA-2014-151792"/>
        <s v="CA-2014-151897"/>
        <s v="CA-2014-151946"/>
        <s v="CA-2014-151953"/>
        <s v="CA-2014-151967"/>
        <s v="CA-2014-151995"/>
        <s v="CA-2014-152100"/>
        <s v="CA-2014-152233"/>
        <s v="CA-2014-152254"/>
        <s v="CA-2014-152268"/>
        <s v="CA-2014-152296"/>
        <s v="CA-2014-152345"/>
        <s v="CA-2014-152422"/>
        <s v="CA-2014-152443"/>
        <s v="CA-2014-152562"/>
        <s v="CA-2014-152618"/>
        <s v="CA-2014-152849"/>
        <s v="CA-2014-152905"/>
        <s v="CA-2014-153087"/>
        <s v="CA-2014-153150"/>
        <s v="CA-2014-153479"/>
        <s v="CA-2014-153619"/>
        <s v="CA-2014-153808"/>
        <s v="CA-2014-153850"/>
        <s v="CA-2014-153913"/>
        <s v="CA-2014-153927"/>
        <s v="CA-2014-153969"/>
        <s v="CA-2014-153976"/>
        <s v="CA-2014-153983"/>
        <s v="CA-2014-154095"/>
        <s v="CA-2014-154158"/>
        <s v="CA-2014-154165"/>
        <s v="CA-2014-154186"/>
        <s v="CA-2014-154592"/>
        <s v="CA-2014-154599"/>
        <s v="CA-2014-154627"/>
        <s v="CA-2014-154641"/>
        <s v="CA-2014-154669"/>
        <s v="CA-2014-154781"/>
        <s v="CA-2014-154837"/>
        <s v="CA-2014-154893"/>
        <s v="CA-2014-154963"/>
        <s v="CA-2014-155208"/>
        <s v="CA-2014-155264"/>
        <s v="CA-2014-155271"/>
        <s v="CA-2014-155390"/>
        <s v="CA-2014-155593"/>
        <s v="CA-2014-155796"/>
        <s v="CA-2014-155852"/>
        <s v="CA-2014-155887"/>
        <s v="CA-2014-156006"/>
        <s v="CA-2014-156160"/>
        <s v="CA-2014-156244"/>
        <s v="CA-2014-156314"/>
        <s v="CA-2014-156342"/>
        <s v="CA-2014-156349"/>
        <s v="CA-2014-156433"/>
        <s v="CA-2014-156545"/>
        <s v="CA-2014-156587"/>
        <s v="CA-2014-156594"/>
        <s v="CA-2014-156601"/>
        <s v="CA-2014-156790"/>
        <s v="CA-2014-156993"/>
        <s v="CA-2014-157147"/>
        <s v="CA-2014-157546"/>
        <s v="CA-2014-157609"/>
        <s v="CA-2014-157623"/>
        <s v="CA-2014-157644"/>
        <s v="CA-2014-157721"/>
        <s v="CA-2014-157784"/>
        <s v="CA-2014-157882"/>
        <s v="CA-2014-157924"/>
        <s v="CA-2014-158029"/>
        <s v="CA-2014-158064"/>
        <s v="CA-2014-158225"/>
        <s v="CA-2014-158274"/>
        <s v="CA-2014-158281"/>
        <s v="CA-2014-158337"/>
        <s v="CA-2014-158372"/>
        <s v="CA-2014-158442"/>
        <s v="CA-2014-158470"/>
        <s v="CA-2014-158540"/>
        <s v="CA-2014-158771"/>
        <s v="CA-2014-159121"/>
        <s v="CA-2014-159184"/>
        <s v="CA-2014-159310"/>
        <s v="CA-2014-159338"/>
        <s v="CA-2014-159478"/>
        <s v="CA-2014-159520"/>
        <s v="CA-2014-159625"/>
        <s v="CA-2014-159681"/>
        <s v="CA-2014-159709"/>
        <s v="CA-2014-159800"/>
        <s v="CA-2014-159814"/>
        <s v="CA-2014-159835"/>
        <s v="CA-2014-159849"/>
        <s v="CA-2014-160066"/>
        <s v="CA-2014-160094"/>
        <s v="CA-2014-160157"/>
        <s v="CA-2014-160262"/>
        <s v="CA-2014-160276"/>
        <s v="CA-2014-160738"/>
        <s v="CA-2014-160766"/>
        <s v="CA-2014-160773"/>
        <s v="CA-2014-161032"/>
        <s v="CA-2014-161249"/>
        <s v="CA-2014-161508"/>
        <s v="CA-2014-161634"/>
        <s v="CA-2014-162089"/>
        <s v="CA-2014-162278"/>
        <s v="CA-2014-162362"/>
        <s v="CA-2014-162684"/>
        <s v="CA-2014-162775"/>
        <s v="CA-2014-162866"/>
        <s v="CA-2014-162992"/>
        <s v="CA-2014-163013"/>
        <s v="CA-2014-163034"/>
        <s v="CA-2014-163223"/>
        <s v="CA-2014-163293"/>
        <s v="CA-2014-163412"/>
        <s v="CA-2014-163419"/>
        <s v="CA-2014-163447"/>
        <s v="CA-2014-163468"/>
        <s v="CA-2014-163552"/>
        <s v="CA-2014-163559"/>
        <s v="CA-2014-163650"/>
        <s v="CA-2014-163748"/>
        <s v="CA-2014-163867"/>
        <s v="CA-2014-164182"/>
        <s v="CA-2014-164210"/>
        <s v="CA-2014-164224"/>
        <s v="CA-2014-164259"/>
        <s v="CA-2014-164315"/>
        <s v="CA-2014-164385"/>
        <s v="CA-2014-164469"/>
        <s v="CA-2014-164721"/>
        <s v="CA-2014-164742"/>
        <s v="CA-2014-164749"/>
        <s v="CA-2014-164861"/>
        <s v="CA-2014-164903"/>
        <s v="CA-2014-164910"/>
        <s v="CA-2014-164973"/>
        <s v="CA-2014-165309"/>
        <s v="CA-2014-165379"/>
        <s v="CA-2014-165393"/>
        <s v="CA-2014-165428"/>
        <s v="CA-2014-165477"/>
        <s v="CA-2014-165540"/>
        <s v="CA-2014-165568"/>
        <s v="CA-2014-165764"/>
        <s v="CA-2014-165806"/>
        <s v="CA-2014-165974"/>
        <s v="CA-2014-166051"/>
        <s v="CA-2014-166086"/>
        <s v="CA-2014-166191"/>
        <s v="CA-2014-166457"/>
        <s v="CA-2014-166471"/>
        <s v="CA-2014-166555"/>
        <s v="CA-2014-166590"/>
        <s v="CA-2014-166716"/>
        <s v="CA-2014-166730"/>
        <s v="CA-2014-166744"/>
        <s v="CA-2014-166863"/>
        <s v="CA-2014-166884"/>
        <s v="CA-2014-166891"/>
        <s v="CA-2014-166954"/>
        <s v="CA-2014-166961"/>
        <s v="CA-2014-166989"/>
        <s v="CA-2014-167164"/>
        <s v="CA-2014-167199"/>
        <s v="CA-2014-167360"/>
        <s v="CA-2014-167486"/>
        <s v="CA-2014-167724"/>
        <s v="CA-2014-167850"/>
        <s v="CA-2014-167927"/>
        <s v="CA-2014-167997"/>
        <s v="CA-2014-168130"/>
        <s v="CA-2014-168158"/>
        <s v="CA-2014-168305"/>
        <s v="CA-2014-168312"/>
        <s v="CA-2014-168368"/>
        <s v="CA-2014-168473"/>
        <s v="CA-2014-168494"/>
        <s v="CA-2014-168592"/>
        <s v="CA-2014-168823"/>
        <s v="CA-2014-168984"/>
        <s v="CA-2014-169019"/>
        <s v="CA-2014-169033"/>
        <s v="CA-2014-169061"/>
        <s v="CA-2014-169257"/>
        <s v="CA-2014-169446"/>
        <s v="CA-2014-169460"/>
        <s v="CA-2014-169642"/>
        <s v="CA-2014-169649"/>
        <s v="CA-2014-169684"/>
        <s v="CA-2014-169726"/>
        <s v="CA-2014-169775"/>
        <s v="CA-2014-169803"/>
        <s v="CA-2014-169852"/>
        <s v="CA-2015-100146"/>
        <s v="CA-2015-100216"/>
        <s v="CA-2015-100251"/>
        <s v="CA-2015-100454"/>
        <s v="CA-2015-100545"/>
        <s v="CA-2015-100573"/>
        <s v="CA-2015-100657"/>
        <s v="CA-2015-100685"/>
        <s v="CA-2015-100734"/>
        <s v="CA-2015-100769"/>
        <s v="CA-2015-100818"/>
        <s v="CA-2015-100888"/>
        <s v="CA-2015-101000"/>
        <s v="CA-2015-101007"/>
        <s v="CA-2015-101091"/>
        <s v="CA-2015-101126"/>
        <s v="CA-2015-101154"/>
        <s v="CA-2015-101707"/>
        <s v="CA-2015-101868"/>
        <s v="CA-2015-101889"/>
        <s v="CA-2015-101910"/>
        <s v="CA-2015-101924"/>
        <s v="CA-2015-102015"/>
        <s v="CA-2015-102036"/>
        <s v="CA-2015-102260"/>
        <s v="CA-2015-102281"/>
        <s v="CA-2015-102316"/>
        <s v="CA-2015-102491"/>
        <s v="CA-2015-102582"/>
        <s v="CA-2015-102722"/>
        <s v="CA-2015-102778"/>
        <s v="CA-2015-102806"/>
        <s v="CA-2015-102848"/>
        <s v="CA-2015-102855"/>
        <s v="CA-2015-102876"/>
        <s v="CA-2015-103072"/>
        <s v="CA-2015-103093"/>
        <s v="CA-2015-103135"/>
        <s v="CA-2015-103177"/>
        <s v="CA-2015-103205"/>
        <s v="CA-2015-103716"/>
        <s v="CA-2015-103723"/>
        <s v="CA-2015-103772"/>
        <s v="CA-2015-103793"/>
        <s v="CA-2015-103835"/>
        <s v="CA-2015-103870"/>
        <s v="CA-2015-103933"/>
        <s v="CA-2015-103954"/>
        <s v="CA-2015-103961"/>
        <s v="CA-2015-104038"/>
        <s v="CA-2015-104052"/>
        <s v="CA-2015-104059"/>
        <s v="CA-2015-104115"/>
        <s v="CA-2015-104129"/>
        <s v="CA-2015-104241"/>
        <s v="CA-2015-104297"/>
        <s v="CA-2015-104346"/>
        <s v="CA-2015-104486"/>
        <s v="CA-2015-104493"/>
        <s v="CA-2015-104514"/>
        <s v="CA-2015-104626"/>
        <s v="CA-2015-104871"/>
        <s v="CA-2015-104941"/>
        <s v="CA-2015-104948"/>
        <s v="CA-2015-105102"/>
        <s v="CA-2015-105158"/>
        <s v="CA-2015-105221"/>
        <s v="CA-2015-105312"/>
        <s v="CA-2015-105347"/>
        <s v="CA-2015-105361"/>
        <s v="CA-2015-105508"/>
        <s v="CA-2015-105571"/>
        <s v="CA-2015-105599"/>
        <s v="CA-2015-105613"/>
        <s v="CA-2015-105627"/>
        <s v="CA-2015-105634"/>
        <s v="CA-2015-105690"/>
        <s v="CA-2015-105725"/>
        <s v="CA-2015-105844"/>
        <s v="CA-2015-105970"/>
        <s v="CA-2015-106187"/>
        <s v="CA-2015-106208"/>
        <s v="CA-2015-106215"/>
        <s v="CA-2015-106257"/>
        <s v="CA-2015-106320"/>
        <s v="CA-2015-106362"/>
        <s v="CA-2015-106565"/>
        <s v="CA-2015-106978"/>
        <s v="CA-2015-107020"/>
        <s v="CA-2015-107083"/>
        <s v="CA-2015-107468"/>
        <s v="CA-2015-107678"/>
        <s v="CA-2015-107685"/>
        <s v="CA-2015-107741"/>
        <s v="CA-2015-107902"/>
        <s v="CA-2015-107937"/>
        <s v="CA-2015-108119"/>
        <s v="CA-2015-108259"/>
        <s v="CA-2015-108532"/>
        <s v="CA-2015-108588"/>
        <s v="CA-2015-108665"/>
        <s v="CA-2015-108672"/>
        <s v="CA-2015-109001"/>
        <s v="CA-2015-109113"/>
        <s v="CA-2015-109169"/>
        <s v="CA-2015-109190"/>
        <s v="CA-2015-109197"/>
        <s v="CA-2015-109337"/>
        <s v="CA-2015-109386"/>
        <s v="CA-2015-109470"/>
        <s v="CA-2015-109512"/>
        <s v="CA-2015-109575"/>
        <s v="CA-2015-109603"/>
        <s v="CA-2015-109638"/>
        <s v="CA-2015-109708"/>
        <s v="CA-2015-109736"/>
        <s v="CA-2015-109862"/>
        <s v="CA-2015-109939"/>
        <s v="CA-2015-110016"/>
        <s v="CA-2015-110093"/>
        <s v="CA-2015-110247"/>
        <s v="CA-2015-110289"/>
        <s v="CA-2015-110324"/>
        <s v="CA-2015-110345"/>
        <s v="CA-2015-110457"/>
        <s v="CA-2015-110548"/>
        <s v="CA-2015-110632"/>
        <s v="CA-2015-110667"/>
        <s v="CA-2015-110744"/>
        <s v="CA-2015-110765"/>
        <s v="CA-2015-110814"/>
        <s v="CA-2015-110863"/>
        <s v="CA-2015-110870"/>
        <s v="CA-2015-110877"/>
        <s v="CA-2015-110891"/>
        <s v="CA-2015-110947"/>
        <s v="CA-2015-111017"/>
        <s v="CA-2015-111038"/>
        <s v="CA-2015-111073"/>
        <s v="CA-2015-111094"/>
        <s v="CA-2015-111164"/>
        <s v="CA-2015-111199"/>
        <s v="CA-2015-111206"/>
        <s v="CA-2015-111234"/>
        <s v="CA-2015-111297"/>
        <s v="CA-2015-111325"/>
        <s v="CA-2015-111339"/>
        <s v="CA-2015-111395"/>
        <s v="CA-2015-111458"/>
        <s v="CA-2015-111507"/>
        <s v="CA-2015-111514"/>
        <s v="CA-2015-111612"/>
        <s v="CA-2015-111703"/>
        <s v="CA-2015-111780"/>
        <s v="CA-2015-111829"/>
        <s v="CA-2015-111864"/>
        <s v="CA-2015-111948"/>
        <s v="CA-2015-111990"/>
        <s v="CA-2015-112014"/>
        <s v="CA-2015-112053"/>
        <s v="CA-2015-112116"/>
        <s v="CA-2015-112130"/>
        <s v="CA-2015-112144"/>
        <s v="CA-2015-112214"/>
        <s v="CA-2015-112305"/>
        <s v="CA-2015-112319"/>
        <s v="CA-2015-112375"/>
        <s v="CA-2015-112452"/>
        <s v="CA-2015-112522"/>
        <s v="CA-2015-112557"/>
        <s v="CA-2015-112571"/>
        <s v="CA-2015-112711"/>
        <s v="CA-2015-112767"/>
        <s v="CA-2015-112823"/>
        <s v="CA-2015-113040"/>
        <s v="CA-2015-113110"/>
        <s v="CA-2015-113131"/>
        <s v="CA-2015-113145"/>
        <s v="CA-2015-113152"/>
        <s v="CA-2015-113173"/>
        <s v="CA-2015-113215"/>
        <s v="CA-2015-113222"/>
        <s v="CA-2015-113404"/>
        <s v="CA-2015-113523"/>
        <s v="CA-2015-113628"/>
        <s v="CA-2015-113740"/>
        <s v="CA-2015-113901"/>
        <s v="CA-2015-113971"/>
        <s v="CA-2015-114048"/>
        <s v="CA-2015-114069"/>
        <s v="CA-2015-114237"/>
        <s v="CA-2015-114300"/>
        <s v="CA-2015-114468"/>
        <s v="CA-2015-114503"/>
        <s v="CA-2015-114811"/>
        <s v="CA-2015-114923"/>
        <s v="CA-2015-115091"/>
        <s v="CA-2015-115168"/>
        <s v="CA-2015-115392"/>
        <s v="CA-2015-115399"/>
        <s v="CA-2015-115420"/>
        <s v="CA-2015-115511"/>
        <s v="CA-2015-115567"/>
        <s v="CA-2015-115693"/>
        <s v="CA-2015-115742"/>
        <s v="CA-2015-115798"/>
        <s v="CA-2015-115847"/>
        <s v="CA-2015-115924"/>
        <s v="CA-2015-115938"/>
        <s v="CA-2015-115945"/>
        <s v="CA-2015-116092"/>
        <s v="CA-2015-116260"/>
        <s v="CA-2015-116484"/>
        <s v="CA-2015-116512"/>
        <s v="CA-2015-116638"/>
        <s v="CA-2015-116687"/>
        <s v="CA-2015-116750"/>
        <s v="CA-2015-116841"/>
        <s v="CA-2015-116876"/>
        <s v="CA-2015-117086"/>
        <s v="CA-2015-117415"/>
        <s v="CA-2015-117611"/>
        <s v="CA-2015-117772"/>
        <s v="CA-2015-117800"/>
        <s v="CA-2015-117828"/>
        <s v="CA-2015-117884"/>
        <s v="CA-2015-117898"/>
        <s v="CA-2015-117961"/>
        <s v="CA-2015-118227"/>
        <s v="CA-2015-118423"/>
        <s v="CA-2015-118444"/>
        <s v="CA-2015-118738"/>
        <s v="CA-2015-118843"/>
        <s v="CA-2015-118871"/>
        <s v="CA-2015-118948"/>
        <s v="CA-2015-118955"/>
        <s v="CA-2015-119102"/>
        <s v="CA-2015-119214"/>
        <s v="CA-2015-119291"/>
        <s v="CA-2015-119480"/>
        <s v="CA-2015-119508"/>
        <s v="CA-2015-119550"/>
        <s v="CA-2015-119592"/>
        <s v="CA-2015-119627"/>
        <s v="CA-2015-119634"/>
        <s v="CA-2015-119690"/>
        <s v="CA-2015-119697"/>
        <s v="CA-2015-119879"/>
        <s v="CA-2015-119907"/>
        <s v="CA-2015-119942"/>
        <s v="CA-2015-120103"/>
        <s v="CA-2015-120320"/>
        <s v="CA-2015-120341"/>
        <s v="CA-2015-120362"/>
        <s v="CA-2015-120397"/>
        <s v="CA-2015-120439"/>
        <s v="CA-2015-120446"/>
        <s v="CA-2015-120516"/>
        <s v="CA-2015-120551"/>
        <s v="CA-2015-120621"/>
        <s v="CA-2015-120677"/>
        <s v="CA-2015-120782"/>
        <s v="CA-2015-120810"/>
        <s v="CA-2015-120845"/>
        <s v="CA-2015-120880"/>
        <s v="CA-2015-120901"/>
        <s v="CA-2015-120915"/>
        <s v="CA-2015-121041"/>
        <s v="CA-2015-121097"/>
        <s v="CA-2015-121132"/>
        <s v="CA-2015-121188"/>
        <s v="CA-2015-121272"/>
        <s v="CA-2015-121391"/>
        <s v="CA-2015-121405"/>
        <s v="CA-2015-121552"/>
        <s v="CA-2015-121608"/>
        <s v="CA-2015-121650"/>
        <s v="CA-2015-121699"/>
        <s v="CA-2015-121720"/>
        <s v="CA-2015-121776"/>
        <s v="CA-2015-121783"/>
        <s v="CA-2015-121797"/>
        <s v="CA-2015-121965"/>
        <s v="CA-2015-122168"/>
        <s v="CA-2015-122210"/>
        <s v="CA-2015-122259"/>
        <s v="CA-2015-122266"/>
        <s v="CA-2015-122287"/>
        <s v="CA-2015-122371"/>
        <s v="CA-2015-122406"/>
        <s v="CA-2015-122623"/>
        <s v="CA-2015-122756"/>
        <s v="CA-2015-122826"/>
        <s v="CA-2015-122973"/>
        <s v="CA-2015-123092"/>
        <s v="CA-2015-123113"/>
        <s v="CA-2015-123141"/>
        <s v="CA-2015-123155"/>
        <s v="CA-2015-123232"/>
        <s v="CA-2015-123330"/>
        <s v="CA-2015-123456"/>
        <s v="CA-2015-123505"/>
        <s v="CA-2015-123568"/>
        <s v="CA-2015-123673"/>
        <s v="CA-2015-123939"/>
        <s v="CA-2015-124044"/>
        <s v="CA-2015-124058"/>
        <s v="CA-2015-124107"/>
        <s v="CA-2015-124268"/>
        <s v="CA-2015-124450"/>
        <s v="CA-2015-124499"/>
        <s v="CA-2015-124541"/>
        <s v="CA-2015-124653"/>
        <s v="CA-2015-124800"/>
        <s v="CA-2015-124891"/>
        <s v="CA-2015-124919"/>
        <s v="CA-2015-124933"/>
        <s v="CA-2015-124975"/>
        <s v="CA-2015-125066"/>
        <s v="CA-2015-125178"/>
        <s v="CA-2015-125185"/>
        <s v="CA-2015-125234"/>
        <s v="CA-2015-125395"/>
        <s v="CA-2015-125416"/>
        <s v="CA-2015-125423"/>
        <s v="CA-2015-125563"/>
        <s v="CA-2015-125696"/>
        <s v="CA-2015-125710"/>
        <s v="CA-2015-125934"/>
        <s v="CA-2015-125976"/>
        <s v="CA-2015-126137"/>
        <s v="CA-2015-126186"/>
        <s v="CA-2015-126347"/>
        <s v="CA-2015-126445"/>
        <s v="CA-2015-126466"/>
        <s v="CA-2015-126557"/>
        <s v="CA-2015-126669"/>
        <s v="CA-2015-126697"/>
        <s v="CA-2015-126725"/>
        <s v="CA-2015-126739"/>
        <s v="CA-2015-126970"/>
        <s v="CA-2015-127019"/>
        <s v="CA-2015-127110"/>
        <s v="CA-2015-127173"/>
        <s v="CA-2015-127327"/>
        <s v="CA-2015-127418"/>
        <s v="CA-2015-127453"/>
        <s v="CA-2015-127481"/>
        <s v="CA-2015-127502"/>
        <s v="CA-2015-127509"/>
        <s v="CA-2015-127544"/>
        <s v="CA-2015-127593"/>
        <s v="CA-2015-127607"/>
        <s v="CA-2015-127754"/>
        <s v="CA-2015-127824"/>
        <s v="CA-2015-128013"/>
        <s v="CA-2015-128027"/>
        <s v="CA-2015-128083"/>
        <s v="CA-2015-128125"/>
        <s v="CA-2015-128139"/>
        <s v="CA-2015-128167"/>
        <s v="CA-2015-128356"/>
        <s v="CA-2015-128608"/>
        <s v="CA-2015-128860"/>
        <s v="CA-2015-128958"/>
        <s v="CA-2015-128993"/>
        <s v="CA-2015-129042"/>
        <s v="CA-2015-129098"/>
        <s v="CA-2015-129112"/>
        <s v="CA-2015-129217"/>
        <s v="CA-2015-129322"/>
        <s v="CA-2015-129392"/>
        <s v="CA-2015-129476"/>
        <s v="CA-2015-129525"/>
        <s v="CA-2015-129532"/>
        <s v="CA-2015-129546"/>
        <s v="CA-2015-129700"/>
        <s v="CA-2015-129770"/>
        <s v="CA-2015-129854"/>
        <s v="CA-2015-129896"/>
        <s v="CA-2015-129917"/>
        <s v="CA-2015-130022"/>
        <s v="CA-2015-130113"/>
        <s v="CA-2015-130183"/>
        <s v="CA-2015-130204"/>
        <s v="CA-2015-130218"/>
        <s v="CA-2015-130253"/>
        <s v="CA-2015-130365"/>
        <s v="CA-2015-130456"/>
        <s v="CA-2015-130554"/>
        <s v="CA-2015-130610"/>
        <s v="CA-2015-130659"/>
        <s v="CA-2015-130736"/>
        <s v="CA-2015-130785"/>
        <s v="CA-2015-130792"/>
        <s v="CA-2015-130848"/>
        <s v="CA-2015-130855"/>
        <s v="CA-2015-130876"/>
        <s v="CA-2015-130883"/>
        <s v="CA-2015-130890"/>
        <s v="CA-2015-130974"/>
        <s v="CA-2015-130995"/>
        <s v="CA-2015-131072"/>
        <s v="CA-2015-131128"/>
        <s v="CA-2015-131338"/>
        <s v="CA-2015-131352"/>
        <s v="CA-2015-131422"/>
        <s v="CA-2015-131457"/>
        <s v="CA-2015-131534"/>
        <s v="CA-2015-131597"/>
        <s v="CA-2015-131758"/>
        <s v="CA-2015-131779"/>
        <s v="CA-2015-131856"/>
        <s v="CA-2015-131884"/>
        <s v="CA-2015-132080"/>
        <s v="CA-2015-132101"/>
        <s v="CA-2015-132136"/>
        <s v="CA-2015-132276"/>
        <s v="CA-2015-132318"/>
        <s v="CA-2015-132374"/>
        <s v="CA-2015-132388"/>
        <s v="CA-2015-132465"/>
        <s v="CA-2015-132486"/>
        <s v="CA-2015-132507"/>
        <s v="CA-2015-132570"/>
        <s v="CA-2015-132626"/>
        <s v="CA-2015-132633"/>
        <s v="CA-2015-132815"/>
        <s v="CA-2015-132906"/>
        <s v="CA-2015-132941"/>
        <s v="CA-2015-132948"/>
        <s v="CA-2015-133025"/>
        <s v="CA-2015-133242"/>
        <s v="CA-2015-133396"/>
        <s v="CA-2015-133445"/>
        <s v="CA-2015-133452"/>
        <s v="CA-2015-133494"/>
        <s v="CA-2015-133536"/>
        <s v="CA-2015-133585"/>
        <s v="CA-2015-133627"/>
        <s v="CA-2015-133837"/>
        <s v="CA-2015-133977"/>
        <s v="CA-2015-134075"/>
        <s v="CA-2015-134082"/>
        <s v="CA-2015-134117"/>
        <s v="CA-2015-134201"/>
        <s v="CA-2015-134257"/>
        <s v="CA-2015-134719"/>
        <s v="CA-2015-134747"/>
        <s v="CA-2015-134782"/>
        <s v="CA-2015-134859"/>
        <s v="CA-2015-134894"/>
        <s v="CA-2015-134922"/>
        <s v="CA-2015-134943"/>
        <s v="CA-2015-134992"/>
        <s v="CA-2015-135020"/>
        <s v="CA-2015-135174"/>
        <s v="CA-2015-135251"/>
        <s v="CA-2015-135272"/>
        <s v="CA-2015-135314"/>
        <s v="CA-2015-135363"/>
        <s v="CA-2015-135391"/>
        <s v="CA-2015-135489"/>
        <s v="CA-2015-135510"/>
        <s v="CA-2015-135538"/>
        <s v="CA-2015-135545"/>
        <s v="CA-2015-135580"/>
        <s v="CA-2015-135622"/>
        <s v="CA-2015-135685"/>
        <s v="CA-2015-135727"/>
        <s v="CA-2015-135853"/>
        <s v="CA-2015-136105"/>
        <s v="CA-2015-136147"/>
        <s v="CA-2015-136196"/>
        <s v="CA-2015-136224"/>
        <s v="CA-2015-136378"/>
        <s v="CA-2015-136420"/>
        <s v="CA-2015-136469"/>
        <s v="CA-2015-136658"/>
        <s v="CA-2015-136700"/>
        <s v="CA-2015-136728"/>
        <s v="CA-2015-136735"/>
        <s v="CA-2015-136798"/>
        <s v="CA-2015-136805"/>
        <s v="CA-2015-137064"/>
        <s v="CA-2015-137071"/>
        <s v="CA-2015-137106"/>
        <s v="CA-2015-137113"/>
        <s v="CA-2015-137225"/>
        <s v="CA-2015-137281"/>
        <s v="CA-2015-137302"/>
        <s v="CA-2015-137512"/>
        <s v="CA-2015-137526"/>
        <s v="CA-2015-137603"/>
        <s v="CA-2015-137708"/>
        <s v="CA-2015-137750"/>
        <s v="CA-2015-137897"/>
        <s v="CA-2015-137925"/>
        <s v="CA-2015-137946"/>
        <s v="CA-2015-137974"/>
        <s v="CA-2015-138002"/>
        <s v="CA-2015-138009"/>
        <s v="CA-2015-138219"/>
        <s v="CA-2015-138331"/>
        <s v="CA-2015-138457"/>
        <s v="CA-2015-138485"/>
        <s v="CA-2015-138492"/>
        <s v="CA-2015-138534"/>
        <s v="CA-2015-138625"/>
        <s v="CA-2015-138674"/>
        <s v="CA-2015-138898"/>
        <s v="CA-2015-138954"/>
        <s v="CA-2015-139094"/>
        <s v="CA-2015-139164"/>
        <s v="CA-2015-139248"/>
        <s v="CA-2015-139290"/>
        <s v="CA-2015-139374"/>
        <s v="CA-2015-139584"/>
        <s v="CA-2015-139731"/>
        <s v="CA-2015-139738"/>
        <s v="CA-2015-139780"/>
        <s v="CA-2015-139850"/>
        <s v="CA-2015-139962"/>
        <s v="CA-2015-140025"/>
        <s v="CA-2015-140144"/>
        <s v="CA-2015-140221"/>
        <s v="CA-2015-140375"/>
        <s v="CA-2015-140410"/>
        <s v="CA-2015-140557"/>
        <s v="CA-2015-140718"/>
        <s v="CA-2015-140830"/>
        <s v="CA-2015-140921"/>
        <s v="CA-2015-140984"/>
        <s v="CA-2015-141012"/>
        <s v="CA-2015-141040"/>
        <s v="CA-2015-141145"/>
        <s v="CA-2015-141243"/>
        <s v="CA-2015-141250"/>
        <s v="CA-2015-141327"/>
        <s v="CA-2015-141565"/>
        <s v="CA-2015-141593"/>
        <s v="CA-2015-141740"/>
        <s v="CA-2015-141754"/>
        <s v="CA-2015-141768"/>
        <s v="CA-2015-141810"/>
        <s v="CA-2015-141936"/>
        <s v="CA-2015-142027"/>
        <s v="CA-2015-142041"/>
        <s v="CA-2015-142055"/>
        <s v="CA-2015-142139"/>
        <s v="CA-2015-142202"/>
        <s v="CA-2015-142237"/>
        <s v="CA-2015-142377"/>
        <s v="CA-2015-142419"/>
        <s v="CA-2015-142433"/>
        <s v="CA-2015-142454"/>
        <s v="CA-2015-142475"/>
        <s v="CA-2015-142601"/>
        <s v="CA-2015-142692"/>
        <s v="CA-2015-142734"/>
        <s v="CA-2015-142755"/>
        <s v="CA-2015-142930"/>
        <s v="CA-2015-142937"/>
        <s v="CA-2015-142944"/>
        <s v="CA-2015-142993"/>
        <s v="CA-2015-143077"/>
        <s v="CA-2015-143105"/>
        <s v="CA-2015-143119"/>
        <s v="CA-2015-143147"/>
        <s v="CA-2015-143238"/>
        <s v="CA-2015-143364"/>
        <s v="CA-2015-143490"/>
        <s v="CA-2015-143532"/>
        <s v="CA-2015-143602"/>
        <s v="CA-2015-143616"/>
        <s v="CA-2015-143700"/>
        <s v="CA-2015-143882"/>
        <s v="CA-2015-143980"/>
        <s v="CA-2015-144043"/>
        <s v="CA-2015-144099"/>
        <s v="CA-2015-144190"/>
        <s v="CA-2015-144253"/>
        <s v="CA-2015-144267"/>
        <s v="CA-2015-144274"/>
        <s v="CA-2015-144288"/>
        <s v="CA-2015-144302"/>
        <s v="CA-2015-144386"/>
        <s v="CA-2015-144519"/>
        <s v="CA-2015-144652"/>
        <s v="CA-2015-144722"/>
        <s v="CA-2015-144806"/>
        <s v="CA-2015-144890"/>
        <s v="CA-2015-145065"/>
        <s v="CA-2015-145184"/>
        <s v="CA-2015-145324"/>
        <s v="CA-2015-145352"/>
        <s v="CA-2015-145394"/>
        <s v="CA-2015-145401"/>
        <s v="CA-2015-145415"/>
        <s v="CA-2015-145457"/>
        <s v="CA-2015-145485"/>
        <s v="CA-2015-145758"/>
        <s v="CA-2015-145814"/>
        <s v="CA-2015-145821"/>
        <s v="CA-2015-145828"/>
        <s v="CA-2015-145835"/>
        <s v="CA-2015-145849"/>
        <s v="CA-2015-146038"/>
        <s v="CA-2015-146087"/>
        <s v="CA-2015-146255"/>
        <s v="CA-2015-146262"/>
        <s v="CA-2015-146290"/>
        <s v="CA-2015-146465"/>
        <s v="CA-2015-146486"/>
        <s v="CA-2015-146563"/>
        <s v="CA-2015-146675"/>
        <s v="CA-2015-146696"/>
        <s v="CA-2015-146829"/>
        <s v="CA-2015-146948"/>
        <s v="CA-2015-147011"/>
        <s v="CA-2015-147102"/>
        <s v="CA-2015-147501"/>
        <s v="CA-2015-147529"/>
        <s v="CA-2015-147690"/>
        <s v="CA-2015-147788"/>
        <s v="CA-2015-147816"/>
        <s v="CA-2015-147830"/>
        <s v="CA-2015-147851"/>
        <s v="CA-2015-147879"/>
        <s v="CA-2015-148180"/>
        <s v="CA-2015-148250"/>
        <s v="CA-2015-148376"/>
        <s v="CA-2015-148432"/>
        <s v="CA-2015-148495"/>
        <s v="CA-2015-148628"/>
        <s v="CA-2015-148635"/>
        <s v="CA-2015-148705"/>
        <s v="CA-2015-148712"/>
        <s v="CA-2015-148859"/>
        <s v="CA-2015-148873"/>
        <s v="CA-2015-148964"/>
        <s v="CA-2015-149083"/>
        <s v="CA-2015-149097"/>
        <s v="CA-2015-149300"/>
        <s v="CA-2015-149342"/>
        <s v="CA-2015-149384"/>
        <s v="CA-2015-149517"/>
        <s v="CA-2015-149566"/>
        <s v="CA-2015-149587"/>
        <s v="CA-2015-149601"/>
        <s v="CA-2015-149636"/>
        <s v="CA-2015-149650"/>
        <s v="CA-2015-149678"/>
        <s v="CA-2015-149713"/>
        <s v="CA-2015-149734"/>
        <s v="CA-2015-149748"/>
        <s v="CA-2015-149811"/>
        <s v="CA-2015-149846"/>
        <s v="CA-2015-149909"/>
        <s v="CA-2015-149972"/>
        <s v="CA-2015-149993"/>
        <s v="CA-2015-150196"/>
        <s v="CA-2015-150308"/>
        <s v="CA-2015-150413"/>
        <s v="CA-2015-150441"/>
        <s v="CA-2015-150511"/>
        <s v="CA-2015-150560"/>
        <s v="CA-2015-150714"/>
        <s v="CA-2015-150749"/>
        <s v="CA-2015-150770"/>
        <s v="CA-2015-150791"/>
        <s v="CA-2015-150875"/>
        <s v="CA-2015-151043"/>
        <s v="CA-2015-151253"/>
        <s v="CA-2015-151470"/>
        <s v="CA-2015-151547"/>
        <s v="CA-2015-151589"/>
        <s v="CA-2015-151624"/>
        <s v="CA-2015-151680"/>
        <s v="CA-2015-151722"/>
        <s v="CA-2015-151785"/>
        <s v="CA-2015-151841"/>
        <s v="CA-2015-151869"/>
        <s v="CA-2015-152513"/>
        <s v="CA-2015-152527"/>
        <s v="CA-2015-152611"/>
        <s v="CA-2015-152681"/>
        <s v="CA-2015-152891"/>
        <s v="CA-2015-153038"/>
        <s v="CA-2015-153073"/>
        <s v="CA-2015-153108"/>
        <s v="CA-2015-153220"/>
        <s v="CA-2015-153325"/>
        <s v="CA-2015-153381"/>
        <s v="CA-2015-153388"/>
        <s v="CA-2015-153416"/>
        <s v="CA-2015-153423"/>
        <s v="CA-2015-153535"/>
        <s v="CA-2015-153549"/>
        <s v="CA-2015-153612"/>
        <s v="CA-2015-153626"/>
        <s v="CA-2015-153717"/>
        <s v="CA-2015-153738"/>
        <s v="CA-2015-153752"/>
        <s v="CA-2015-153794"/>
        <s v="CA-2015-153878"/>
        <s v="CA-2015-153906"/>
        <s v="CA-2015-154144"/>
        <s v="CA-2015-154200"/>
        <s v="CA-2015-154284"/>
        <s v="CA-2015-154291"/>
        <s v="CA-2015-154326"/>
        <s v="CA-2015-154340"/>
        <s v="CA-2015-154620"/>
        <s v="CA-2015-154746"/>
        <s v="CA-2015-154795"/>
        <s v="CA-2015-154823"/>
        <s v="CA-2015-154886"/>
        <s v="CA-2015-154900"/>
        <s v="CA-2015-154921"/>
        <s v="CA-2015-154956"/>
        <s v="CA-2015-154970"/>
        <s v="CA-2015-155040"/>
        <s v="CA-2015-155054"/>
        <s v="CA-2015-155068"/>
        <s v="CA-2015-155124"/>
        <s v="CA-2015-155145"/>
        <s v="CA-2015-155306"/>
        <s v="CA-2015-155334"/>
        <s v="CA-2015-155453"/>
        <s v="CA-2015-155586"/>
        <s v="CA-2015-155600"/>
        <s v="CA-2015-155635"/>
        <s v="CA-2015-155761"/>
        <s v="CA-2015-156013"/>
        <s v="CA-2015-156104"/>
        <s v="CA-2015-156118"/>
        <s v="CA-2015-156146"/>
        <s v="CA-2015-156153"/>
        <s v="CA-2015-156328"/>
        <s v="CA-2015-156335"/>
        <s v="CA-2015-156377"/>
        <s v="CA-2015-156440"/>
        <s v="CA-2015-156482"/>
        <s v="CA-2015-156510"/>
        <s v="CA-2015-156524"/>
        <s v="CA-2015-156566"/>
        <s v="CA-2015-156608"/>
        <s v="CA-2015-156734"/>
        <s v="CA-2015-156755"/>
        <s v="CA-2015-156853"/>
        <s v="CA-2015-156923"/>
        <s v="CA-2015-157028"/>
        <s v="CA-2015-157035"/>
        <s v="CA-2015-157084"/>
        <s v="CA-2015-157133"/>
        <s v="CA-2015-157287"/>
        <s v="CA-2015-157322"/>
        <s v="CA-2015-157343"/>
        <s v="CA-2015-157434"/>
        <s v="CA-2015-157770"/>
        <s v="CA-2015-157805"/>
        <s v="CA-2015-157812"/>
        <s v="CA-2015-157959"/>
        <s v="CA-2015-158148"/>
        <s v="CA-2015-158323"/>
        <s v="CA-2015-158351"/>
        <s v="CA-2015-158421"/>
        <s v="CA-2015-158456"/>
        <s v="CA-2015-158491"/>
        <s v="CA-2015-158554"/>
        <s v="CA-2015-158659"/>
        <s v="CA-2015-158701"/>
        <s v="CA-2015-158792"/>
        <s v="CA-2015-158918"/>
        <s v="CA-2015-158939"/>
        <s v="CA-2015-159380"/>
        <s v="CA-2015-159534"/>
        <s v="CA-2015-159590"/>
        <s v="CA-2015-159779"/>
        <s v="CA-2015-159786"/>
        <s v="CA-2015-159863"/>
        <s v="CA-2015-160059"/>
        <s v="CA-2015-160171"/>
        <s v="CA-2015-160213"/>
        <s v="CA-2015-160227"/>
        <s v="CA-2015-160472"/>
        <s v="CA-2015-160696"/>
        <s v="CA-2015-160787"/>
        <s v="CA-2015-160794"/>
        <s v="CA-2015-160864"/>
        <s v="CA-2015-161214"/>
        <s v="CA-2015-161242"/>
        <s v="CA-2015-161263"/>
        <s v="CA-2015-161445"/>
        <s v="CA-2015-161452"/>
        <s v="CA-2015-161627"/>
        <s v="CA-2015-161711"/>
        <s v="CA-2015-161718"/>
        <s v="CA-2015-161767"/>
        <s v="CA-2015-161795"/>
        <s v="CA-2015-161830"/>
        <s v="CA-2015-161998"/>
        <s v="CA-2015-162047"/>
        <s v="CA-2015-162166"/>
        <s v="CA-2015-162201"/>
        <s v="CA-2015-162369"/>
        <s v="CA-2015-162376"/>
        <s v="CA-2015-162537"/>
        <s v="CA-2015-162544"/>
        <s v="CA-2015-162607"/>
        <s v="CA-2015-162621"/>
        <s v="CA-2015-162761"/>
        <s v="CA-2015-162782"/>
        <s v="CA-2015-162887"/>
        <s v="CA-2015-162950"/>
        <s v="CA-2015-162964"/>
        <s v="CA-2015-163055"/>
        <s v="CA-2015-163090"/>
        <s v="CA-2015-163104"/>
        <s v="CA-2015-163181"/>
        <s v="CA-2015-163237"/>
        <s v="CA-2015-163440"/>
        <s v="CA-2015-163587"/>
        <s v="CA-2015-163734"/>
        <s v="CA-2015-163762"/>
        <s v="CA-2015-163895"/>
        <s v="CA-2015-163923"/>
        <s v="CA-2015-163965"/>
        <s v="CA-2015-164007"/>
        <s v="CA-2015-164084"/>
        <s v="CA-2015-164301"/>
        <s v="CA-2015-164336"/>
        <s v="CA-2015-164427"/>
        <s v="CA-2015-164441"/>
        <s v="CA-2015-164497"/>
        <s v="CA-2015-164539"/>
        <s v="CA-2015-164567"/>
        <s v="CA-2015-164623"/>
        <s v="CA-2015-164777"/>
        <s v="CA-2015-164833"/>
        <s v="CA-2015-164882"/>
        <s v="CA-2015-165050"/>
        <s v="CA-2015-165057"/>
        <s v="CA-2015-165085"/>
        <s v="CA-2015-165162"/>
        <s v="CA-2015-165414"/>
        <s v="CA-2015-165554"/>
        <s v="CA-2015-165624"/>
        <s v="CA-2015-165799"/>
        <s v="CA-2015-165813"/>
        <s v="CA-2015-166135"/>
        <s v="CA-2015-166219"/>
        <s v="CA-2015-166338"/>
        <s v="CA-2015-166464"/>
        <s v="CA-2015-166492"/>
        <s v="CA-2015-166583"/>
        <s v="CA-2015-166604"/>
        <s v="CA-2015-166800"/>
        <s v="CA-2015-166947"/>
        <s v="CA-2015-166975"/>
        <s v="CA-2015-167010"/>
        <s v="CA-2015-167255"/>
        <s v="CA-2015-167269"/>
        <s v="CA-2015-167374"/>
        <s v="CA-2015-167479"/>
        <s v="CA-2015-167696"/>
        <s v="CA-2015-167745"/>
        <s v="CA-2015-168004"/>
        <s v="CA-2015-168088"/>
        <s v="CA-2015-168186"/>
        <s v="CA-2015-168207"/>
        <s v="CA-2015-168277"/>
        <s v="CA-2015-168459"/>
        <s v="CA-2015-168480"/>
        <s v="CA-2015-168529"/>
        <s v="CA-2015-168564"/>
        <s v="CA-2015-168634"/>
        <s v="CA-2015-168746"/>
        <s v="CA-2015-168760"/>
        <s v="CA-2015-168767"/>
        <s v="CA-2015-168809"/>
        <s v="CA-2015-169201"/>
        <s v="CA-2015-169278"/>
        <s v="CA-2015-169299"/>
        <s v="CA-2015-169397"/>
        <s v="CA-2015-169537"/>
        <s v="CA-2015-169572"/>
        <s v="CA-2015-169656"/>
        <s v="CA-2015-169677"/>
        <s v="CA-2015-169733"/>
        <s v="CA-2015-169740"/>
        <s v="CA-2015-169796"/>
        <s v="US-2014-100279"/>
        <s v="US-2014-100853"/>
        <s v="US-2014-102071"/>
        <s v="US-2014-102631"/>
        <s v="US-2014-102715"/>
        <s v="US-2014-103338"/>
        <s v="US-2014-103905"/>
        <s v="US-2014-104759"/>
        <s v="US-2014-105137"/>
        <s v="US-2014-105151"/>
        <s v="US-2014-105767"/>
        <s v="US-2014-106299"/>
        <s v="US-2014-106334"/>
        <s v="US-2014-106992"/>
        <s v="US-2014-107405"/>
        <s v="US-2014-107699"/>
        <s v="US-2014-107993"/>
        <s v="US-2014-109036"/>
        <s v="US-2014-109162"/>
        <s v="US-2014-109456"/>
        <s v="US-2014-110674"/>
        <s v="US-2014-111171"/>
        <s v="US-2014-111353"/>
        <s v="US-2014-112200"/>
        <s v="US-2014-112564"/>
        <s v="US-2014-112795"/>
        <s v="US-2014-112872"/>
        <s v="US-2014-112914"/>
        <s v="US-2014-112949"/>
        <s v="US-2014-112991"/>
        <s v="US-2014-113124"/>
        <s v="US-2014-114188"/>
        <s v="US-2014-114377"/>
        <s v="US-2014-115189"/>
        <s v="US-2014-115196"/>
        <s v="US-2014-115413"/>
        <s v="US-2014-115987"/>
        <s v="US-2014-117058"/>
        <s v="US-2014-117135"/>
        <s v="US-2014-117163"/>
        <s v="US-2014-117170"/>
        <s v="US-2014-117380"/>
        <s v="US-2014-117744"/>
        <s v="US-2014-117968"/>
        <s v="US-2014-118486"/>
        <s v="US-2014-118997"/>
        <s v="US-2014-119081"/>
        <s v="US-2014-119137"/>
        <s v="US-2014-120175"/>
        <s v="US-2014-120236"/>
        <s v="US-2014-120313"/>
        <s v="US-2014-120740"/>
        <s v="US-2014-121566"/>
        <s v="US-2014-121734"/>
        <s v="US-2014-122021"/>
        <s v="US-2014-122959"/>
        <s v="US-2014-123183"/>
        <s v="US-2014-123519"/>
        <s v="US-2014-124625"/>
        <s v="US-2014-125521"/>
        <s v="US-2014-126340"/>
        <s v="US-2014-126571"/>
        <s v="US-2014-127635"/>
        <s v="US-2014-127978"/>
        <s v="US-2014-128685"/>
        <s v="US-2014-129609"/>
        <s v="US-2014-130358"/>
        <s v="US-2014-130379"/>
        <s v="US-2014-131275"/>
        <s v="US-2014-131870"/>
        <s v="US-2014-131982"/>
        <s v="US-2014-132745"/>
        <s v="US-2014-133130"/>
        <s v="US-2014-133949"/>
        <s v="US-2014-134054"/>
        <s v="US-2014-134187"/>
        <s v="US-2014-134614"/>
        <s v="US-2014-134712"/>
        <s v="US-2014-134733"/>
        <s v="US-2014-134971"/>
        <s v="US-2014-135881"/>
        <s v="US-2014-135972"/>
        <s v="US-2014-137155"/>
        <s v="US-2014-137680"/>
        <s v="US-2014-137869"/>
        <s v="US-2014-138247"/>
        <s v="US-2014-138758"/>
        <s v="US-2014-138828"/>
        <s v="US-2014-138835"/>
        <s v="US-2014-139500"/>
        <s v="US-2014-139640"/>
        <s v="US-2014-140116"/>
        <s v="US-2014-140452"/>
        <s v="US-2014-140914"/>
        <s v="US-2014-141215"/>
        <s v="US-2014-141257"/>
        <s v="US-2014-143231"/>
        <s v="US-2014-143287"/>
        <s v="US-2014-143581"/>
        <s v="US-2014-143707"/>
        <s v="US-2014-143721"/>
        <s v="US-2014-144078"/>
        <s v="US-2014-146353"/>
        <s v="US-2014-147606"/>
        <s v="US-2014-147627"/>
        <s v="US-2014-147648"/>
        <s v="US-2014-147704"/>
        <s v="US-2014-147774"/>
        <s v="US-2014-148194"/>
        <s v="US-2014-148838"/>
        <s v="US-2014-149034"/>
        <s v="US-2014-150119"/>
        <s v="US-2014-150126"/>
        <s v="US-2014-150434"/>
        <s v="US-2014-150532"/>
        <s v="US-2014-150574"/>
        <s v="US-2014-150924"/>
        <s v="US-2014-151015"/>
        <s v="US-2014-151925"/>
        <s v="US-2014-152030"/>
        <s v="US-2014-152723"/>
        <s v="US-2014-154655"/>
        <s v="US-2014-154879"/>
        <s v="US-2014-155502"/>
        <s v="US-2014-155544"/>
        <s v="US-2014-155817"/>
        <s v="US-2014-155894"/>
        <s v="US-2014-156216"/>
        <s v="US-2014-156559"/>
        <s v="US-2014-157021"/>
        <s v="US-2014-157070"/>
        <s v="US-2014-157231"/>
        <s v="US-2014-157385"/>
        <s v="US-2014-157406"/>
        <s v="US-2014-157847"/>
        <s v="US-2014-158057"/>
        <s v="US-2014-158365"/>
        <s v="US-2014-158400"/>
        <s v="US-2014-158638"/>
        <s v="US-2014-159611"/>
        <s v="US-2014-159618"/>
        <s v="US-2014-159926"/>
        <s v="US-2014-160444"/>
        <s v="US-2014-160780"/>
        <s v="US-2014-161305"/>
        <s v="US-2014-161613"/>
        <s v="US-2014-163146"/>
        <s v="US-2014-163797"/>
        <s v="US-2014-164406"/>
        <s v="US-2014-164616"/>
        <s v="US-2014-164644"/>
        <s v="US-2014-164763"/>
        <s v="US-2014-165589"/>
        <s v="US-2014-165659"/>
        <s v="US-2014-165862"/>
        <s v="US-2014-166310"/>
        <s v="US-2014-166828"/>
        <s v="US-2014-167262"/>
        <s v="US-2014-167633"/>
        <s v="US-2014-167738"/>
        <s v="US-2014-168501"/>
        <s v="US-2014-169390"/>
        <s v="US-2014-169789"/>
        <s v="US-2015-100069"/>
        <s v="US-2015-100377"/>
        <s v="US-2015-100531"/>
        <s v="US-2015-101399"/>
        <s v="US-2015-101511"/>
        <s v="US-2015-103471"/>
        <s v="US-2015-103996"/>
        <s v="US-2015-104185"/>
        <s v="US-2015-104430"/>
        <s v="US-2015-105676"/>
        <s v="US-2015-106495"/>
        <s v="US-2015-106873"/>
        <s v="US-2015-107349"/>
        <s v="US-2015-107944"/>
        <s v="US-2015-108966"/>
        <s v="US-2015-109015"/>
        <s v="US-2015-110163"/>
        <s v="US-2015-110261"/>
        <s v="US-2015-110569"/>
        <s v="US-2015-111927"/>
        <s v="US-2015-112508"/>
        <s v="US-2015-113327"/>
        <s v="US-2015-113593"/>
        <s v="US-2015-114741"/>
        <s v="US-2015-114839"/>
        <s v="US-2015-115238"/>
        <s v="US-2015-115343"/>
        <s v="US-2015-116981"/>
        <s v="US-2015-117184"/>
        <s v="US-2015-117492"/>
        <s v="US-2015-118766"/>
        <s v="US-2015-118906"/>
        <s v="US-2015-118983"/>
        <s v="US-2015-119312"/>
        <s v="US-2015-120161"/>
        <s v="US-2015-120502"/>
        <s v="US-2015-120572"/>
        <s v="US-2015-120712"/>
        <s v="US-2015-120957"/>
        <s v="US-2015-122140"/>
        <s v="US-2015-122784"/>
        <s v="US-2015-122910"/>
        <s v="US-2015-123218"/>
        <s v="US-2015-123918"/>
        <s v="US-2015-123960"/>
        <s v="US-2015-124219"/>
        <s v="US-2015-125374"/>
        <s v="US-2015-126214"/>
        <s v="US-2015-126235"/>
        <s v="US-2015-126753"/>
        <s v="US-2015-126977"/>
        <s v="US-2015-127040"/>
        <s v="US-2015-128090"/>
        <s v="US-2015-128587"/>
        <s v="US-2015-129007"/>
        <s v="US-2015-129553"/>
        <s v="US-2015-129637"/>
        <s v="US-2015-130491"/>
        <s v="US-2015-130512"/>
        <s v="US-2015-130519"/>
        <s v="US-2015-131359"/>
        <s v="US-2015-131842"/>
        <s v="US-2015-132836"/>
        <s v="US-2015-134026"/>
        <s v="US-2015-134271"/>
        <s v="US-2015-134558"/>
        <s v="US-2015-136259"/>
        <s v="US-2015-136427"/>
        <s v="US-2015-136476"/>
        <s v="US-2015-136749"/>
        <s v="US-2015-136987"/>
        <s v="US-2015-137008"/>
        <s v="US-2015-137533"/>
        <s v="US-2015-137960"/>
        <s v="US-2015-138093"/>
        <s v="US-2015-138121"/>
        <s v="US-2015-138303"/>
        <s v="US-2015-138716"/>
        <s v="US-2015-138919"/>
        <s v="US-2015-139675"/>
        <s v="US-2015-139759"/>
        <s v="US-2015-140200"/>
        <s v="US-2015-140851"/>
        <s v="US-2015-141453"/>
        <s v="US-2015-141684"/>
        <s v="US-2015-142020"/>
        <s v="US-2015-142811"/>
        <s v="US-2015-144771"/>
        <s v="US-2015-145121"/>
        <s v="US-2015-145422"/>
        <s v="US-2015-145436"/>
        <s v="US-2015-146745"/>
        <s v="US-2015-147242"/>
        <s v="US-2015-147662"/>
        <s v="US-2015-147739"/>
        <s v="US-2015-148817"/>
        <s v="US-2015-149629"/>
        <s v="US-2015-149692"/>
        <s v="US-2015-150161"/>
        <s v="US-2015-150231"/>
        <s v="US-2015-150630"/>
        <s v="US-2015-151407"/>
        <s v="US-2015-151435"/>
        <s v="US-2015-152128"/>
        <s v="US-2015-153283"/>
        <s v="US-2015-153374"/>
        <s v="US-2015-153500"/>
        <s v="US-2015-154389"/>
        <s v="US-2015-155369"/>
        <s v="US-2015-156496"/>
        <s v="US-2015-156797"/>
        <s v="US-2015-156867"/>
        <s v="US-2015-157014"/>
        <s v="US-2015-157154"/>
        <s v="US-2015-158589"/>
        <s v="US-2015-158911"/>
        <s v="US-2015-159499"/>
        <s v="US-2015-159513"/>
        <s v="US-2015-159982"/>
        <s v="US-2015-160150"/>
        <s v="US-2015-160563"/>
        <s v="US-2015-160857"/>
        <s v="US-2015-161347"/>
        <s v="US-2015-161466"/>
        <s v="US-2015-161991"/>
        <s v="US-2015-163279"/>
        <s v="US-2015-163433"/>
        <s v="US-2015-163685"/>
        <s v="US-2015-163783"/>
        <s v="US-2015-163825"/>
        <s v="US-2015-164175"/>
        <s v="US-2015-164238"/>
        <s v="US-2015-164308"/>
        <s v="US-2015-164357"/>
        <s v="US-2015-164448"/>
        <s v="US-2015-164966"/>
        <s v="US-2015-165449"/>
        <s v="US-2015-165512"/>
        <s v="US-2015-165743"/>
        <s v="US-2015-166520"/>
        <s v="US-2015-167220"/>
        <s v="US-2015-168704"/>
        <s v="US-2015-168732"/>
        <s v="US-2015-168914"/>
        <s v="US-2015-168935"/>
      </sharedItems>
    </cacheField>
    <cacheField name="Order Date" numFmtId="164">
      <sharedItems containsSemiMixedTypes="0" containsDate="1" containsString="0">
        <d v="2014-09-07T00:00:00Z"/>
        <d v="2014-07-08T00:00:00Z"/>
        <d v="2014-03-14T00:00:00Z"/>
        <d v="2014-01-28T00:00:00Z"/>
        <d v="2014-04-08T00:00:00Z"/>
        <d v="2014-05-25T00:00:00Z"/>
        <d v="2014-04-18T00:00:00Z"/>
        <d v="2014-12-16T00:00:00Z"/>
        <d v="2014-11-24T00:00:00Z"/>
        <d v="2014-03-26T00:00:00Z"/>
        <d v="2014-10-19T00:00:00Z"/>
        <d v="2014-03-28T00:00:00Z"/>
        <d v="2014-06-02T00:00:00Z"/>
        <d v="2014-10-21T00:00:00Z"/>
        <d v="2014-11-19T00:00:00Z"/>
        <d v="2014-12-02T00:00:00Z"/>
        <d v="2014-12-09T00:00:00Z"/>
        <d v="2014-08-27T00:00:00Z"/>
        <d v="2014-12-22T00:00:00Z"/>
        <d v="2014-12-07T00:00:00Z"/>
        <d v="2014-12-26T00:00:00Z"/>
        <d v="2014-04-20T00:00:00Z"/>
        <d v="2014-09-12T00:00:00Z"/>
        <d v="2014-11-28T00:00:00Z"/>
        <d v="2014-12-15T00:00:00Z"/>
        <d v="2014-03-31T00:00:00Z"/>
        <d v="2014-11-17T00:00:00Z"/>
        <d v="2014-10-28T00:00:00Z"/>
        <d v="2014-09-30T00:00:00Z"/>
        <d v="2014-10-04T00:00:00Z"/>
        <d v="2014-11-21T00:00:00Z"/>
        <d v="2014-12-29T00:00:00Z"/>
        <d v="2014-01-23T00:00:00Z"/>
        <d v="2014-04-06T00:00:00Z"/>
        <d v="2014-11-01T00:00:00Z"/>
        <d v="2014-09-09T00:00:00Z"/>
        <d v="2014-04-05T00:00:00Z"/>
        <d v="2014-07-23T00:00:00Z"/>
        <d v="2014-10-17T00:00:00Z"/>
        <d v="2014-12-20T00:00:00Z"/>
        <d v="2014-09-22T00:00:00Z"/>
        <d v="2014-11-09T00:00:00Z"/>
        <d v="2014-05-10T00:00:00Z"/>
        <d v="2014-07-05T00:00:00Z"/>
        <d v="2014-08-26T00:00:00Z"/>
        <d v="2014-01-15T00:00:00Z"/>
        <d v="2014-05-18T00:00:00Z"/>
        <d v="2014-05-30T00:00:00Z"/>
        <d v="2014-10-10T00:00:00Z"/>
        <d v="2014-11-30T00:00:00Z"/>
        <d v="2014-08-25T00:00:00Z"/>
        <d v="2014-02-23T00:00:00Z"/>
        <d v="2014-01-03T00:00:00Z"/>
        <d v="2014-05-11T00:00:00Z"/>
        <d v="2014-09-17T00:00:00Z"/>
        <d v="2014-03-19T00:00:00Z"/>
        <d v="2014-03-01T00:00:00Z"/>
        <d v="2014-06-27T00:00:00Z"/>
        <d v="2014-06-17T00:00:00Z"/>
        <d v="2014-03-07T00:00:00Z"/>
        <d v="2014-12-30T00:00:00Z"/>
        <d v="2014-12-08T00:00:00Z"/>
        <d v="2014-05-21T00:00:00Z"/>
        <d v="2014-02-04T00:00:00Z"/>
        <d v="2014-11-18T00:00:00Z"/>
        <d v="2014-04-04T00:00:00Z"/>
        <d v="2014-11-11T00:00:00Z"/>
        <d v="2014-11-22T00:00:00Z"/>
        <d v="2014-01-07T00:00:00Z"/>
        <d v="2014-03-03T00:00:00Z"/>
        <d v="2014-01-06T00:00:00Z"/>
        <d v="2014-06-07T00:00:00Z"/>
        <d v="2014-12-05T00:00:00Z"/>
        <d v="2014-10-31T00:00:00Z"/>
        <d v="2014-09-05T00:00:00Z"/>
        <d v="2014-08-24T00:00:00Z"/>
        <d v="2014-12-06T00:00:00Z"/>
        <d v="2014-05-14T00:00:00Z"/>
        <d v="2014-09-02T00:00:00Z"/>
        <d v="2014-09-28T00:00:00Z"/>
        <d v="2014-11-02T00:00:00Z"/>
        <d v="2014-03-02T00:00:00Z"/>
        <d v="2014-12-12T00:00:00Z"/>
        <d v="2014-07-02T00:00:00Z"/>
        <d v="2014-02-14T00:00:00Z"/>
        <d v="2014-02-07T00:00:00Z"/>
        <d v="2014-04-29T00:00:00Z"/>
        <d v="2014-09-08T00:00:00Z"/>
        <d v="2014-06-08T00:00:00Z"/>
        <d v="2014-02-06T00:00:00Z"/>
        <d v="2014-10-02T00:00:00Z"/>
        <d v="2014-10-24T00:00:00Z"/>
        <d v="2014-05-28T00:00:00Z"/>
        <d v="2014-10-03T00:00:00Z"/>
        <d v="2014-08-15T00:00:00Z"/>
        <d v="2014-12-21T00:00:00Z"/>
        <d v="2014-11-05T00:00:00Z"/>
        <d v="2014-06-30T00:00:00Z"/>
        <d v="2014-01-13T00:00:00Z"/>
        <d v="2014-08-12T00:00:00Z"/>
        <d v="2014-02-20T00:00:00Z"/>
        <d v="2014-10-06T00:00:00Z"/>
        <d v="2014-09-01T00:00:00Z"/>
        <d v="2014-07-21T00:00:00Z"/>
        <d v="2014-07-14T00:00:00Z"/>
        <d v="2014-08-05T00:00:00Z"/>
        <d v="2014-10-22T00:00:00Z"/>
        <d v="2014-04-25T00:00:00Z"/>
        <d v="2014-07-12T00:00:00Z"/>
        <d v="2014-05-05T00:00:00Z"/>
        <d v="2014-11-23T00:00:00Z"/>
        <d v="2014-10-18T00:00:00Z"/>
        <d v="2014-01-21T00:00:00Z"/>
        <d v="2014-08-09T00:00:00Z"/>
        <d v="2014-04-11T00:00:00Z"/>
        <d v="2014-08-23T00:00:00Z"/>
        <d v="2014-06-01T00:00:00Z"/>
        <d v="2014-02-03T00:00:00Z"/>
        <d v="2014-12-31T00:00:00Z"/>
        <d v="2014-07-30T00:00:00Z"/>
        <d v="2014-08-17T00:00:00Z"/>
        <d v="2014-06-29T00:00:00Z"/>
        <d v="2014-04-23T00:00:00Z"/>
        <d v="2014-03-18T00:00:00Z"/>
        <d v="2014-05-04T00:00:00Z"/>
        <d v="2014-09-29T00:00:00Z"/>
        <d v="2014-04-03T00:00:00Z"/>
        <d v="2014-01-04T00:00:00Z"/>
        <d v="2014-09-11T00:00:00Z"/>
        <d v="2014-12-24T00:00:00Z"/>
        <d v="2014-07-09T00:00:00Z"/>
        <d v="2014-09-14T00:00:00Z"/>
        <d v="2014-09-10T00:00:00Z"/>
        <d v="2014-12-13T00:00:00Z"/>
        <d v="2014-05-13T00:00:00Z"/>
        <d v="2014-09-13T00:00:00Z"/>
        <d v="2014-06-16T00:00:00Z"/>
        <d v="2014-09-23T00:00:00Z"/>
        <d v="2014-10-11T00:00:00Z"/>
        <d v="2014-08-20T00:00:00Z"/>
        <d v="2014-12-23T00:00:00Z"/>
        <d v="2014-06-13T00:00:00Z"/>
        <d v="2014-03-11T00:00:00Z"/>
        <d v="2014-09-26T00:00:00Z"/>
        <d v="2014-05-02T00:00:00Z"/>
        <d v="2014-01-31T00:00:00Z"/>
        <d v="2014-08-06T00:00:00Z"/>
        <d v="2014-01-16T00:00:00Z"/>
        <d v="2014-06-09T00:00:00Z"/>
        <d v="2014-07-15T00:00:00Z"/>
        <d v="2014-07-26T00:00:00Z"/>
        <d v="2014-03-04T00:00:00Z"/>
        <d v="2014-11-15T00:00:00Z"/>
        <d v="2014-12-14T00:00:00Z"/>
        <d v="2014-05-08T00:00:00Z"/>
        <d v="2014-04-26T00:00:00Z"/>
        <d v="2014-08-01T00:00:00Z"/>
        <d v="2014-10-07T00:00:00Z"/>
        <d v="2014-07-22T00:00:00Z"/>
        <d v="2014-09-21T00:00:00Z"/>
        <d v="2014-03-17T00:00:00Z"/>
        <d v="2014-04-28T00:00:00Z"/>
        <d v="2014-11-27T00:00:00Z"/>
        <d v="2014-11-16T00:00:00Z"/>
        <d v="2014-11-25T00:00:00Z"/>
        <d v="2014-11-03T00:00:00Z"/>
        <d v="2014-10-08T00:00:00Z"/>
        <d v="2014-07-04T00:00:00Z"/>
        <d v="2014-12-27T00:00:00Z"/>
        <d v="2014-11-07T00:00:00Z"/>
        <d v="2014-09-20T00:00:00Z"/>
        <d v="2014-12-01T00:00:00Z"/>
        <d v="2014-12-19T00:00:00Z"/>
        <d v="2014-03-23T00:00:00Z"/>
        <d v="2014-09-27T00:00:00Z"/>
        <d v="2014-11-06T00:00:00Z"/>
        <d v="2014-11-10T00:00:00Z"/>
        <d v="2014-11-04T00:00:00Z"/>
        <d v="2014-05-06T00:00:00Z"/>
        <d v="2014-08-19T00:00:00Z"/>
        <d v="2014-04-22T00:00:00Z"/>
        <d v="2014-04-13T00:00:00Z"/>
        <d v="2014-02-16T00:00:00Z"/>
        <d v="2014-11-12T00:00:00Z"/>
        <d v="2014-12-03T00:00:00Z"/>
        <d v="2014-07-11T00:00:00Z"/>
        <d v="2014-08-22T00:00:00Z"/>
        <d v="2014-07-18T00:00:00Z"/>
        <d v="2014-10-13T00:00:00Z"/>
        <d v="2014-09-24T00:00:00Z"/>
        <d v="2014-02-02T00:00:00Z"/>
        <d v="2014-01-18T00:00:00Z"/>
        <d v="2014-06-18T00:00:00Z"/>
        <d v="2014-12-17T00:00:00Z"/>
        <d v="2014-04-07T00:00:00Z"/>
        <d v="2014-05-27T00:00:00Z"/>
        <d v="2014-08-08T00:00:00Z"/>
        <d v="2014-06-22T00:00:00Z"/>
        <d v="2014-07-27T00:00:00Z"/>
        <d v="2014-11-26T00:00:00Z"/>
        <d v="2014-05-16T00:00:00Z"/>
        <d v="2014-09-03T00:00:00Z"/>
        <d v="2014-11-14T00:00:00Z"/>
        <d v="2014-08-03T00:00:00Z"/>
        <d v="2014-02-08T00:00:00Z"/>
        <d v="2014-06-23T00:00:00Z"/>
        <d v="2014-08-04T00:00:00Z"/>
        <d v="2014-06-15T00:00:00Z"/>
        <d v="2014-08-11T00:00:00Z"/>
        <d v="2014-05-12T00:00:00Z"/>
        <d v="2014-12-04T00:00:00Z"/>
        <d v="2014-09-19T00:00:00Z"/>
        <d v="2014-02-11T00:00:00Z"/>
        <d v="2014-07-20T00:00:00Z"/>
        <d v="2014-06-21T00:00:00Z"/>
        <d v="2014-03-25T00:00:00Z"/>
        <d v="2014-05-26T00:00:00Z"/>
        <d v="2014-01-11T00:00:00Z"/>
        <d v="2014-05-19T00:00:00Z"/>
        <d v="2014-05-03T00:00:00Z"/>
        <d v="2014-09-06T00:00:00Z"/>
        <d v="2014-05-20T00:00:00Z"/>
        <d v="2014-03-30T00:00:00Z"/>
        <d v="2014-07-28T00:00:00Z"/>
        <d v="2014-06-06T00:00:00Z"/>
        <d v="2014-02-22T00:00:00Z"/>
        <d v="2014-01-30T00:00:00Z"/>
        <d v="2014-07-06T00:00:00Z"/>
        <d v="2014-01-09T00:00:00Z"/>
        <d v="2014-06-03T00:00:00Z"/>
        <d v="2014-08-29T00:00:00Z"/>
        <d v="2014-11-29T00:00:00Z"/>
        <d v="2014-04-21T00:00:00Z"/>
        <d v="2014-10-20T00:00:00Z"/>
        <d v="2014-03-29T00:00:00Z"/>
        <d v="2014-10-09T00:00:00Z"/>
        <d v="2014-09-15T00:00:00Z"/>
        <d v="2014-04-01T00:00:00Z"/>
        <d v="2014-05-23T00:00:00Z"/>
        <d v="2014-10-12T00:00:00Z"/>
        <d v="2014-10-25T00:00:00Z"/>
        <d v="2014-03-21T00:00:00Z"/>
        <d v="2014-11-20T00:00:00Z"/>
        <d v="2014-06-14T00:00:00Z"/>
        <d v="2014-02-01T00:00:00Z"/>
        <d v="2014-06-28T00:00:00Z"/>
        <d v="2014-09-16T00:00:00Z"/>
        <d v="2014-12-28T00:00:00Z"/>
        <d v="2014-09-25T00:00:00Z"/>
        <d v="2014-01-05T00:00:00Z"/>
        <d v="2014-08-16T00:00:00Z"/>
        <d v="2014-04-12T00:00:00Z"/>
        <d v="2014-10-15T00:00:00Z"/>
        <d v="2014-08-31T00:00:00Z"/>
        <d v="2014-05-24T00:00:00Z"/>
        <d v="2014-03-24T00:00:00Z"/>
        <d v="2014-05-22T00:00:00Z"/>
        <d v="2014-07-25T00:00:00Z"/>
        <d v="2014-06-10T00:00:00Z"/>
        <d v="2014-08-30T00:00:00Z"/>
        <d v="2014-01-19T00:00:00Z"/>
        <d v="2014-06-04T00:00:00Z"/>
        <d v="2014-03-22T00:00:00Z"/>
        <d v="2014-10-27T00:00:00Z"/>
        <d v="2014-12-10T00:00:00Z"/>
        <d v="2014-01-20T00:00:00Z"/>
        <d v="2014-05-17T00:00:00Z"/>
        <d v="2014-01-10T00:00:00Z"/>
        <d v="2014-01-14T00:00:00Z"/>
        <d v="2014-03-15T00:00:00Z"/>
        <d v="2014-10-14T00:00:00Z"/>
        <d v="2014-10-05T00:00:00Z"/>
        <d v="2014-02-18T00:00:00Z"/>
        <d v="2014-07-01T00:00:00Z"/>
        <d v="2014-02-17T00:00:00Z"/>
        <d v="2014-10-29T00:00:00Z"/>
        <d v="2014-04-16T00:00:00Z"/>
        <d v="2014-04-30T00:00:00Z"/>
        <d v="2014-02-27T00:00:00Z"/>
        <d v="2014-03-16T00:00:00Z"/>
        <d v="2014-04-19T00:00:00Z"/>
        <d v="2014-05-09T00:00:00Z"/>
        <d v="2014-06-25T00:00:00Z"/>
        <d v="2014-06-24T00:00:00Z"/>
        <d v="2014-04-02T00:00:00Z"/>
        <d v="2014-10-26T00:00:00Z"/>
        <d v="2014-02-21T00:00:00Z"/>
        <d v="2014-02-15T00:00:00Z"/>
        <d v="2014-05-31T00:00:00Z"/>
        <d v="2014-05-07T00:00:00Z"/>
        <d v="2014-06-20T00:00:00Z"/>
        <d v="2014-01-26T00:00:00Z"/>
        <d v="2014-07-19T00:00:00Z"/>
        <d v="2014-03-05T00:00:00Z"/>
        <d v="2015-05-14T00:00:00Z"/>
        <d v="2015-04-13T00:00:00Z"/>
        <d v="2015-05-17T00:00:00Z"/>
        <d v="2015-11-20T00:00:00Z"/>
        <d v="2015-11-22T00:00:00Z"/>
        <d v="2015-09-25T00:00:00Z"/>
        <d v="2015-11-02T00:00:00Z"/>
        <d v="2015-12-19T00:00:00Z"/>
        <d v="2015-09-15T00:00:00Z"/>
        <d v="2015-05-16T00:00:00Z"/>
        <d v="2015-05-31T00:00:00Z"/>
        <d v="2015-04-06T00:00:00Z"/>
        <d v="2015-04-09T00:00:00Z"/>
        <d v="2015-02-09T00:00:00Z"/>
        <d v="2015-12-05T00:00:00Z"/>
        <d v="2015-02-10T00:00:00Z"/>
        <d v="2015-09-18T00:00:00Z"/>
        <d v="2015-08-27T00:00:00Z"/>
        <d v="2015-06-09T00:00:00Z"/>
        <d v="2015-12-27T00:00:00Z"/>
        <d v="2015-11-27T00:00:00Z"/>
        <d v="2015-09-04T00:00:00Z"/>
        <d v="2015-09-12T00:00:00Z"/>
        <d v="2015-09-21T00:00:00Z"/>
        <d v="2015-09-22T00:00:00Z"/>
        <d v="2015-10-12T00:00:00Z"/>
        <d v="2015-03-01T00:00:00Z"/>
        <d v="2015-08-24T00:00:00Z"/>
        <d v="2015-04-18T00:00:00Z"/>
        <d v="2015-11-21T00:00:00Z"/>
        <d v="2015-05-21T00:00:00Z"/>
        <d v="2015-11-07T00:00:00Z"/>
        <d v="2015-04-05T00:00:00Z"/>
        <d v="2015-09-07T00:00:00Z"/>
        <d v="2015-09-27T00:00:00Z"/>
        <d v="2015-02-03T00:00:00Z"/>
        <d v="2015-07-24T00:00:00Z"/>
        <d v="2015-05-30T00:00:00Z"/>
        <d v="2015-12-08T00:00:00Z"/>
        <d v="2015-04-30T00:00:00Z"/>
        <d v="2015-12-01T00:00:00Z"/>
        <d v="2015-06-28T00:00:00Z"/>
        <d v="2015-03-26T00:00:00Z"/>
        <d v="2015-09-24T00:00:00Z"/>
        <d v="2015-08-09T00:00:00Z"/>
        <d v="2015-11-05T00:00:00Z"/>
        <d v="2015-02-06T00:00:00Z"/>
        <d v="2015-06-13T00:00:00Z"/>
        <d v="2015-06-12T00:00:00Z"/>
        <d v="2015-02-27T00:00:00Z"/>
        <d v="2015-01-04T00:00:00Z"/>
        <d v="2015-05-29T00:00:00Z"/>
        <d v="2015-12-11T00:00:00Z"/>
        <d v="2015-05-01T00:00:00Z"/>
        <d v="2015-10-02T00:00:00Z"/>
        <d v="2015-01-02T00:00:00Z"/>
        <d v="2015-09-01T00:00:00Z"/>
        <d v="2015-03-30T00:00:00Z"/>
        <d v="2015-11-13T00:00:00Z"/>
        <d v="2015-09-05T00:00:00Z"/>
        <d v="2015-11-01T00:00:00Z"/>
        <d v="2015-11-06T00:00:00Z"/>
        <d v="2015-11-24T00:00:00Z"/>
        <d v="2015-03-29T00:00:00Z"/>
        <d v="2015-10-18T00:00:00Z"/>
        <d v="2015-03-08T00:00:00Z"/>
        <d v="2015-11-08T00:00:00Z"/>
        <d v="2015-02-18T00:00:00Z"/>
        <d v="2015-10-25T00:00:00Z"/>
        <d v="2015-03-02T00:00:00Z"/>
        <d v="2015-06-23T00:00:00Z"/>
        <d v="2015-12-10T00:00:00Z"/>
        <d v="2015-04-16T00:00:00Z"/>
        <d v="2015-03-20T00:00:00Z"/>
        <d v="2015-09-28T00:00:00Z"/>
        <d v="2015-07-10T00:00:00Z"/>
        <d v="2015-12-18T00:00:00Z"/>
        <d v="2015-04-21T00:00:00Z"/>
        <d v="2015-11-30T00:00:00Z"/>
        <d v="2015-08-28T00:00:00Z"/>
        <d v="2015-05-03T00:00:00Z"/>
        <d v="2015-08-29T00:00:00Z"/>
        <d v="2015-01-05T00:00:00Z"/>
        <d v="2015-07-06T00:00:00Z"/>
        <d v="2015-09-10T00:00:00Z"/>
        <d v="2015-03-05T00:00:00Z"/>
        <d v="2015-04-20T00:00:00Z"/>
        <d v="2015-10-23T00:00:00Z"/>
        <d v="2015-12-31T00:00:00Z"/>
        <d v="2015-01-26T00:00:00Z"/>
        <d v="2015-12-15T00:00:00Z"/>
        <d v="2015-05-25T00:00:00Z"/>
        <d v="2015-10-10T00:00:00Z"/>
        <d v="2015-05-08T00:00:00Z"/>
        <d v="2015-11-29T00:00:00Z"/>
        <d v="2015-12-03T00:00:00Z"/>
        <d v="2015-12-04T00:00:00Z"/>
        <d v="2015-10-29T00:00:00Z"/>
        <d v="2015-03-09T00:00:00Z"/>
        <d v="2015-05-04T00:00:00Z"/>
        <d v="2015-03-17T00:00:00Z"/>
        <d v="2015-04-04T00:00:00Z"/>
        <d v="2015-10-16T00:00:00Z"/>
        <d v="2015-11-17T00:00:00Z"/>
        <d v="2015-12-12T00:00:00Z"/>
        <d v="2015-07-31T00:00:00Z"/>
        <d v="2015-12-26T00:00:00Z"/>
        <d v="2015-07-09T00:00:00Z"/>
        <d v="2015-04-11T00:00:00Z"/>
        <d v="2015-07-18T00:00:00Z"/>
        <d v="2015-08-17T00:00:00Z"/>
        <d v="2015-11-23T00:00:00Z"/>
        <d v="2015-09-26T00:00:00Z"/>
        <d v="2015-08-31T00:00:00Z"/>
        <d v="2015-11-28T00:00:00Z"/>
        <d v="2015-07-02T00:00:00Z"/>
        <d v="2015-12-25T00:00:00Z"/>
        <d v="2015-03-19T00:00:00Z"/>
        <d v="2015-06-19T00:00:00Z"/>
        <d v="2015-11-11T00:00:00Z"/>
        <d v="2015-08-13T00:00:00Z"/>
        <d v="2015-10-11T00:00:00Z"/>
        <d v="2015-03-16T00:00:00Z"/>
        <d v="2015-08-05T00:00:00Z"/>
        <d v="2015-12-21T00:00:00Z"/>
        <d v="2015-04-25T00:00:00Z"/>
        <d v="2015-07-12T00:00:00Z"/>
        <d v="2015-08-02T00:00:00Z"/>
        <d v="2015-11-15T00:00:00Z"/>
        <d v="2015-09-03T00:00:00Z"/>
        <d v="2015-11-09T00:00:00Z"/>
        <d v="2015-07-16T00:00:00Z"/>
        <d v="2015-11-12T00:00:00Z"/>
        <d v="2015-10-19T00:00:00Z"/>
        <d v="2015-12-14T00:00:00Z"/>
        <d v="2015-07-13T00:00:00Z"/>
        <d v="2015-03-13T00:00:00Z"/>
        <d v="2015-10-13T00:00:00Z"/>
        <d v="2015-08-23T00:00:00Z"/>
        <d v="2015-02-08T00:00:00Z"/>
        <d v="2015-10-05T00:00:00Z"/>
        <d v="2015-06-05T00:00:00Z"/>
        <d v="2015-10-01T00:00:00Z"/>
        <d v="2015-09-13T00:00:00Z"/>
        <d v="2015-09-19T00:00:00Z"/>
        <d v="2015-09-14T00:00:00Z"/>
        <d v="2015-06-26T00:00:00Z"/>
        <d v="2015-06-25T00:00:00Z"/>
        <d v="2015-02-15T00:00:00Z"/>
        <d v="2015-01-28T00:00:00Z"/>
        <d v="2015-05-02T00:00:00Z"/>
        <d v="2015-07-05T00:00:00Z"/>
        <d v="2015-04-14T00:00:00Z"/>
        <d v="2015-02-14T00:00:00Z"/>
        <d v="2015-12-23T00:00:00Z"/>
        <d v="2015-03-22T00:00:00Z"/>
        <d v="2015-11-26T00:00:00Z"/>
        <d v="2015-04-24T00:00:00Z"/>
        <d v="2015-03-24T00:00:00Z"/>
        <d v="2015-10-24T00:00:00Z"/>
        <d v="2015-05-28T00:00:00Z"/>
        <d v="2015-06-16T00:00:00Z"/>
        <d v="2015-05-23T00:00:00Z"/>
        <d v="2015-01-23T00:00:00Z"/>
        <d v="2015-01-09T00:00:00Z"/>
        <d v="2015-08-11T00:00:00Z"/>
        <d v="2015-12-28T00:00:00Z"/>
        <d v="2015-12-24T00:00:00Z"/>
        <d v="2015-06-14T00:00:00Z"/>
        <d v="2015-11-16T00:00:00Z"/>
        <d v="2015-03-21T00:00:00Z"/>
        <d v="2015-04-28T00:00:00Z"/>
        <d v="2015-07-23T00:00:00Z"/>
        <d v="2015-11-03T00:00:00Z"/>
        <d v="2015-01-03T00:00:00Z"/>
        <d v="2015-07-17T00:00:00Z"/>
        <d v="2015-10-04T00:00:00Z"/>
        <d v="2015-08-10T00:00:00Z"/>
        <d v="2015-06-11T00:00:00Z"/>
        <d v="2015-02-16T00:00:00Z"/>
        <d v="2015-11-10T00:00:00Z"/>
        <d v="2015-01-30T00:00:00Z"/>
        <d v="2015-08-21T00:00:00Z"/>
        <d v="2015-10-31T00:00:00Z"/>
        <d v="2015-04-26T00:00:00Z"/>
        <d v="2015-06-18T00:00:00Z"/>
        <d v="2015-11-14T00:00:00Z"/>
        <d v="2015-06-21T00:00:00Z"/>
        <d v="2015-10-30T00:00:00Z"/>
        <d v="2015-10-09T00:00:00Z"/>
        <d v="2015-07-04T00:00:00Z"/>
        <d v="2015-04-27T00:00:00Z"/>
        <d v="2015-06-22T00:00:00Z"/>
        <d v="2015-10-03T00:00:00Z"/>
        <d v="2015-12-13T00:00:00Z"/>
        <d v="2015-10-08T00:00:00Z"/>
        <d v="2015-09-11T00:00:00Z"/>
        <d v="2015-09-20T00:00:00Z"/>
        <d v="2015-08-08T00:00:00Z"/>
        <d v="2015-07-26T00:00:00Z"/>
        <d v="2015-03-12T00:00:00Z"/>
        <d v="2015-03-31T00:00:00Z"/>
        <d v="2015-07-03T00:00:00Z"/>
        <d v="2015-01-12T00:00:00Z"/>
        <d v="2015-06-29T00:00:00Z"/>
        <d v="2015-01-24T00:00:00Z"/>
        <d v="2015-05-10T00:00:00Z"/>
        <d v="2015-07-08T00:00:00Z"/>
        <d v="2015-10-15T00:00:00Z"/>
        <d v="2015-02-21T00:00:00Z"/>
        <d v="2015-08-22T00:00:00Z"/>
        <d v="2015-06-15T00:00:00Z"/>
        <d v="2015-03-23T00:00:00Z"/>
        <d v="2015-04-07T00:00:00Z"/>
        <d v="2015-12-07T00:00:00Z"/>
        <d v="2015-12-29T00:00:00Z"/>
        <d v="2015-05-12T00:00:00Z"/>
        <d v="2015-03-28T00:00:00Z"/>
        <d v="2015-12-06T00:00:00Z"/>
        <d v="2015-02-23T00:00:00Z"/>
        <d v="2015-02-22T00:00:00Z"/>
        <d v="2015-07-30T00:00:00Z"/>
        <d v="2015-03-27T00:00:00Z"/>
        <d v="2015-09-17T00:00:00Z"/>
        <d v="2015-09-06T00:00:00Z"/>
        <d v="2015-12-17T00:00:00Z"/>
        <d v="2015-04-10T00:00:00Z"/>
        <d v="2015-08-06T00:00:00Z"/>
        <d v="2015-12-30T00:00:00Z"/>
        <d v="2015-05-11T00:00:00Z"/>
        <d v="2015-04-02T00:00:00Z"/>
        <d v="2015-07-11T00:00:00Z"/>
        <d v="2015-12-20T00:00:00Z"/>
        <d v="2015-05-07T00:00:00Z"/>
        <d v="2015-01-13T00:00:00Z"/>
        <d v="2015-08-07T00:00:00Z"/>
        <d v="2015-05-15T00:00:00Z"/>
        <d v="2015-07-25T00:00:00Z"/>
        <d v="2015-10-26T00:00:00Z"/>
        <d v="2015-06-20T00:00:00Z"/>
        <d v="2015-01-19T00:00:00Z"/>
        <d v="2015-06-07T00:00:00Z"/>
        <d v="2015-08-15T00:00:00Z"/>
        <d v="2015-03-06T00:00:00Z"/>
        <d v="2015-05-26T00:00:00Z"/>
        <d v="2015-07-14T00:00:00Z"/>
        <d v="2015-04-12T00:00:00Z"/>
        <d v="2015-11-19T00:00:00Z"/>
        <d v="2015-05-13T00:00:00Z"/>
        <d v="2015-03-07T00:00:00Z"/>
        <d v="2015-03-10T00:00:00Z"/>
        <d v="2015-02-07T00:00:00Z"/>
        <d v="2015-04-17T00:00:00Z"/>
        <d v="2015-10-20T00:00:00Z"/>
        <d v="2015-01-31T00:00:00Z"/>
        <d v="2015-01-06T00:00:00Z"/>
        <d v="2015-05-22T00:00:00Z"/>
        <d v="2015-04-22T00:00:00Z"/>
        <d v="2015-01-17T00:00:00Z"/>
        <d v="2015-09-08T00:00:00Z"/>
        <d v="2015-10-17T00:00:00Z"/>
        <d v="2015-02-20T00:00:00Z"/>
        <d v="2015-08-01T00:00:00Z"/>
        <d v="2015-05-20T00:00:00Z"/>
        <d v="2015-12-22T00:00:00Z"/>
        <d v="2015-02-25T00:00:00Z"/>
        <d v="2015-03-15T00:00:00Z"/>
        <d v="2015-05-09T00:00:00Z"/>
        <d v="2015-12-09T00:00:00Z"/>
        <d v="2015-04-29T00:00:00Z"/>
        <d v="2015-06-04T00:00:00Z"/>
        <d v="2015-07-20T00:00:00Z"/>
        <d v="2015-06-01T00:00:00Z"/>
        <d v="2015-06-08T00:00:00Z"/>
        <d v="2015-10-28T00:00:00Z"/>
        <d v="2015-12-16T00:00:00Z"/>
        <d v="2015-03-14T00:00:00Z"/>
        <d v="2015-01-27T00:00:00Z"/>
        <d v="2015-05-18T00:00:00Z"/>
        <d v="2015-09-16T00:00:00Z"/>
        <d v="2015-08-25T00:00:00Z"/>
        <d v="2015-10-22T00:00:00Z"/>
        <d v="2014-03-10T00:00:00Z"/>
        <d v="2014-08-02T00:00:00Z"/>
        <d v="2014-10-16T00:00:00Z"/>
        <d v="2014-02-12T00:00:00Z"/>
        <d v="2014-01-27T00:00:00Z"/>
        <d v="2014-04-15T00:00:00Z"/>
        <d v="2014-11-08T00:00:00Z"/>
        <d v="2014-10-01T00:00:00Z"/>
        <d v="2014-02-24T00:00:00Z"/>
        <d v="2014-07-07T00:00:00Z"/>
        <d v="2014-07-13T00:00:00Z"/>
        <d v="2015-08-16T00:00:00Z"/>
        <d v="2015-07-27T00:00:00Z"/>
        <d v="2015-02-28T00:00:00Z"/>
        <d v="2015-04-19T00:00:00Z"/>
        <d v="2015-01-10T00:00:00Z"/>
        <d v="2015-07-19T00:00:00Z"/>
        <d v="2015-11-25T00:00:00Z"/>
        <d v="2015-05-24T00:00:00Z"/>
      </sharedItems>
    </cacheField>
    <cacheField name="Segment" numFmtId="0">
      <sharedItems>
        <s v="Consumer"/>
        <s v="Corporate"/>
        <s v="Home Office"/>
        <s v="Claudia Bergmann"/>
        <s v="Heather Jas"/>
        <s v="Dianna Vittorini"/>
        <s v="Brian Moss"/>
        <s v="Irene Maddox"/>
        <s v="Anne McFarland"/>
        <s v="Scot Wooten"/>
        <s v="Suzanne McNair"/>
        <s v="Ann Chong"/>
        <s v="Tracy Hopkins"/>
        <s v="Janet Molinari"/>
        <s v="Mark Hamilton"/>
        <s v="Ivan Gibson"/>
        <s v="Michael Stewart"/>
        <s v="Nona Balk"/>
        <s v="Charlotte Melton"/>
        <s v="Philip Fox"/>
        <s v="Max Jones"/>
        <s v="David Bremer"/>
        <s v="Carlos Daly"/>
        <s v="Ken Black"/>
        <s v="Tamara Manning"/>
        <s v="Chad Sievert"/>
        <s v="Sanjit Jacobs"/>
        <s v="Mark Packer"/>
        <s v="Dave Hallsten"/>
        <s v="Katrina Willman"/>
        <s v="Natalie Webber"/>
        <s v="Kelly Williams"/>
        <s v="John Huston"/>
        <s v="Henry Goldwyn"/>
        <s v="Karen Bern"/>
        <s v="Jennifer Ferguson"/>
        <s v="Lisa Ryan"/>
        <s v="Helen Wasserman"/>
        <s v="Frank Olsen"/>
        <s v="Shirley Schmidt"/>
        <s v="Edward Nazzal"/>
        <s v="Joel Jenkins"/>
        <s v="Beth Thompson"/>
        <s v="Benjamin Venier"/>
        <s v="Shaun Chance"/>
        <s v="Sung Pak"/>
        <s v="Dan Reichenbach"/>
        <s v="Hallie Redmond"/>
        <s v="Nathan Gelder"/>
        <s v="Lori Olson"/>
        <s v="Tracy Poddar"/>
        <s v="Frank Carlisle"/>
        <s v="Jonathan Howell"/>
        <s v="Erin Smith"/>
        <s v="Andrew Gjertsen"/>
        <s v="Chad Cunningham"/>
        <s v="Patrick O'Brill"/>
        <s v="Ed Braxton"/>
        <s v="Daniel Raglin"/>
        <s v="Keith Herrera"/>
        <s v="Brendan Murry"/>
        <s v="Valerie Mitchum"/>
        <s v="Meg Tillman"/>
        <s v="Darren Powers"/>
        <s v="Chad McGuire"/>
        <s v="Jamie Frazer"/>
        <s v="Christine Phan"/>
        <s v="Marc Crier"/>
        <s v="Kristina Nunn"/>
        <s v="Dana Kaydos"/>
        <s v="Helen Abelman"/>
        <s v="Carol Adams"/>
        <s v="Guy Thornton"/>
        <s v="Pete Armstrong"/>
        <s v="Randy Ferguson"/>
        <s v="Julia West"/>
        <s v="Brad Norvell"/>
        <s v="Eugene Barchas"/>
        <s v="Emily Burns"/>
        <s v="Lena Creighton"/>
        <s v="Bart Watters"/>
        <s v="Zuschuss Carroll"/>
        <s v="Mike Vittorini"/>
        <s v="Brenda Bowman"/>
        <s v="Michael Kennedy"/>
        <s v="Juliana Krohn"/>
        <s v="John Murray"/>
        <s v="Fred Chung"/>
        <s v="Julia Barnett"/>
        <s v="MaryBeth Skach"/>
        <s v="Noel Staavos"/>
        <s v="Brooke Gillingham"/>
        <s v="Kalyca Meade"/>
        <s v="Frank Atkinson"/>
        <s v="Katherine Nockton"/>
        <s v="Eileen Kiefer"/>
        <s v="Olvera Toch"/>
        <s v="Craig Carroll"/>
        <s v="Jas O'Carroll"/>
        <s v="Denise Leinenbach"/>
        <s v="Rob Haberlin"/>
        <s v="Karen Carlisle"/>
        <s v="Luke Foster"/>
        <s v="Ken Heidel"/>
        <s v="Elizabeth Moffitt"/>
        <s v="Joseph Holt"/>
        <s v="Craig Yedwab"/>
        <s v="Denny Joy"/>
        <s v="Heather Kirkland"/>
        <s v="Allen Armold"/>
        <s v="Bill Tyler"/>
        <s v="Alejandro Ballentine"/>
        <s v="Ritsa Hightower"/>
        <s v="Matt Abelman"/>
        <s v="Toby Gnade"/>
        <s v="Dave Kipp"/>
        <s v="Anna Häberlin"/>
        <s v="Harold Ryan"/>
        <s v="Nicole Fjeld"/>
        <s v="Helen Andreada"/>
        <s v="Michael Paige"/>
        <s v="Brian Derr"/>
        <s v="Anna Andreadi"/>
        <s v="Karen Daniels"/>
        <s v="Joe Elijah"/>
        <s v="Phillina Ober"/>
        <s v="Anthony Garverick"/>
        <s v="Steve Chapman"/>
        <s v="Lindsay Castell"/>
        <s v="Mick Crebagga"/>
        <s v="Sanjit Engle"/>
        <s v="Joe Kamberova"/>
        <s v="Roland Fjeld"/>
        <s v="Ann Blume"/>
        <s v="Victoria Pisteka"/>
        <s v="Victoria Brennan"/>
        <s v="Victoria Wilson"/>
        <s v="Scott Cohen"/>
        <s v="Karl Braun"/>
        <s v="Ralph Arnett"/>
        <s v="Fred Hopkins"/>
        <s v="Paul Prost"/>
        <s v="Duane Benoit"/>
        <s v="Odella Nelson"/>
        <s v="Shahid Hopkins"/>
        <s v="Jeremy Ellison"/>
        <s v="Stewart Visinsky"/>
        <s v="Katrina Bavinger"/>
        <s v="Andrew Roberts"/>
        <s v="Roger Demir"/>
        <s v="Nat Carroll"/>
        <s v="David Philippe"/>
        <s v="John Lucas"/>
        <s v="Daniel Lacy"/>
        <s v="Fred McMath"/>
        <s v="Darren Koutras"/>
        <s v="Ryan Akin"/>
        <s v="Berenike Kampe"/>
        <s v="Maria Bertelson"/>
        <s v="Valerie Dominguez"/>
        <s v="Jim Karlsson"/>
        <s v="Dean Katz"/>
        <s v="Cathy Prescott"/>
        <s v="Eleni McCrary"/>
        <s v="Shahid Collister"/>
        <s v="Nicole Hansen"/>
        <s v="Eric Hoffmann"/>
        <s v="Natalie DeCherney"/>
        <s v="Art Foster"/>
        <s v="Tamara Dahlen"/>
        <s v="Keith Dawkins"/>
        <s v="Lisa Hazard"/>
        <s v="Robert Marley"/>
        <s v="Arthur Gainer"/>
        <s v="Linda Southworth"/>
        <s v="Ken Lonsdale"/>
        <s v="Tracy Collins"/>
        <s v="Brad Eason"/>
        <s v="Sue Ann Reed"/>
        <s v="Alan Barnes"/>
        <s v="Justin MacKendrick"/>
        <s v="Barbara Fisher"/>
        <s v="Jamie Kunitz"/>
        <s v="Noah Childs"/>
        <s v="Theone Pippenger"/>
        <s v="Ted Trevino"/>
        <s v="Quincy Jones"/>
        <s v="Steve Nguyen"/>
        <s v="Maria Zettner"/>
        <s v="Matt Collins"/>
        <s v="Bradley Drucker"/>
        <s v="Debra Catini"/>
        <s v="Tim Brockman"/>
        <s v="Guy Phonely"/>
        <s v="Deborah Brumfield"/>
        <s v="Dennis Pardue"/>
        <s v="Harry Marie"/>
        <s v="Neil Knudson"/>
        <s v="Lycoris Saunders"/>
        <s v="Kristen Hastings"/>
        <s v="Carl Weiss"/>
        <s v="Jesus Ocampo"/>
        <s v="Tracy Zic"/>
        <s v="Roger Barcio"/>
        <s v="Muhammed MacIntyre"/>
        <s v="Steven Cartwright"/>
        <s v="Barry Weirich"/>
        <s v="Mark Van Huff"/>
        <s v="Eric Murdock"/>
        <s v="Shahid Shariari"/>
        <s v="Logan Currie"/>
        <s v="Maribeth Schnelling"/>
        <s v="Sarah Foster"/>
        <s v="Christina Anderson"/>
        <s v="Richard Bierner"/>
        <s v="Alan Dominguez"/>
        <s v="John Grady"/>
        <s v="Clytie Kelty"/>
        <s v="Sonia Sunley"/>
        <s v="Bill Donatelli"/>
        <s v="Shirley Daniels"/>
        <s v="Marina Lichtenstein"/>
        <s v="Barry Gonzalez"/>
        <s v="Jennifer Jackson"/>
        <s v="Chris Selesnick"/>
        <s v="Sylvia Foulston"/>
        <s v="Cassandra Brandow"/>
        <s v="Denny Ordway"/>
        <s v="Alex Avila"/>
        <s v="Fred Wasserman"/>
        <s v="Jennifer Braxton"/>
        <s v="Jim Epp"/>
        <s v="Rob Dowd"/>
        <s v="Philisse Overcash"/>
        <s v="Charles Crestani"/>
        <s v="Logan Haushalter"/>
        <s v="William Brown"/>
        <s v="Harold Pawlan"/>
        <s v="Skye Norling"/>
        <s v="Bryan Spruell"/>
        <s v="Rick Duston"/>
        <s v="Pauline Johnson"/>
        <s v="Jack Garza"/>
        <s v="Annie Thurman"/>
        <s v="Gary Zandusky"/>
        <s v="Doug Jacobs"/>
        <s v="Emily Phan"/>
        <s v="Kean Nguyen"/>
        <s v="Andy Reiter"/>
        <s v="Sanjit Chand"/>
        <s v="Cathy Hwang"/>
        <s v="Maurice Satty"/>
        <s v="Melanie Seite"/>
        <s v="Greg Tran"/>
        <s v="Thomas Thornton"/>
        <s v="Rick Wilson"/>
        <s v="Rick Hansen"/>
        <s v="Stephanie Phelps"/>
        <s v="David Flashing"/>
        <s v="Michael Grace"/>
        <s v="Mary Zewe"/>
        <s v="Alan Haines"/>
        <s v="Laura Armstrong"/>
        <s v="Kelly Collister"/>
        <s v="Patrick Ryan"/>
        <s v="Nora Pelletier"/>
        <s v="Brian Thompson"/>
        <s v="Bruce Stewart"/>
        <s v="George Bell"/>
        <s v="Ashley Jarboe"/>
        <s v="Rob Lucas"/>
        <s v="Doug O'Connell"/>
        <s v="Stuart Van"/>
        <s v="Brian Stugart"/>
        <s v="Justin Hirsh"/>
        <s v="Elpida Rittenbach"/>
        <s v="Gene McClure"/>
        <s v="Pauline Webber"/>
        <s v="Jay Kimmel"/>
        <s v="Jonathan Doherty"/>
        <s v="Adam Shillingsburg"/>
        <s v="Duane Huffman"/>
        <s v="Cyma Kinney"/>
        <s v="John Castell"/>
        <s v="Monica Federle"/>
        <s v="Christopher Martinez"/>
        <s v="Edward Becker"/>
        <s v="Bruce Degenhardt"/>
        <s v="Resi Pölking"/>
        <s v="Cindy Schnelling"/>
        <s v="Cyra Reiten"/>
        <s v="Craig Carreira"/>
        <s v="Anthony Witt"/>
        <s v="Denny Blanton"/>
        <s v="Darrin Martin"/>
        <s v="Yana Sorensen"/>
        <s v="Roy Phan"/>
        <s v="Peter Fuller"/>
        <s v="Henry MacAllister"/>
        <s v="Julie Kriz"/>
        <s v="Aaron Hawkins"/>
        <s v="Sheri Gordon"/>
        <s v="David Smith"/>
        <s v="Frank Merwin"/>
        <s v="Victor Preis"/>
        <s v="Jeremy Farry"/>
        <s v="Russell Applegate"/>
        <s v="Deirdre Greer"/>
        <s v="Roy Französisch"/>
        <s v="Annie Zypern"/>
        <s v="Tracy Blumstein"/>
        <s v="Naresj Patel"/>
        <s v="Gene Hale"/>
        <s v="Stefania Perrino"/>
        <s v="Laurel Elliston"/>
        <s v="James Galang"/>
        <s v="Dennis Kane"/>
        <s v="Dave Poirier"/>
        <s v="Penelope Sewall"/>
        <s v="Don Miller"/>
        <s v="Jay Fein"/>
        <s v="Corey Catlett"/>
        <s v="Kean Thornton"/>
        <s v="Meg O'Connel"/>
        <s v="Grace Kelly"/>
        <s v="Craig Molinari"/>
        <s v="Sample Company A"/>
        <s v="Thea Hendricks"/>
        <s v="Alyssa Tate"/>
        <s v="Jim Kriz"/>
        <s v="Paul Gonzalez"/>
        <s v="Eugene Hildebrand"/>
        <s v="John Dryer"/>
        <s v="Maribeth Dona"/>
        <s v="Stephanie Ulpright"/>
        <s v="Maxwell Schwartz"/>
        <s v="Benjamin Patterson"/>
        <s v="Rachel Payne"/>
        <s v="Chloris Kastensmidt"/>
        <s v="Giulietta Weimer"/>
        <s v="Tamara Willingham"/>
        <s v="Kunst Miller"/>
        <s v="Clay Ludtke"/>
        <s v="Tonja Turnell"/>
        <s v="Mike Pelletier"/>
        <s v="Paul Stevenson"/>
        <s v="Cynthia Arntzen"/>
        <s v="Sam Zeldin"/>
        <s v="Tom Prescott"/>
        <s v="Muhammed Lee"/>
        <s v="Cari Sayre"/>
        <s v="Todd Sumrall"/>
        <s v="Bobby Odegard"/>
        <s v="Nathan Mautz"/>
        <s v="Trudy Schmidt"/>
        <s v="Emily Ducich"/>
        <s v="Anna Gayman"/>
        <s v="Philip Brown"/>
        <s v="Marc Harrigan"/>
        <s v="Jill Fjeld"/>
        <s v="Patrick Jones"/>
        <s v="Janet Lee"/>
        <s v="Doug Bickford"/>
        <s v="Lauren Leatherbury"/>
        <s v="Bart Pistole"/>
        <s v="Nora Paige"/>
        <s v="Jessica Myrick"/>
        <s v="Emily Grady"/>
        <s v="Maya Herman"/>
        <s v="Christine Sundaresam"/>
        <s v="Russell D'Ascenzo"/>
        <s v="Maribeth Yedwab"/>
        <s v="Alex Russell"/>
        <s v="Joel Eaton"/>
        <s v="Giulietta Baptist"/>
        <s v="Dean percer"/>
        <s v="Stewart Carmichael"/>
        <s v="Corinna Mitchell"/>
        <s v="Tanja Norvell"/>
        <s v="Trudy Glocke"/>
        <s v="Amy Hunt"/>
        <s v="Paul MacIntyre"/>
        <s v="Lena Radford"/>
        <s v="Darren Budd"/>
        <s v="Evan Minnotte"/>
        <s v="Barry Blumstein"/>
        <s v="Parhena Norris"/>
        <s v="Justin Ritter"/>
        <s v="Erica Smith"/>
        <s v="Richard Eichhorn"/>
        <s v="Bill Stewart"/>
        <s v="Deanra Eno"/>
        <s v="Denise Monton"/>
        <s v="Evan Bailliet"/>
        <s v="Sandra Flanagan"/>
        <s v="Kelly Andreada"/>
        <s v="Pamela Stobb"/>
        <s v="Dan Campbell"/>
        <s v="Jill Stevenson"/>
        <s v="Saphhira Shifley"/>
        <s v="Alan Shonely"/>
        <s v="Dennis Bolton"/>
        <s v="Nathan Cano"/>
        <s v="Alan Schoenberger"/>
        <s v="Nick Zandusky"/>
        <s v="Pierre Wener"/>
        <s v="Maria Etezadi"/>
        <s v="Grant Thornton"/>
        <s v="Arthur Wiediger"/>
        <s v="Gary Hwang"/>
        <s v="Sean Miller"/>
        <s v="Justin Deggeller"/>
        <s v="Matt Connell"/>
        <s v="Jeremy Pistek"/>
        <s v="Robert Dilbeck"/>
        <s v="Barry Französisch"/>
        <s v="Katherine Ducich"/>
        <s v="Ben Ferrer"/>
        <s v="Carol Triggs"/>
        <s v="Sarah Jordon"/>
        <s v="Eugene Moren"/>
        <s v="Patrick Bzostek"/>
        <s v="Sarah Brown"/>
        <s v="Toby Swindell"/>
        <s v="Michael Granlund"/>
        <s v="Corey-Lock"/>
        <s v="Damala Kotsonis"/>
        <s v="Sam Craven"/>
        <s v="Carlos Meador"/>
        <s v="Natalie Fritzler"/>
        <s v="Chris Cortes"/>
        <s v="Mike Caudle"/>
        <s v="Katherine Murray"/>
        <s v="Michelle Huthwaite"/>
        <s v="Fred Harton"/>
        <s v="Ruben Dartt"/>
        <s v="Sally Hughsby"/>
        <s v="Brosina Hoffman"/>
        <s v="Theresa Swint"/>
        <s v="Trudy Brown"/>
        <s v="Julie Creighton"/>
        <s v="Cynthia Delaney"/>
        <s v="Guy Armstrong"/>
        <s v="Steven Roelle"/>
        <s v="Rick Reed"/>
        <s v="Cari Schnelling"/>
        <s v="Adam Bellavance"/>
        <s v="Shaun Weien"/>
        <s v="Lena Cacioppo"/>
        <s v="Chuck Clark"/>
        <s v="Maureen Gastineau"/>
        <s v="Tony Chapman"/>
        <s v="Ivan Liston"/>
        <s v="Carlos Soltero"/>
        <s v="Julie Prescott"/>
        <s v="Robert Barroso"/>
        <s v="Yoseph Carroll"/>
        <s v="Shui Tom"/>
        <s v="Pauline Chand"/>
        <s v="Sara Luxemburg"/>
        <s v="Dionis Lloyd"/>
        <s v="Alejandro Grove"/>
        <s v="Rose O'Brian"/>
        <s v="Sean Braxton"/>
        <s v="Bruce Geld"/>
        <s v="Liz Thompson"/>
        <s v="Sung Shariari"/>
        <s v="Erin Ashbrook"/>
        <s v="Alan Hwang"/>
        <s v="Karen Seio"/>
        <s v="George Ashbrook"/>
        <s v="Ruben Ausman"/>
        <s v="Xylona Preis"/>
        <s v="Max Engle"/>
        <s v="Stuart Calhoun"/>
        <s v="Tamara Chand"/>
        <s v="Raymond Messe"/>
        <s v="Matt Hagelstein"/>
        <s v="Erica Hackney"/>
        <s v="Dan Lawera"/>
        <s v="Michelle Tran"/>
        <s v="Michelle Arnett"/>
        <s v="Ken Brennan"/>
        <s v="Harold Dahlen"/>
        <s v="Rick Huthwaite"/>
        <s v="Dean Braden"/>
        <s v="Becky Castell"/>
        <s v="Kean Takahito"/>
        <s v="Becky Pak"/>
        <s v="James Lanier"/>
        <s v="Brian Dahlen"/>
        <s v="Arianne Irving"/>
        <s v="Cindy Stewart"/>
        <s v="Ralph Kennedy"/>
        <s v="Thomas Brumley"/>
        <s v="Anthony Rawles"/>
        <s v="Bryan Mills"/>
        <s v="Catherine Glotzbach"/>
        <s v="Mark Cousins"/>
        <s v="Sean O'Donnell"/>
        <s v="Adam Hart"/>
        <s v="Neoma Murray"/>
        <s v="Tim Taslimi"/>
        <s v="Sandra Glassco"/>
        <s v="Cathy Armstrong"/>
        <s v="Sonia Cooley"/>
        <s v="Dorothy Wardle"/>
        <s v="Greg Hansen"/>
        <s v="Adrian Barton"/>
        <s v="Eudokia Martin"/>
        <s v="Brendan Dodson"/>
        <s v="Maureen Gnade"/>
        <s v="Andy Gerbode"/>
        <s v="Ellis Ballard"/>
        <s v="Mitch Webber"/>
        <s v="Allen Rosenblatt"/>
        <s v="Amy Cox"/>
        <s v="Sean Christensen"/>
        <s v="Brad Thomas"/>
        <s v="Hunter Glantz"/>
        <s v="Lynn Smith"/>
        <s v="Anthony Jacobs"/>
        <s v="Ben Peterman"/>
        <s v="Aleksandra Gannaway"/>
        <s v="Stefanie Holloman"/>
        <s v="Valerie Takahito"/>
        <s v="Aimee Bixby"/>
        <s v="Dario Medina"/>
        <s v="Art Ferguson"/>
        <s v="Seth Vernon"/>
        <s v="Michelle Ellison"/>
        <s v="Joni Blumstein"/>
        <s v="Ed Jacobs"/>
        <s v="Liz MacKendrick"/>
        <s v="Neil Französisch"/>
        <s v="Joni Sundaresam"/>
        <s v="Jim Radford"/>
        <s v="Alice McCarthy"/>
        <s v="Brendan Sweed"/>
        <s v="Jane Waco"/>
        <s v="Lindsay Shagiari"/>
        <s v="Christopher Schild"/>
        <s v="Michael Oakman"/>
        <s v="Larry Tron"/>
        <s v="Claire Gute"/>
        <s v="Julia Dunbar"/>
        <s v="John Stevenson"/>
        <s v="Speros Goranitis"/>
        <s v="Ken Dana"/>
        <s v="Patrick Gardner"/>
        <s v="Nat Gilpin"/>
        <s v="Peter McVee"/>
        <s v="Christy Brittain"/>
        <s v="Greg Guthrie"/>
        <s v="Lena Hernandez"/>
        <s v="Jennifer Patt"/>
        <s v="John Lee"/>
        <s v="Mike Gockenbach"/>
        <s v="Nancy Lomonaco"/>
        <s v="Neil Ducich"/>
        <s v="Michelle Moray"/>
        <s v="Ann Steele"/>
        <s v="Edward Hooks"/>
        <s v="Ross Baird"/>
        <s v="Michael Moore"/>
        <s v="Roland Schwarz"/>
        <s v="Thais Sissman"/>
        <s v="Harry Greene"/>
        <s v="Katrina Edelman"/>
        <s v="Joni Wasserman"/>
        <s v="Steve Carroll"/>
        <s v="Gary Hansen"/>
        <s v="Anne Pryor"/>
        <s v="Vivek Sundaresam"/>
        <s v="Frank Preis"/>
        <s v="Khloe Miller"/>
      </sharedItems>
    </cacheField>
    <cacheField name="State" numFmtId="0">
      <sharedItems>
        <s v="New York"/>
        <s v="California"/>
        <s v="Florida"/>
        <s v="Arizona"/>
        <s v="Texas"/>
        <s v="Virginia"/>
        <s v="Michigan"/>
        <s v="New Mexico"/>
        <s v="Georgia"/>
        <s v="Utah"/>
        <s v="Illinois"/>
        <s v="Washington"/>
        <s v="Pennsylvania"/>
        <s v="South Carolina"/>
        <s v="Kentucky"/>
        <s v="Nevada"/>
        <s v="North Carolina"/>
        <s v="Indiana"/>
        <s v="Delaware"/>
        <s v="Ohio"/>
        <s v="Mississippi"/>
        <s v="Wisconsin"/>
        <s v="Montana"/>
        <s v="Minnesota"/>
        <s v="Massachusetts"/>
        <s v="New Jersey"/>
        <s v="Kansas"/>
        <s v="Tennessee"/>
        <s v="Nebraska"/>
        <s v="Alabama"/>
        <s v="Missouri"/>
        <s v="Colorado"/>
        <s v="Arkansas"/>
        <s v="South Dakota"/>
        <s v="Oklahoma"/>
        <s v="Maryland"/>
        <s v="Rhode Island"/>
        <s v="Oregon"/>
        <s v="Connecticut"/>
        <s v="Maine"/>
        <s v="Louisiana"/>
        <s v="Corporate"/>
        <s v="Home Office"/>
        <s v="Consumer"/>
        <s v="Idaho"/>
        <s v="New Hampshire"/>
        <s v="Iowa"/>
      </sharedItems>
    </cacheField>
    <cacheField name="Region" numFmtId="0">
      <sharedItems>
        <s v="East"/>
        <s v="West"/>
        <s v="South"/>
        <s v="Central"/>
      </sharedItems>
    </cacheField>
    <cacheField name="Sales" numFmtId="4">
      <sharedItems containsSemiMixedTypes="0" containsString="0" containsNumber="1">
        <n v="377.97"/>
        <n v="502.488"/>
        <n v="91.056"/>
        <n v="3.928"/>
        <n v="2.368"/>
        <n v="14.62"/>
        <n v="2.688"/>
        <n v="99.98"/>
        <n v="151.92"/>
        <n v="18.75"/>
        <n v="321.552"/>
        <n v="302.376"/>
        <n v="8.56"/>
        <n v="194.7"/>
        <n v="166.44"/>
        <n v="2.394"/>
        <n v="100.704"/>
        <n v="13.36"/>
        <n v="296.712"/>
        <n v="269.36"/>
        <n v="8.016"/>
        <n v="59.92"/>
        <n v="69.99"/>
        <n v="397.6"/>
        <n v="40.68"/>
        <n v="1.869"/>
        <n v="34.44"/>
        <n v="7.184"/>
        <n v="48.94"/>
        <n v="29.24"/>
        <n v="36.99"/>
        <n v="120.712"/>
        <n v="88.8"/>
        <n v="40.08"/>
        <n v="91.96"/>
        <n v="7.52"/>
        <n v="15.552"/>
        <n v="22.96"/>
        <n v="5.312"/>
        <n v="3.69"/>
        <n v="331.536"/>
        <n v="56.52"/>
        <n v="39.96"/>
        <n v="19.52"/>
        <n v="10.68"/>
        <n v="149.95"/>
        <n v="779.796"/>
        <n v="12.96"/>
        <n v="25.584"/>
        <n v="719.952"/>
        <n v="10.896"/>
        <n v="62.28"/>
        <n v="1007.944"/>
        <n v="63.924"/>
        <n v="6.936"/>
        <n v="16.448"/>
        <n v="5.95"/>
        <n v="58.112"/>
        <n v="30.28"/>
        <n v="323.976"/>
        <n v="6.28"/>
        <n v="457.568"/>
        <n v="306.2"/>
        <n v="65.97"/>
        <n v="59.808"/>
        <n v="20.65"/>
        <n v="12.984"/>
        <n v="60.416"/>
        <n v="31.84"/>
        <n v="17.248"/>
        <n v="21.98"/>
        <n v="34.68"/>
        <n v="196.776"/>
        <n v="18.9"/>
        <n v="7.36"/>
        <n v="30.48"/>
        <n v="6.928"/>
        <n v="76.728"/>
        <n v="626.352"/>
        <n v="70.368"/>
        <n v="665.88"/>
        <n v="1049.97"/>
        <n v="12.78"/>
        <n v="268.935"/>
        <n v="11.91"/>
        <n v="1113.024"/>
        <n v="11.34"/>
        <n v="264.32"/>
        <n v="8.288"/>
        <n v="1261.33"/>
        <n v="24.56"/>
        <n v="310.88"/>
        <n v="475.944"/>
        <n v="180.96"/>
        <n v="46.26"/>
        <n v="82.896"/>
        <n v="6.528"/>
        <n v="34.86"/>
        <n v="11.36"/>
        <n v="23.472"/>
        <n v="73.98"/>
        <n v="16.176"/>
        <n v="115.36"/>
        <n v="257.98"/>
        <n v="561.584"/>
        <n v="5.88"/>
        <n v="13.28"/>
        <n v="68.48"/>
        <n v="8.952"/>
        <n v="9.408"/>
        <n v="36.288"/>
        <n v="1421.664"/>
        <n v="10.368"/>
        <n v="136.96"/>
        <n v="55.984"/>
        <n v="91.36"/>
        <n v="17.28"/>
        <n v="20.04"/>
        <n v="32.4"/>
        <n v="545.94"/>
        <n v="196.21"/>
        <n v="62.31"/>
        <n v="386.34"/>
        <n v="23.744"/>
        <n v="35.98"/>
        <n v="806.336"/>
        <n v="17.94"/>
        <n v="27.36"/>
        <n v="10.688"/>
        <n v="23.976"/>
        <n v="135.99"/>
        <n v="93.888"/>
        <n v="249.75"/>
        <n v="127.869"/>
        <n v="23.68"/>
        <n v="275.97"/>
        <n v="25.248"/>
        <n v="20.88"/>
        <n v="87.08"/>
        <n v="83.92"/>
        <n v="25.92"/>
        <n v="24.9"/>
        <n v="287.968"/>
        <n v="45.48"/>
        <n v="83.84"/>
        <n v="29.68"/>
        <n v="3.424"/>
        <n v="1367.84"/>
        <n v="5.742"/>
        <n v="300.416"/>
        <n v="114.2"/>
        <n v="13.92"/>
        <n v="48.91"/>
        <n v="1198.33"/>
        <n v="37.84"/>
        <n v="11.88"/>
        <n v="10.048"/>
        <n v="119.96"/>
        <n v="11.16"/>
        <n v="11.784"/>
        <n v="0.852"/>
        <n v="1.167"/>
        <n v="127.95"/>
        <n v="182.94"/>
        <n v="11.85"/>
        <n v="9.568"/>
        <n v="319.968"/>
        <n v="14.304"/>
        <n v="12.54"/>
        <n v="449.15"/>
        <n v="81.92"/>
        <n v="90.24"/>
        <n v="279.456"/>
        <n v="340.116"/>
        <n v="634.116"/>
        <n v="55.48"/>
        <n v="41.4"/>
        <n v="18.464"/>
        <n v="2.88"/>
        <n v="349.965"/>
        <n v="68.704"/>
        <n v="273.568"/>
        <n v="7.31"/>
        <n v="500.24"/>
        <n v="337.088"/>
        <n v="149.97"/>
        <n v="33.088"/>
        <n v="53.316"/>
        <n v="14.52"/>
        <n v="146.76"/>
        <n v="153.824"/>
        <n v="26.136"/>
        <n v="605.34"/>
        <n v="16.704"/>
        <n v="290.666"/>
        <n v="40.096"/>
        <n v="14.48"/>
        <n v="62.91"/>
        <n v="127.104"/>
        <n v="48.86"/>
        <n v="46.384"/>
        <n v="2.624"/>
        <n v="2.97"/>
        <n v="67.88"/>
        <n v="354.9"/>
        <n v="3785.292"/>
        <n v="4.224"/>
        <n v="186.304"/>
        <n v="1799.97"/>
        <n v="6.16"/>
        <n v="21.4"/>
        <n v="63.47"/>
        <n v="99.2"/>
        <n v="13.44"/>
        <n v="17.544"/>
        <n v="129.92"/>
        <n v="11.52"/>
        <n v="6.57"/>
        <n v="2715.93"/>
        <n v="46.8"/>
        <n v="429.9"/>
        <n v="37.408"/>
        <n v="8.736"/>
        <n v="19.98"/>
        <n v="93.78"/>
        <n v="20.94"/>
        <n v="20.86"/>
        <n v="3.76"/>
        <n v="79.968"/>
        <n v="1117.92"/>
        <n v="17.472"/>
        <n v="2934.33"/>
        <n v="8.544"/>
        <n v="5.76"/>
        <n v="123.92"/>
        <n v="177.536"/>
        <n v="11.56"/>
        <n v="245.88"/>
        <n v="493.43"/>
        <n v="25.5"/>
        <n v="2807.84"/>
        <n v="6.368"/>
        <n v="799.92"/>
        <n v="152.76"/>
        <n v="4.344"/>
        <n v="330.4"/>
        <n v="19.432"/>
        <n v="87.54"/>
        <n v="43.68"/>
        <n v="3.9"/>
        <n v="8.376"/>
        <n v="783.96"/>
        <n v="998.85"/>
        <n v="140.736"/>
        <n v="10.72"/>
        <n v="239.97"/>
        <n v="172.11"/>
        <n v="247.84"/>
        <n v="111.15"/>
        <n v="17.856"/>
        <n v="1.08"/>
        <n v="52.96"/>
        <n v="25.128"/>
        <n v="19.68"/>
        <n v="479.96"/>
        <n v="64.784"/>
        <n v="5.248"/>
        <n v="16.78"/>
        <n v="575.968"/>
        <n v="3.912"/>
        <n v="176.8"/>
        <n v="259.136"/>
        <n v="7.752"/>
        <n v="123.144"/>
        <n v="211.96"/>
        <n v="18.336"/>
        <n v="64.864"/>
        <n v="26.046"/>
        <n v="139.8"/>
        <n v="40.05"/>
        <n v="8.96"/>
        <n v="87.96"/>
        <n v="1403.92"/>
        <n v="10.78"/>
        <n v="567.12"/>
        <n v="39.48"/>
        <n v="549.99"/>
        <n v="66.03"/>
        <n v="479.984"/>
        <n v="501.81"/>
        <n v="579.95"/>
        <n v="137.54"/>
        <n v="238.0"/>
        <n v="489.23"/>
        <n v="279.96"/>
        <n v="35.856"/>
        <n v="1395.54"/>
        <n v="96.256"/>
        <n v="232.88"/>
        <n v="14.4"/>
        <n v="25.96"/>
        <n v="348.488"/>
        <n v="832.93"/>
        <n v="9.96"/>
        <n v="21.728"/>
        <n v="14.56"/>
        <n v="666.344"/>
        <n v="629.95"/>
        <n v="86.376"/>
        <n v="13.16"/>
        <n v="25.68"/>
        <n v="2.502"/>
        <n v="5.184"/>
        <n v="1089.75"/>
        <n v="53.94"/>
        <n v="911.984"/>
        <n v="38.976"/>
        <n v="15.696"/>
        <n v="36.544"/>
        <n v="12.35"/>
        <n v="12.096"/>
        <n v="34.79"/>
        <n v="56.064"/>
        <n v="129.98"/>
        <n v="67.344"/>
        <n v="49.568"/>
        <n v="24.672"/>
        <n v="4.608"/>
        <n v="35.91"/>
        <n v="10.11"/>
        <n v="310.12"/>
        <n v="234.45"/>
        <n v="5.96"/>
        <n v="126.624"/>
        <n v="41.94"/>
        <n v="21.24"/>
        <n v="9.99"/>
        <n v="673.568"/>
        <n v="1322.93"/>
        <n v="2152.776"/>
        <n v="6.56"/>
        <n v="22.98"/>
        <n v="7.64"/>
        <n v="10.95"/>
        <n v="45.0"/>
        <n v="604.656"/>
        <n v="93.024"/>
        <n v="16.23"/>
        <n v="539.964"/>
        <n v="4.992"/>
        <n v="27.888"/>
        <n v="48.4"/>
        <n v="12.39"/>
        <n v="7.712"/>
        <n v="445.802"/>
        <n v="9.94"/>
        <n v="34.2"/>
        <n v="21.56"/>
        <n v="176.772"/>
        <n v="1125.488"/>
        <n v="41.88"/>
        <n v="9.264"/>
        <n v="19.65"/>
        <n v="10.332"/>
        <n v="34.272"/>
        <n v="19.44"/>
        <n v="7.08"/>
        <n v="7.632"/>
        <n v="9.84"/>
        <n v="57.69"/>
        <n v="18.84"/>
        <n v="58.2"/>
        <n v="205.666"/>
        <n v="123.136"/>
        <n v="1679.96"/>
        <n v="76.12"/>
        <n v="95.968"/>
        <n v="14.32"/>
        <n v="122.94"/>
        <n v="15.0"/>
        <n v="2001.86"/>
        <n v="36.4"/>
        <n v="52.064"/>
        <n v="585.552"/>
        <n v="49.98"/>
        <n v="15.36"/>
        <n v="1441.3"/>
        <n v="92.52"/>
        <n v="107.44"/>
        <n v="119.8"/>
        <n v="13.97"/>
        <n v="159.98"/>
        <n v="289.24"/>
        <n v="5.47"/>
        <n v="49.12"/>
        <n v="8.226"/>
        <n v="15.84"/>
        <n v="11.76"/>
        <n v="195.64"/>
        <n v="47.79"/>
        <n v="218.75"/>
        <n v="43.92"/>
        <n v="7.992"/>
        <n v="11.808"/>
        <n v="26.46"/>
        <n v="3.984"/>
        <n v="17.46"/>
        <n v="10.56"/>
        <n v="101.96"/>
        <n v="559.992"/>
        <n v="43.176"/>
        <n v="43.512"/>
        <n v="744.1"/>
        <n v="18.24"/>
        <n v="9.09"/>
        <n v="53.82"/>
        <n v="9.344"/>
        <n v="45.68"/>
        <n v="515.88"/>
        <n v="109.92"/>
        <n v="40.176"/>
        <n v="57.408"/>
        <n v="5.04"/>
        <n v="828.84"/>
        <n v="44.46"/>
        <n v="122.48"/>
        <n v="647.84"/>
        <n v="44.91"/>
        <n v="31.984"/>
        <n v="890.841"/>
        <n v="199.98"/>
        <n v="286.344"/>
        <n v="88.768"/>
        <n v="30.96"/>
        <n v="27.968"/>
        <n v="14.94"/>
        <n v="30.672"/>
        <n v="73.915"/>
        <n v="13.904"/>
        <n v="144.6"/>
        <n v="24.896"/>
        <n v="66.96"/>
        <n v="66.3"/>
        <n v="52.512"/>
        <n v="51.968"/>
        <n v="21.84"/>
        <n v="8.64"/>
        <n v="758.352"/>
        <n v="46.864"/>
        <n v="1113.504"/>
        <n v="14.67"/>
        <n v="14.9"/>
        <n v="40.776"/>
        <n v="18.264"/>
        <n v="5.484"/>
        <n v="9.936"/>
        <n v="7.408"/>
        <n v="8.608"/>
        <n v="79.4"/>
        <n v="7.104"/>
        <n v="6.912"/>
        <n v="34.74"/>
        <n v="122.352"/>
        <n v="719.976"/>
        <n v="212.94"/>
        <n v="575.928"/>
        <n v="468.9"/>
        <n v="447.944"/>
        <n v="41.472"/>
        <n v="69.216"/>
        <n v="62.94"/>
        <n v="4.32"/>
        <n v="33.552"/>
        <n v="67.15"/>
        <n v="15.28"/>
        <n v="1737.18"/>
        <n v="14.576"/>
        <n v="43.31"/>
        <n v="795.408"/>
        <n v="104.85"/>
        <n v="1214.85"/>
        <n v="19.536"/>
        <n v="3.36"/>
        <n v="5.98"/>
        <n v="196.752"/>
        <n v="207.24"/>
        <n v="132.16"/>
        <n v="121.792"/>
        <n v="51.96"/>
        <n v="5.7"/>
        <n v="853.092"/>
        <n v="25.984"/>
        <n v="39.68"/>
        <n v="61.96"/>
        <n v="15.384"/>
        <n v="271.9"/>
        <n v="998.82"/>
        <n v="116.28"/>
        <n v="40.48"/>
        <n v="135.98"/>
        <n v="342.864"/>
        <n v="53.72"/>
        <n v="102.624"/>
        <n v="39.88"/>
        <n v="491.55"/>
        <n v="103.6"/>
        <n v="6.24"/>
        <n v="4548.81"/>
        <n v="340.92"/>
        <n v="5.97"/>
        <n v="5.46"/>
        <n v="604.752"/>
        <n v="821.3"/>
        <n v="49.25"/>
        <n v="6999.96"/>
        <n v="13.0"/>
        <n v="355.455"/>
        <n v="479.9"/>
        <n v="17.904"/>
        <n v="25.3"/>
        <n v="6.48"/>
        <n v="32.34"/>
        <n v="334.768"/>
        <n v="3.488"/>
        <n v="172.764"/>
        <n v="47.992"/>
        <n v="216.4"/>
        <n v="13.62"/>
        <n v="204.6"/>
        <n v="5.92"/>
        <n v="5.94"/>
        <n v="230.28"/>
        <n v="478.48"/>
        <n v="28.8"/>
        <n v="16.224"/>
        <n v="74.352"/>
        <n v="11.12"/>
        <n v="946.764"/>
        <n v="6.642"/>
        <n v="366.786"/>
        <n v="19.36"/>
        <n v="91.68"/>
        <n v="88.776"/>
        <n v="443.92"/>
        <n v="5.104"/>
        <n v="2.89"/>
        <n v="62.808"/>
        <n v="26.7"/>
        <n v="35.34"/>
        <n v="232.55"/>
        <n v="103.936"/>
        <n v="273.96"/>
        <n v="142.776"/>
        <n v="250.26"/>
        <n v="1573.488"/>
        <n v="63.882"/>
        <n v="46.872"/>
        <n v="16.36"/>
        <n v="221.16"/>
        <n v="99.592"/>
        <n v="659.988"/>
        <n v="49.632"/>
        <n v="98.376"/>
        <n v="11.96"/>
        <n v="177.0"/>
        <n v="20.736"/>
        <n v="121.376"/>
        <n v="239.976"/>
        <n v="100.24"/>
        <n v="56.96"/>
        <n v="2.816"/>
        <n v="1212.96"/>
        <n v="310.688"/>
        <n v="1793.98"/>
        <n v="19.752"/>
        <n v="91.92"/>
        <n v="447.86"/>
        <n v="69.52"/>
        <n v="574.91"/>
        <n v="4.368"/>
        <n v="12.624"/>
        <n v="23.92"/>
        <n v="19.92"/>
        <n v="14.45"/>
        <n v="6.72"/>
        <n v="70.95"/>
        <n v="35.168"/>
        <n v="1013.832"/>
        <n v="14.04"/>
        <n v="15.56"/>
        <n v="258.279"/>
        <n v="575.92"/>
        <n v="60.72"/>
        <n v="45.528"/>
        <n v="54.208"/>
        <n v="2.92"/>
        <n v="164.88"/>
        <n v="1075.088"/>
        <n v="2735.952"/>
        <n v="375.34"/>
        <n v="423.28"/>
        <n v="6.58"/>
        <n v="1325.76"/>
        <n v="170.058"/>
        <n v="39.072"/>
        <n v="2.992"/>
        <n v="27.46"/>
        <n v="42.208"/>
        <n v="11.64"/>
        <n v="23.968"/>
        <n v="19.456"/>
        <n v="700.056"/>
        <n v="97.44"/>
        <n v="31.104"/>
        <n v="30.36"/>
        <n v="62.016"/>
        <n v="48.712"/>
        <n v="487.984"/>
        <n v="7.16"/>
        <n v="155.456"/>
        <n v="6.08"/>
        <n v="1325.85"/>
        <n v="89.712"/>
        <n v="471.92"/>
        <n v="34.77"/>
        <n v="19.9"/>
        <n v="479.97"/>
        <n v="143.432"/>
        <n v="31.92"/>
        <n v="225.296"/>
        <n v="16.52"/>
        <n v="169.45"/>
        <n v="503.96"/>
        <n v="559.71"/>
        <n v="108.92"/>
        <n v="601.536"/>
        <n v="4.448"/>
        <n v="58.05"/>
        <n v="151.72"/>
        <n v="83.25"/>
        <n v="111.93"/>
        <n v="142.4"/>
        <n v="683.144"/>
        <n v="447.84"/>
        <n v="15.24"/>
        <n v="149.544"/>
        <n v="105.52"/>
        <n v="158.13"/>
        <n v="4.272"/>
        <n v="12.448"/>
        <n v="5.67"/>
        <n v="5.22"/>
        <n v="174.95"/>
        <n v="190.848"/>
        <n v="18.06"/>
        <n v="177.68"/>
        <n v="45.248"/>
        <n v="464.292"/>
        <n v="392.94"/>
        <n v="4.464"/>
        <n v="512.358"/>
        <n v="335.72"/>
        <n v="63.92"/>
        <n v="12.72"/>
        <n v="5.68"/>
        <n v="32.952"/>
        <n v="646.2"/>
        <n v="3499.93"/>
        <n v="32.97"/>
        <n v="192.186"/>
        <n v="3.392"/>
        <n v="767.214"/>
        <n v="292.1"/>
        <n v="177.2"/>
        <n v="139.44"/>
        <n v="3.16"/>
        <n v="15.936"/>
        <n v="13.494"/>
        <n v="145.98"/>
        <n v="149.232"/>
        <n v="99.136"/>
        <n v="143.952"/>
        <n v="263.96"/>
        <n v="320.88"/>
        <n v="245.98"/>
        <n v="9.912"/>
        <n v="7.872"/>
        <n v="135.882"/>
        <n v="896.99"/>
        <n v="4.984"/>
        <n v="3.648"/>
        <n v="48.36"/>
        <n v="8.85"/>
        <n v="21.36"/>
        <n v="58.32"/>
        <n v="32.76"/>
        <n v="659.97"/>
        <n v="16.14"/>
        <n v="24.816"/>
        <n v="9.42"/>
        <n v="1091.168"/>
        <n v="164.85"/>
        <n v="1.98"/>
        <n v="421.372"/>
        <n v="39.128"/>
        <n v="164.22"/>
        <n v="201.584"/>
        <n v="8.32"/>
        <n v="589.41"/>
        <n v="303.25"/>
        <n v="10.98"/>
        <n v="55.5"/>
        <n v="2573.82"/>
        <n v="111.79"/>
        <n v="199.9"/>
        <n v="7.83"/>
        <n v="178.384"/>
        <n v="13.98"/>
        <n v="887.103"/>
        <n v="6.096"/>
        <n v="44.4"/>
        <n v="137.352"/>
        <n v="60.89"/>
        <n v="191.88"/>
        <n v="764.688"/>
        <n v="56.65"/>
        <n v="11.352"/>
        <n v="2177.584"/>
        <n v="49.65"/>
        <n v="59.52"/>
        <n v="1.365"/>
        <n v="76.14"/>
        <n v="276.28"/>
        <n v="8.448"/>
        <n v="328.59"/>
        <n v="2060.744"/>
        <n v="29.808"/>
        <n v="653.55"/>
        <n v="36.36"/>
        <n v="509.9575"/>
        <n v="31.5"/>
        <n v="60.45"/>
        <n v="11.61"/>
        <n v="17.48"/>
        <n v="109.764"/>
        <n v="7.04"/>
        <n v="3.576"/>
        <n v="255.968"/>
        <n v="5.904"/>
        <n v="47.952"/>
        <n v="370.14"/>
        <n v="20.8"/>
        <n v="47.984"/>
        <n v="77.24"/>
        <n v="32.94"/>
        <n v="64.2"/>
        <n v="1548.99"/>
        <n v="283.92"/>
        <n v="9.762"/>
        <n v="9.26"/>
        <n v="199.74"/>
        <n v="12.0"/>
        <n v="899.136"/>
        <n v="15.984"/>
        <n v="3080.0"/>
        <n v="801.96"/>
        <n v="106.5"/>
        <n v="18.176"/>
        <n v="24.588"/>
        <n v="190.72"/>
        <n v="239.94"/>
        <n v="9.522"/>
        <n v="16.4"/>
        <n v="74.52"/>
        <n v="34.65"/>
        <n v="13.9"/>
        <n v="119.56"/>
        <n v="14.91"/>
        <n v="4.728"/>
        <n v="899.91"/>
        <n v="687.4"/>
        <n v="19.824"/>
        <n v="146.73"/>
        <n v="95.84"/>
        <n v="105.98"/>
        <n v="192.22"/>
        <n v="85.056"/>
        <n v="13.12"/>
        <n v="12.176"/>
        <n v="57.504"/>
        <n v="85.52"/>
        <n v="114.6"/>
        <n v="366.744"/>
        <n v="24.78"/>
        <n v="9.872"/>
        <n v="79.872"/>
        <n v="35.36"/>
        <n v="368.91"/>
        <n v="17.64"/>
        <n v="39.98"/>
        <n v="16.146"/>
        <n v="13.96"/>
        <n v="27.696"/>
        <n v="512.94"/>
        <n v="11.65"/>
        <n v="246.1328"/>
        <n v="61.06"/>
        <n v="79.36"/>
        <n v="10.16"/>
        <n v="27.42"/>
        <n v="53.088"/>
        <n v="12.576"/>
        <n v="241.568"/>
        <n v="1044.63"/>
        <n v="51.84"/>
        <n v="12.536"/>
        <n v="39.92"/>
        <n v="5.344"/>
        <n v="6.848"/>
        <n v="191.96"/>
        <n v="80.96"/>
        <n v="3.408"/>
        <n v="470.36"/>
        <n v="301.96"/>
        <n v="31.504"/>
        <n v="131.98"/>
        <n v="106.68"/>
        <n v="466.158"/>
        <n v="25.488"/>
        <n v="60.736"/>
        <n v="10.92"/>
        <n v="44.43"/>
        <n v="94.74"/>
        <n v="29.34"/>
        <n v="41.96"/>
        <n v="182.72"/>
        <n v="103.92"/>
        <n v="467.04"/>
        <n v="45.36"/>
        <n v="158.99"/>
        <n v="33.4"/>
        <n v="787.53"/>
        <n v="946.344"/>
        <n v="15.02"/>
        <n v="671.93"/>
        <n v="824.97"/>
        <n v="232.4"/>
        <n v="541.24"/>
        <n v="299.94"/>
        <n v="344.372"/>
        <n v="113.1"/>
        <n v="52.59"/>
        <n v="2676.672"/>
        <n v="51.588"/>
        <n v="85.14"/>
        <n v="115.296"/>
        <n v="519.96"/>
        <n v="9.24"/>
        <n v="52.2"/>
        <n v="4.419"/>
        <n v="41.568"/>
        <n v="335.52"/>
        <n v="50.0"/>
        <n v="5.28"/>
        <n v="1552.831"/>
        <n v="71.12"/>
        <n v="11.952"/>
        <n v="1199.96"/>
        <n v="1247.64"/>
        <n v="418.32"/>
        <n v="10.476"/>
        <n v="50.8"/>
        <n v="31.95"/>
        <n v="171.96"/>
        <n v="59.904"/>
        <n v="33.488"/>
        <n v="119.04"/>
        <n v="50.88"/>
        <n v="644.076"/>
        <n v="206.43"/>
        <n v="307.168"/>
        <n v="277.5"/>
        <n v="17.568"/>
        <n v="6.732"/>
        <n v="13.52"/>
        <n v="843.9"/>
        <n v="250.272"/>
        <n v="238.152"/>
        <n v="10.74"/>
        <n v="1348.704"/>
        <n v="7.656"/>
        <n v="38.28"/>
        <n v="8.352"/>
        <n v="29.22"/>
        <n v="141.96"/>
        <n v="83.72"/>
        <n v="31.68"/>
        <n v="84.96"/>
        <n v="107.982"/>
        <n v="46.2"/>
        <n v="311.98"/>
        <n v="21.34"/>
        <n v="199.96"/>
        <n v="56.3"/>
        <n v="38.22"/>
        <n v="25.9"/>
        <n v="143.96"/>
        <n v="20.96"/>
        <n v="63.824"/>
        <n v="4297.644"/>
        <n v="8.856"/>
        <n v="4.928"/>
        <n v="35.208"/>
        <n v="26.424"/>
        <n v="4404.9"/>
        <n v="113.328"/>
        <n v="5.0"/>
        <n v="353.88"/>
        <n v="589.9"/>
        <n v="194.32"/>
        <n v="12.224"/>
        <n v="14.73"/>
        <n v="25.99"/>
        <n v="359.058"/>
        <n v="387.136"/>
        <n v="129.93"/>
        <n v="271.44"/>
        <n v="6.63"/>
        <n v="28.752"/>
        <n v="51.45"/>
        <n v="29.04"/>
        <n v="198.272"/>
        <n v="106.32"/>
        <n v="16.9"/>
        <n v="275.058"/>
        <n v="30.08"/>
        <n v="46.152"/>
        <n v="54.384"/>
        <n v="1252.704"/>
        <n v="55.424"/>
        <n v="23.904"/>
        <n v="106.232"/>
        <n v="121.104"/>
        <n v="912.75"/>
        <n v="32.784"/>
        <n v="51.072"/>
        <n v="5.64"/>
        <n v="17.43"/>
        <n v="962.08"/>
        <n v="2567.84"/>
        <n v="186.732"/>
        <n v="68.94"/>
        <n v="6.336"/>
        <n v="152.688"/>
        <n v="293.52"/>
        <n v="6.608"/>
        <n v="6.264"/>
        <n v="892.35"/>
        <n v="73.28"/>
        <n v="26.96"/>
        <n v="23.52"/>
        <n v="19.56"/>
        <n v="137.62"/>
        <n v="64.75"/>
        <n v="1123.92"/>
        <n v="36.84"/>
        <n v="715.64"/>
        <n v="227.36"/>
        <n v="12.56"/>
        <n v="17.52"/>
        <n v="152.991"/>
        <n v="70.12"/>
        <n v="191.5155"/>
        <n v="64.17"/>
        <n v="128.85"/>
        <n v="47.516"/>
        <n v="482.34"/>
        <n v="201.568"/>
        <n v="3.328"/>
        <n v="77.952"/>
        <n v="2625.12"/>
        <n v="883.84"/>
        <n v="113.52"/>
        <n v="107.976"/>
        <n v="48.632"/>
        <n v="299.9"/>
        <n v="26.982"/>
        <n v="10.512"/>
        <n v="72.744"/>
        <n v="619.95"/>
        <n v="15.48"/>
        <n v="22.74"/>
        <n v="389.97"/>
        <n v="42.048"/>
        <n v="132.79"/>
        <n v="86.272"/>
        <n v="2309.65"/>
        <n v="58.38"/>
        <n v="212.64"/>
        <n v="796.425"/>
        <n v="15.008"/>
        <n v="99.372"/>
        <n v="107.97"/>
        <n v="41.9"/>
        <n v="447.93"/>
        <n v="67.36"/>
        <n v="7.38"/>
        <n v="3.44"/>
        <n v="31.05"/>
        <n v="154.9"/>
        <n v="120.666"/>
        <n v="24.64"/>
        <n v="484.65"/>
        <n v="2.48"/>
        <n v="383.607"/>
        <n v="76.64"/>
        <n v="415.968"/>
        <n v="327.564"/>
        <n v="2.808"/>
        <n v="60.984"/>
        <n v="90.882"/>
        <n v="36.624"/>
        <n v="434.352"/>
        <n v="17.22"/>
        <n v="79.99"/>
        <n v="85.3"/>
        <n v="2.512"/>
        <n v="266.352"/>
        <n v="249.584"/>
        <n v="10.02"/>
        <n v="269.49"/>
        <n v="8.688"/>
        <n v="70.98"/>
        <n v="4.96"/>
        <n v="10.944"/>
        <n v="20.104"/>
        <n v="8.22"/>
        <n v="30.84"/>
        <n v="21.48"/>
        <n v="70.97"/>
        <n v="39.66"/>
        <n v="21.12"/>
        <n v="339.96"/>
        <n v="166.92"/>
        <n v="221.96"/>
        <n v="186.15"/>
        <n v="22.288"/>
        <n v="3.75"/>
        <n v="323.1"/>
        <n v="613.9992"/>
        <n v="31.44"/>
        <n v="31.56"/>
        <n v="221.024"/>
        <n v="586.398"/>
        <n v="11.736"/>
        <n v="19.0"/>
        <n v="3.96"/>
        <n v="411.332"/>
        <n v="8.652"/>
        <n v="582.336"/>
        <n v="6.36"/>
        <n v="36.63"/>
        <n v="141.76"/>
        <n v="1038.84"/>
        <n v="4.95"/>
        <n v="98.352"/>
        <n v="307.98"/>
        <n v="72.78"/>
        <n v="207.0"/>
        <n v="14.28"/>
        <n v="166.24"/>
        <n v="170.136"/>
        <n v="47.82"/>
        <n v="29.9"/>
        <n v="21.968"/>
        <n v="485.94"/>
        <n v="50.112"/>
        <n v="453.576"/>
        <n v="8.568"/>
        <n v="26.88"/>
        <n v="182.91"/>
        <n v="362.136"/>
        <n v="210.68"/>
        <n v="148.32"/>
        <n v="61.792"/>
        <n v="2.78"/>
        <n v="15.8"/>
        <n v="12.144"/>
        <n v="51.52"/>
        <n v="22.368"/>
        <n v="83.7"/>
        <n v="60.84"/>
        <n v="64.68"/>
        <n v="66.294"/>
        <n v="3.552"/>
        <n v="22.92"/>
        <n v="55.328"/>
        <n v="22.2"/>
        <n v="10.744"/>
        <n v="3.444"/>
        <n v="166.5"/>
        <n v="110.528"/>
        <n v="204.85"/>
        <n v="142.04"/>
        <n v="1801.632"/>
        <n v="135.72"/>
        <n v="105.42"/>
        <n v="64.944"/>
        <n v="152.94"/>
        <n v="24.4"/>
        <n v="152.8"/>
        <n v="45.99"/>
        <n v="1022.97"/>
        <n v="35.52"/>
        <n v="79.92"/>
        <n v="269.982"/>
        <n v="279.86"/>
        <n v="67.96"/>
        <n v="68.52"/>
        <n v="360.712"/>
        <n v="179.82"/>
        <n v="191.968"/>
        <n v="175.23"/>
        <n v="322.59"/>
        <n v="10.272"/>
        <n v="9.156"/>
        <n v="89.696"/>
        <n v="199.836"/>
        <n v="7.824"/>
        <n v="167.86"/>
        <n v="43.98"/>
        <n v="850.5"/>
        <n v="2.934"/>
        <n v="100.8"/>
        <n v="79.96"/>
        <n v="2003.92"/>
        <n v="3.28"/>
        <n v="63.936"/>
        <n v="244.006"/>
        <n v="70.008"/>
        <n v="8.4"/>
        <n v="37.94"/>
        <n v="37.6"/>
        <n v="23.66"/>
        <n v="4.752"/>
        <n v="569.64"/>
        <n v="33.36"/>
        <n v="106.8"/>
        <n v="13.092"/>
        <n v="538.92"/>
        <n v="195.466"/>
        <n v="197.72"/>
        <n v="8.72"/>
        <n v="845.728"/>
        <n v="206.962"/>
        <n v="217.584"/>
        <n v="623.96"/>
        <n v="179.886"/>
        <n v="284.364"/>
        <n v="263.88"/>
        <n v="128.744"/>
        <n v="116.4"/>
        <n v="463.248"/>
        <n v="257.64"/>
        <n v="11.212"/>
        <n v="1212.848"/>
        <n v="559.93"/>
        <n v="74.24"/>
        <n v="28.4"/>
        <n v="991.2"/>
        <n v="355.36"/>
        <n v="631.96"/>
        <n v="87.168"/>
        <n v="398.4"/>
        <n v="102.438"/>
        <n v="6.048"/>
        <n v="1369.764"/>
        <n v="55.264"/>
        <n v="205.164"/>
        <n v="11.696"/>
        <n v="29.372"/>
        <n v="19.152"/>
        <n v="369.912"/>
        <n v="717.12"/>
        <n v="289.8"/>
        <n v="85.96"/>
        <n v="29.97"/>
        <n v="117.456"/>
        <n v="104.23"/>
        <n v="590.352"/>
        <n v="947.17"/>
        <n v="3.592"/>
        <n v="127.764"/>
        <n v="279.9"/>
        <n v="45.04"/>
        <n v="435.26"/>
        <n v="17.9"/>
        <n v="21.936"/>
        <n v="517.5"/>
        <n v="105.686"/>
        <n v="46.32"/>
        <n v="272.736"/>
        <n v="120.15"/>
        <n v="14.496"/>
        <n v="13.944"/>
        <n v="43.056"/>
        <n v="414.96"/>
        <n v="46.688"/>
        <n v="4.304"/>
        <n v="26.8"/>
        <n v="544.008"/>
        <n v="9.216"/>
        <n v="5.792"/>
        <n v="25.344"/>
        <n v="19.46"/>
        <n v="43.13"/>
        <n v="206.112"/>
        <n v="7.86"/>
        <n v="83.97"/>
        <n v="2.74"/>
        <n v="21.488"/>
        <n v="40.74"/>
        <n v="46.9"/>
        <n v="62.8"/>
        <n v="1035.8"/>
        <n v="5.984"/>
        <n v="88.752"/>
        <n v="53.04"/>
        <n v="222.384"/>
        <n v="190.86"/>
        <n v="203.92"/>
        <n v="119.85"/>
        <n v="125.93"/>
        <n v="24.192"/>
        <n v="244.55"/>
        <n v="999.432"/>
        <n v="1439.968"/>
        <n v="8.096"/>
        <n v="1.112"/>
        <n v="150.98"/>
        <n v="13.632"/>
        <n v="66.36"/>
        <n v="311.15"/>
        <n v="577.584"/>
        <n v="1406.86"/>
        <n v="35.12"/>
        <n v="2025.36"/>
        <n v="10.752"/>
        <n v="9.144"/>
        <n v="106.96"/>
        <n v="26.18"/>
        <n v="32.75"/>
        <n v="99.6"/>
        <n v="20.24"/>
        <n v="307.136"/>
        <n v="74.76"/>
        <n v="32.985"/>
        <n v="287.97"/>
        <n v="3.366"/>
        <n v="39.0"/>
        <n v="16.24"/>
        <n v="29.6"/>
        <n v="454.272"/>
        <n v="12.88"/>
        <n v="160.72"/>
        <n v="200.984"/>
        <n v="274.8"/>
        <n v="8.26"/>
        <n v="63.77"/>
        <n v="10.9"/>
        <n v="246.168"/>
        <n v="1.72"/>
        <n v="18.54"/>
        <n v="196.62"/>
        <n v="146.544"/>
        <n v="5.56"/>
        <n v="8.82"/>
        <n v="271.764"/>
        <n v="696.42"/>
        <n v="45.584"/>
        <n v="88.96"/>
        <n v="288.0"/>
        <n v="43.56"/>
        <n v="102.582"/>
        <n v="22.848"/>
        <n v="77.88"/>
        <n v="286.79"/>
        <n v="6.68"/>
        <n v="55.936"/>
        <n v="17.496"/>
        <n v="15.7"/>
        <n v="58.72"/>
        <n v="3.168"/>
        <n v="1217.568"/>
        <n v="163.136"/>
        <n v="1166.92"/>
        <n v="17.12"/>
        <n v="5.16"/>
        <n v="37.68"/>
        <n v="173.94"/>
        <n v="265.86"/>
        <n v="57.75"/>
        <n v="85.9"/>
        <n v="51.98"/>
        <n v="600.53"/>
        <n v="98.46"/>
        <n v="134.97"/>
        <n v="348.928"/>
        <n v="33.96"/>
        <n v="7.92"/>
        <n v="12.828"/>
        <n v="119.9"/>
        <n v="3.15"/>
        <n v="186.69"/>
        <n v="1099.96"/>
        <n v="61.584"/>
        <n v="79.9"/>
        <n v="55.944"/>
        <n v="16.776"/>
        <n v="209.93"/>
        <n v="2.21"/>
        <n v="1598.058"/>
        <n v="48.81"/>
        <n v="159.984"/>
        <n v="61.4"/>
        <n v="999.98"/>
        <n v="105.584"/>
        <n v="7.56"/>
        <n v="177.48"/>
        <n v="63.96"/>
        <n v="14.76"/>
        <n v="1268.82"/>
        <n v="10.76"/>
        <n v="572.8"/>
        <n v="6.129"/>
        <n v="465.18"/>
        <n v="184.66"/>
        <n v="35.88"/>
        <n v="8.28"/>
        <n v="34.02"/>
        <n v="675.96"/>
        <n v="151.96"/>
        <n v="33.568"/>
        <n v="408.422"/>
        <n v="18.312"/>
        <n v="7.968"/>
        <n v="494.376"/>
        <n v="555.96"/>
        <n v="18.392"/>
        <n v="136.92"/>
        <n v="36.27"/>
        <n v="17.088"/>
        <n v="319.984"/>
        <n v="1690.04"/>
        <n v="19.936"/>
        <n v="119.98"/>
        <n v="714.3"/>
        <n v="87.36"/>
        <n v="599.99"/>
        <n v="12.84"/>
        <n v="49.848"/>
        <n v="68.62"/>
        <n v="209.67"/>
        <n v="134.376"/>
        <n v="1640.7"/>
        <n v="2621.322"/>
        <n v="34.76"/>
        <n v="7.24"/>
        <n v="2.946"/>
        <n v="27.216"/>
        <n v="13.848"/>
        <n v="77.55"/>
        <n v="45.216"/>
        <n v="892.224"/>
        <n v="170.352"/>
        <n v="68.16"/>
        <n v="28.44"/>
        <n v="479.988"/>
        <n v="3.008"/>
        <n v="35.96"/>
        <n v="63.552"/>
        <n v="1448.82"/>
        <n v="26.4"/>
        <n v="173.488"/>
        <n v="10.67"/>
        <n v="4.98"/>
        <n v="14.592"/>
        <n v="16.27"/>
        <n v="1.872"/>
        <n v="2541.98"/>
        <n v="715.2"/>
        <n v="2.2"/>
        <n v="40.92"/>
        <n v="23.64"/>
        <n v="494.97"/>
        <n v="228.92"/>
        <n v="29.79"/>
        <n v="3.304"/>
        <n v="7.23"/>
        <n v="2.376"/>
        <n v="70.26"/>
        <n v="3393.68"/>
        <n v="34.8"/>
        <n v="239.7"/>
        <n v="52.272"/>
        <n v="45.28"/>
        <n v="523.25"/>
        <n v="225.576"/>
        <n v="2803.92"/>
        <n v="181.35"/>
        <n v="28.9"/>
        <n v="47.976"/>
        <n v="10.86"/>
        <n v="542.94"/>
        <n v="117.882"/>
        <n v="29.304"/>
        <n v="139.424"/>
        <n v="14.832"/>
        <n v="971.88"/>
        <n v="31.08"/>
        <n v="1522.638"/>
        <n v="692.472"/>
        <n v="98.112"/>
        <n v="15.51"/>
        <n v="6.208"/>
        <n v="40.032"/>
        <n v="31.12"/>
        <n v="11.68"/>
        <n v="65.584"/>
        <n v="96.96"/>
        <n v="145.9"/>
        <n v="7.78"/>
        <n v="181.986"/>
        <n v="61.44"/>
        <n v="12.832"/>
        <n v="43.26"/>
        <n v="26.976"/>
        <n v="7.152"/>
        <n v="5.584"/>
        <n v="7.5"/>
        <n v="46.62"/>
        <n v="422.856"/>
        <n v="9.82"/>
        <n v="9.952"/>
        <n v="29.99"/>
        <n v="2321.9"/>
        <n v="22.38"/>
        <n v="52.448"/>
        <n v="67.8"/>
        <n v="94.428"/>
        <n v="7.98"/>
        <n v="29.932"/>
        <n v="8.134"/>
        <n v="101.994"/>
        <n v="10.5"/>
        <n v="3.282"/>
        <n v="3059.982"/>
        <n v="16.272"/>
        <n v="57.42"/>
        <n v="51.016"/>
        <n v="14.352"/>
        <n v="129.568"/>
        <n v="8.69"/>
        <n v="25.06"/>
        <n v="9.98"/>
        <n v="53.424"/>
        <n v="33.792"/>
        <n v="471.9"/>
        <n v="338.352"/>
        <n v="129.3"/>
        <n v="33.28"/>
        <n v="149.9"/>
        <n v="251.964"/>
        <n v="1299.99"/>
        <n v="51.184"/>
        <n v="104.01"/>
        <n v="57.23"/>
        <n v="330.588"/>
        <n v="58.36"/>
        <n v="79.47"/>
        <n v="10.304"/>
        <n v="1215.92"/>
        <n v="357.93"/>
        <n v="8.16"/>
        <n v="64.02"/>
        <n v="7.68"/>
        <n v="73.584"/>
        <n v="9.584"/>
        <n v="183.372"/>
        <n v="210.392"/>
        <n v="22.5"/>
        <n v="89.97"/>
        <n v="1139.92"/>
        <n v="333.576"/>
        <n v="281.904"/>
        <n v="15.12"/>
        <n v="16.28"/>
        <n v="20.016"/>
        <n v="75.6"/>
        <n v="111.0"/>
        <n v="60.672"/>
        <n v="107.648"/>
        <n v="4.71"/>
        <n v="603.92"/>
        <n v="255.85"/>
        <n v="2.94"/>
        <n v="617.7"/>
        <n v="435.999"/>
        <n v="12.462"/>
        <n v="17.96"/>
        <n v="246.384"/>
        <n v="533.94"/>
        <n v="32.896"/>
        <n v="6.12"/>
        <n v="173.656"/>
        <n v="172.186"/>
        <n v="9.64"/>
        <n v="37.296"/>
        <n v="636.408"/>
        <n v="14.016"/>
        <n v="10.984"/>
        <n v="99.918"/>
        <n v="63.2"/>
        <n v="46.35"/>
        <n v="344.91"/>
        <n v="155.372"/>
        <n v="539.92"/>
        <n v="19.3"/>
        <n v="699.93"/>
        <n v="81.98"/>
        <n v="78.35"/>
        <n v="67.194"/>
        <n v="12.18"/>
        <n v="1579.746"/>
        <n v="47.496"/>
        <n v="281.372"/>
        <n v="65.78"/>
        <n v="359.98"/>
        <n v="55.92"/>
        <n v="4.812"/>
        <n v="5.18"/>
        <n v="322.192"/>
        <n v="145.568"/>
        <n v="600.558"/>
        <n v="0.876"/>
        <n v="22.24"/>
        <n v="5.78"/>
        <n v="62.82"/>
        <n v="59.2"/>
        <n v="61.568"/>
        <n v="123.552"/>
        <n v="18.648"/>
        <n v="638.82"/>
        <n v="138.56"/>
        <n v="26.72"/>
        <n v="7.644"/>
        <n v="49.408"/>
        <n v="5.892"/>
        <n v="182.352"/>
        <n v="2.672"/>
        <n v="50.997"/>
        <n v="220.776"/>
        <n v="11.088"/>
        <n v="674.058"/>
        <n v="56.4"/>
        <n v="49.792"/>
        <n v="152.91"/>
        <n v="76.776"/>
        <n v="26.632"/>
        <n v="11.43"/>
        <n v="25.16"/>
        <n v="351.216"/>
        <n v="742.336"/>
        <n v="142.86"/>
        <n v="1.632"/>
        <n v="64.96"/>
        <n v="551.985"/>
        <n v="269.98"/>
        <n v="2799.96"/>
        <n v="15.08"/>
        <n v="254.744"/>
        <n v="396.802"/>
        <n v="590.058"/>
        <n v="120.33"/>
        <n v="5.176"/>
        <n v="6.688"/>
        <n v="11.672"/>
        <n v="192.72"/>
        <n v="957.5775"/>
        <n v="8.39"/>
        <n v="7.88"/>
        <n v="158.376"/>
        <n v="19.194"/>
        <n v="6.992"/>
        <n v="18.272"/>
        <n v="115.44"/>
        <n v="31.4"/>
        <n v="55.6"/>
        <n v="1085.42"/>
        <n v="77.58"/>
        <n v="89.82"/>
        <n v="68.81"/>
        <n v="270.34"/>
        <n v="646.776"/>
        <n v="32.192"/>
        <n v="131.376"/>
        <n v="53.7"/>
        <n v="107.772"/>
        <n v="1618.37"/>
        <n v="17.14"/>
        <n v="519.792"/>
        <n v="2.304"/>
        <n v="9.68"/>
        <n v="131.88"/>
        <n v="180.016"/>
        <n v="9.54"/>
        <n v="59.994"/>
        <n v="97.424"/>
        <n v="299.98"/>
        <n v="831.936"/>
        <n v="21.93"/>
        <n v="7.218"/>
        <n v="125.944"/>
        <n v="157.794"/>
        <n v="275.88"/>
        <n v="639.968"/>
        <n v="94.85"/>
        <n v="29.52"/>
        <n v="36.336"/>
        <n v="25.032"/>
        <n v="344.22"/>
        <n v="915.136"/>
        <n v="40.784"/>
        <n v="393.165"/>
        <n v="38.88"/>
        <n v="3.882"/>
        <n v="24.96"/>
        <n v="30.44"/>
        <n v="87.8"/>
        <n v="11.032"/>
        <n v="26.9"/>
        <n v="359.499"/>
        <n v="161.568"/>
        <n v="14.952"/>
        <n v="547.136"/>
        <n v="61.68"/>
        <n v="231.92"/>
        <n v="2.772"/>
        <n v="25.176"/>
        <n v="3083.43"/>
        <n v="85.98"/>
        <n v="479.952"/>
        <n v="168.464"/>
        <n v="748.752"/>
        <n v="19.568"/>
        <n v="438.368"/>
        <n v="238.896"/>
        <n v="32.07"/>
        <n v="1018.104"/>
        <n v="32.04"/>
        <n v="325.632"/>
        <n v="71.976"/>
        <n v="12.132"/>
        <n v="2.025"/>
        <n v="79.44"/>
        <n v="2.412"/>
        <n v="2.08"/>
        <n v="41.424"/>
        <n v="5.728"/>
        <n v="12.672"/>
        <n v="3050.376"/>
        <n v="213.115"/>
        <n v="44.688"/>
        <n v="821.94"/>
        <n v="9.728"/>
        <n v="155.88"/>
        <n v="27.168"/>
        <n v="602.651"/>
        <n v="4.896"/>
        <n v="80.88"/>
        <n v="609.98"/>
        <n v="1.78"/>
        <n v="20.768"/>
        <n v="375.4575"/>
      </sharedItems>
    </cacheField>
    <cacheField name="Quantity" numFmtId="0">
      <sharedItems containsSemiMixedTypes="0" containsString="0" containsNumber="1" containsInteger="1">
        <n v="3.0"/>
        <n v="6.0"/>
        <n v="1.0"/>
        <n v="2.0"/>
        <n v="4.0"/>
        <n v="5.0"/>
        <n v="13.0"/>
        <n v="7.0"/>
        <n v="9.0"/>
        <n v="8.0"/>
        <n v="10.0"/>
        <n v="11.0"/>
        <n v="14.0"/>
        <n v="12.0"/>
      </sharedItems>
    </cacheField>
    <cacheField name="Profit" numFmtId="0">
      <sharedItems containsSemiMixedTypes="0" containsString="0" containsNumber="1">
        <n v="109.6113"/>
        <n v="-87.9354"/>
        <n v="31.8696"/>
        <n v="1.3257"/>
        <n v="0.8288"/>
        <n v="6.7252"/>
        <n v="1.008"/>
        <n v="7.9984"/>
        <n v="45.576"/>
        <n v="9.0"/>
        <n v="20.097"/>
        <n v="22.6782"/>
        <n v="2.6536"/>
        <n v="9.735"/>
        <n v="79.8912"/>
        <n v="-6.3441"/>
        <n v="-1.2588"/>
        <n v="6.4128"/>
        <n v="100.1403"/>
        <n v="70.0336"/>
        <n v="1.1022"/>
        <n v="27.5632"/>
        <n v="30.0957"/>
        <n v="43.736"/>
        <n v="-9.153"/>
        <n v="-1.3083"/>
        <n v="17.22"/>
        <n v="2.245"/>
        <n v="24.47"/>
        <n v="13.7428"/>
        <n v="9.9873"/>
        <n v="-18.1068"/>
        <n v="44.4"/>
        <n v="19.2384"/>
        <n v="15.6332"/>
        <n v="1.41"/>
        <n v="5.4432"/>
        <n v="7.5768"/>
        <n v="-1.5936"/>
        <n v="1.7343"/>
        <n v="-82.884"/>
        <n v="21.4776"/>
        <n v="19.1808"/>
        <n v="5.368"/>
        <n v="4.0584"/>
        <n v="65.978"/>
        <n v="-168.9558"/>
        <n v="6.2208"/>
        <n v="8.9544"/>
        <n v="71.9952"/>
        <n v="3.405"/>
        <n v="29.2716"/>
        <n v="75.5958"/>
        <n v="-46.8776"/>
        <n v="2.3409"/>
        <n v="5.5512"/>
        <n v="0.833"/>
        <n v="7.264"/>
        <n v="1.2112"/>
        <n v="28.3479"/>
        <n v="2.6376"/>
        <n v="51.4764"/>
        <n v="0.0"/>
        <n v="31.0059"/>
        <n v="19.4376"/>
        <n v="9.499"/>
        <n v="4.7067"/>
        <n v="6.0416"/>
        <n v="10.5072"/>
        <n v="6.0368"/>
        <n v="9.891"/>
        <n v="16.9932"/>
        <n v="14.7582"/>
        <n v="9.072"/>
        <n v="0.1472"/>
        <n v="7.9248"/>
        <n v="-11.0848"/>
        <n v="-53.7096"/>
        <n v="-23.4882"/>
        <n v="26.388"/>
        <n v="13.3176"/>
        <n v="-209.994"/>
        <n v="5.2398"/>
        <n v="-209.7693"/>
        <n v="0.1191"/>
        <n v="111.3024"/>
        <n v="5.2164"/>
        <n v="19.824"/>
        <n v="2.6936"/>
        <n v="327.9458"/>
        <n v="6.8768"/>
        <n v="23.316"/>
        <n v="95.1888"/>
        <n v="67.86"/>
        <n v="12.4902"/>
        <n v="29.0136"/>
        <n v="-4.5696"/>
        <n v="16.0356"/>
        <n v="5.3392"/>
        <n v="7.6284"/>
        <n v="19.9746"/>
        <n v="6.066"/>
        <n v="49.6048"/>
        <n v="74.8142"/>
        <n v="70.198"/>
        <n v="2.646"/>
        <n v="6.3744"/>
        <n v="25.68"/>
        <n v="-14.7708"/>
        <n v="3.4104"/>
        <n v="12.7008"/>
        <n v="-734.5264"/>
        <n v="3.6288"/>
        <n v="51.36"/>
        <n v="4.1988"/>
        <n v="29.692"/>
        <n v="7.9488"/>
        <n v="8.8176"/>
        <n v="10.368"/>
        <n v="87.3504"/>
        <n v="98.105"/>
        <n v="22.4316"/>
        <n v="54.0876"/>
        <n v="8.3104"/>
        <n v="10.0744"/>
        <n v="50.396"/>
        <n v="4.485"/>
        <n v="7.3872"/>
        <n v="3.7408"/>
        <n v="-14.3856"/>
        <n v="36.7173"/>
        <n v="12.9096"/>
        <n v="37.797"/>
        <n v="44.955"/>
        <n v="-9.1335"/>
        <n v="8.88"/>
        <n v="11.0388"/>
        <n v="4.1028"/>
        <n v="9.6048"/>
        <n v="24.3824"/>
        <n v="-13.637"/>
        <n v="12.4416"/>
        <n v="8.217"/>
        <n v="97.1892"/>
        <n v="20.9208"/>
        <n v="27.248"/>
        <n v="11.5752"/>
        <n v="1.07"/>
        <n v="259.8896"/>
        <n v="-4.5936"/>
        <n v="78.8592"/>
        <n v="52.532"/>
        <n v="4.872"/>
        <n v="22.9877"/>
        <n v="70.49"/>
        <n v="2.838"/>
        <n v="5.346"/>
        <n v="3.14"/>
        <n v="52.7824"/>
        <n v="5.58"/>
        <n v="4.2717"/>
        <n v="-0.5964"/>
        <n v="-0.8558"/>
        <n v="21.7515"/>
        <n v="85.9818"/>
        <n v="3.792"/>
        <n v="3.4684"/>
        <n v="95.9904"/>
        <n v="4.6488"/>
        <n v="4.5144"/>
        <n v="8.983"/>
        <n v="22.1184"/>
        <n v="41.5104"/>
        <n v="20.9592"/>
        <n v="-9.7176"/>
        <n v="-172.1172"/>
        <n v="26.6304"/>
        <n v="19.458"/>
        <n v="6.924"/>
        <n v="1.4112"/>
        <n v="-216.9783"/>
        <n v="16.3172"/>
        <n v="-34.196"/>
        <n v="3.4357"/>
        <n v="145.0696"/>
        <n v="16.8544"/>
        <n v="52.4895"/>
        <n v="11.1672"/>
        <n v="-19.5492"/>
        <n v="4.7916"/>
        <n v="38.1576"/>
        <n v="38.456"/>
        <n v="1.9602"/>
        <n v="145.2816"/>
        <n v="1.2528"/>
        <n v="3.4196"/>
        <n v="14.5348"/>
        <n v="-23.892"/>
        <n v="22.6476"/>
        <n v="28.5984"/>
        <n v="14.1694"/>
        <n v="5.2182"/>
        <n v="0.4264"/>
        <n v="1.3068"/>
        <n v="18.3276"/>
        <n v="17.745"/>
        <n v="420.588"/>
        <n v="0.4752"/>
        <n v="13.9728"/>
        <n v="239.996"/>
        <n v="1.9712"/>
        <n v="6.206"/>
        <n v="19.041"/>
        <n v="15.552"/>
        <n v="25.792"/>
        <n v="2.3328"/>
        <n v="6.5856"/>
        <n v="5.9211"/>
        <n v="21.112"/>
        <n v="3.2256"/>
        <n v="-5.037"/>
        <n v="1276.4871"/>
        <n v="21.06"/>
        <n v="111.774"/>
        <n v="13.0928"/>
        <n v="-4.8048"/>
        <n v="5.1948"/>
        <n v="36.5742"/>
        <n v="9.8418"/>
        <n v="9.387"/>
        <n v="1.316"/>
        <n v="-17.9928"/>
        <n v="55.896"/>
        <n v="5.6784"/>
        <n v="792.2691"/>
        <n v="-7.476"/>
        <n v="2.8224"/>
        <n v="55.764"/>
        <n v="62.1376"/>
        <n v="5.4332"/>
        <n v="68.8464"/>
        <n v="-70.49"/>
        <n v="6.63"/>
        <n v="673.8816"/>
        <n v="-2.5472"/>
        <n v="239.976"/>
        <n v="74.8524"/>
        <n v="0.8688"/>
        <n v="85.904"/>
        <n v="-49.5516"/>
        <n v="37.6422"/>
        <n v="20.9664"/>
        <n v="1.521"/>
        <n v="2.7222"/>
        <n v="219.5088"/>
        <n v="-199.77"/>
        <n v="52.776"/>
        <n v="1.742"/>
        <n v="86.3892"/>
        <n v="-94.6605"/>
        <n v="121.4416"/>
        <n v="48.906"/>
        <n v="1.116"/>
        <n v="-1.728"/>
        <n v="20.1248"/>
        <n v="-6.9102"/>
        <n v="6.4944"/>
        <n v="134.3888"/>
        <n v="-14.5764"/>
        <n v="1.4784"/>
        <n v="1.64"/>
        <n v="4.195"/>
        <n v="43.1976"/>
        <n v="1.0269"/>
        <n v="22.984"/>
        <n v="-25.9136"/>
        <n v="2.8101"/>
        <n v="46.179"/>
        <n v="8.4784"/>
        <n v="-12.224"/>
        <n v="6.4864"/>
        <n v="-44.2782"/>
        <n v="12.2325"/>
        <n v="11.214"/>
        <n v="2.7776"/>
        <n v="7.6965"/>
        <n v="70.196"/>
        <n v="-17.248"/>
        <n v="-28.356"/>
        <n v="11.0544"/>
        <n v="274.995"/>
        <n v="17.1678"/>
        <n v="89.997"/>
        <n v="168.1855"/>
        <n v="55.016"/>
        <n v="38.08"/>
        <n v="41.934"/>
        <n v="78.3888"/>
        <n v="12.9978"/>
        <n v="362.8404"/>
        <n v="31.2832"/>
        <n v="17.466"/>
        <n v="7.056"/>
        <n v="7.5284"/>
        <n v="117.6147"/>
        <n v="233.2204"/>
        <n v="18.7812"/>
        <n v="4.8804"/>
        <n v="7.6048"/>
        <n v="5.5328"/>
        <n v="66.6344"/>
        <n v="157.4875"/>
        <n v="1.0797"/>
        <n v="4.1125"/>
        <n v="-39.804"/>
        <n v="-2.0016"/>
        <n v="1.8144"/>
        <n v="305.13"/>
        <n v="3.852"/>
        <n v="15.6426"/>
        <n v="2.9568"/>
        <n v="113.998"/>
        <n v="-50.6688"/>
        <n v="5.1012"/>
        <n v="11.8768"/>
        <n v="5.434"/>
        <n v="4.2336"/>
        <n v="10.7849"/>
        <n v="21.024"/>
        <n v="62.3904"/>
        <n v="7.5762"/>
        <n v="17.9684"/>
        <n v="1.6704"/>
        <n v="9.6957"/>
        <n v="3.2352"/>
        <n v="80.6312"/>
        <n v="103.158"/>
        <n v="1.6688"/>
        <n v="41.1528"/>
        <n v="15.0984"/>
        <n v="8.0712"/>
        <n v="4.5954"/>
        <n v="252.588"/>
        <n v="1.9845"/>
        <n v="357.1911"/>
        <n v="726.5619"/>
        <n v="1.9024"/>
        <n v="6.894"/>
        <n v="3.7436"/>
        <n v="3.285"/>
        <n v="21.6"/>
        <n v="163.787"/>
        <n v="204.0714"/>
        <n v="33.7212"/>
        <n v="7.9527"/>
        <n v="-107.9928"/>
        <n v="-12.9792"/>
        <n v="9.0636"/>
        <n v="23.232"/>
        <n v="5.8233"/>
        <n v="2.7956"/>
        <n v="-108.2662"/>
        <n v="3.0814"/>
        <n v="9.234"/>
        <n v="10.3488"/>
        <n v="-459.6072"/>
        <n v="98.4802"/>
        <n v="12.1452"/>
        <n v="-13.896"/>
        <n v="9.039"/>
        <n v="-5.9409"/>
        <n v="11.1384"/>
        <n v="9.3312"/>
        <n v="2.478"/>
        <n v="-1.8126"/>
        <n v="2.8536"/>
        <n v="23.6529"/>
        <n v="-3.5325"/>
        <n v="28.518"/>
        <n v="-12.098"/>
        <n v="13.8528"/>
        <n v="125.997"/>
        <n v="22.0748"/>
        <n v="9.5968"/>
        <n v="5.191"/>
        <n v="30.735"/>
        <n v="7.2"/>
        <n v="580.5394"/>
        <n v="0.4592"/>
        <n v="17.472"/>
        <n v="18.8732"/>
        <n v="73.194"/>
        <n v="8.4966"/>
        <n v="7.68"/>
        <n v="245.021"/>
        <n v="24.9804"/>
        <n v="10.744"/>
        <n v="29.95"/>
        <n v="3.6322"/>
        <n v="57.5928"/>
        <n v="26.0316"/>
        <n v="2.3521"/>
        <n v="4.9432"/>
        <n v="23.0864"/>
        <n v="-6.0324"/>
        <n v="3.1752"/>
        <n v="91.9508"/>
        <n v="16.2486"/>
        <n v="-161.875"/>
        <n v="11.8584"/>
        <n v="0.5994"/>
        <n v="-8.6592"/>
        <n v="11.907"/>
        <n v="1.4442"/>
        <n v="5.9364"/>
        <n v="4.752"/>
        <n v="27.5292"/>
        <n v="174.9975"/>
        <n v="4.3176"/>
        <n v="3.8073"/>
        <n v="-95.67"/>
        <n v="-14.592"/>
        <n v="1.9089"/>
        <n v="24.219"/>
        <n v="1.168"/>
        <n v="21.0128"/>
        <n v="113.4936"/>
        <n v="53.8608"/>
        <n v="14.5638"/>
        <n v="5.7408"/>
        <n v="1.764"/>
        <n v="14.6718"/>
        <n v="32.392"/>
        <n v="-35.928"/>
        <n v="1.999"/>
        <n v="71.9928"/>
        <n v="-152.7156"/>
        <n v="13.4925"/>
        <n v="83.9916"/>
        <n v="-64.4274"/>
        <n v="31.0688"/>
        <n v="-52.632"/>
        <n v="6.992"/>
        <n v="7.0218"/>
        <n v="9.585"/>
        <n v="-45.8273"/>
        <n v="4.5188"/>
        <n v="8.4024"/>
        <n v="2.6784"/>
        <n v="8.619"/>
        <n v="19.692"/>
        <n v="10.3936"/>
        <n v="10.92"/>
        <n v="2.4192"/>
        <n v="265.4232"/>
        <n v="7.6154"/>
        <n v="125.2692"/>
        <n v="6.7482"/>
        <n v="4.172"/>
        <n v="0.5097"/>
        <n v="6.1641"/>
        <n v="-4.0216"/>
        <n v="5.8045"/>
        <n v="2.7324"/>
        <n v="1.2038"/>
        <n v="3.0128"/>
        <n v="5.955"/>
        <n v="2.3976"/>
        <n v="2.5056"/>
        <n v="17.37"/>
        <n v="13.7646"/>
        <n v="134.9955"/>
        <n v="57.4938"/>
        <n v="206.316"/>
        <n v="89.5888"/>
        <n v="14.5152"/>
        <n v="11.2476"/>
        <n v="30.2112"/>
        <n v="1.512"/>
        <n v="12.582"/>
        <n v="16.7875"/>
        <n v="7.4872"/>
        <n v="503.7822"/>
        <n v="2.3686"/>
        <n v="4.331"/>
        <n v="59.6556"/>
        <n v="50.328"/>
        <n v="352.3065"/>
        <n v="4.884"/>
        <n v="0.84"/>
        <n v="2.691"/>
        <n v="56.5662"/>
        <n v="58.0272"/>
        <n v="9.912"/>
        <n v="13.7016"/>
        <n v="12.99"/>
        <n v="2.679"/>
        <n v="-227.4912"/>
        <n v="4.9878"/>
        <n v="-5.1968"/>
        <n v="16.2688"/>
        <n v="27.882"/>
        <n v="4.0383"/>
        <n v="78.851"/>
        <n v="2.4824"/>
        <n v="29.9646"/>
        <n v="18.504"/>
        <n v="56.9772"/>
        <n v="14.5728"/>
        <n v="33.995"/>
        <n v="38.5722"/>
        <n v="15.0416"/>
        <n v="7.6968"/>
        <n v="11.1664"/>
        <n v="240.8595"/>
        <n v="51.8"/>
        <n v="2.6208"/>
        <n v="1228.1787"/>
        <n v="3.4092"/>
        <n v="-4.577"/>
        <n v="1.4742"/>
        <n v="60.4752"/>
        <n v="-16.426"/>
        <n v="18.715"/>
        <n v="2239.9872"/>
        <n v="1.3"/>
        <n v="-184.8366"/>
        <n v="81.583"/>
        <n v="6.2664"/>
        <n v="11.891"/>
        <n v="-23.716"/>
        <n v="108.7996"/>
        <n v="1.1772"/>
        <n v="13.4372"/>
        <n v="3.5994"/>
        <n v="56.264"/>
        <n v="6.129"/>
        <n v="53.196"/>
        <n v="2.8416"/>
        <n v="11.703"/>
        <n v="23.028"/>
        <n v="47.848"/>
        <n v="10.08"/>
        <n v="5.8812"/>
        <n v="23.235"/>
        <n v="5.4488"/>
        <n v="-694.2936"/>
        <n v="-4.428"/>
        <n v="5.2256"/>
        <n v="65.2064"/>
        <n v="9.2928"/>
        <n v="45.84"/>
        <n v="7.7679"/>
        <n v="-94.333"/>
        <n v="-8.6768"/>
        <n v="1.3583"/>
        <n v="21.1977"/>
        <n v="7.476"/>
        <n v="13.4292"/>
        <n v="-53.2856"/>
        <n v="9.302"/>
        <n v="16.8896"/>
        <n v="10.9584"/>
        <n v="17.847"/>
        <n v="72.5754"/>
        <n v="196.686"/>
        <n v="10.647"/>
        <n v="3.5154"/>
        <n v="1.636"/>
        <n v="57.5016"/>
        <n v="2.4898"/>
        <n v="109.998"/>
        <n v="3.7224"/>
        <n v="4.9632"/>
        <n v="35.6613"/>
        <n v="5.8604"/>
        <n v="30.09"/>
        <n v="7.2576"/>
        <n v="-3.0344"/>
        <n v="53.9946"/>
        <n v="33.831"/>
        <n v="21.0752"/>
        <n v="0.9856"/>
        <n v="-69.312"/>
        <n v="34.993"/>
        <n v="108.7408"/>
        <n v="843.1706"/>
        <n v="6.9132"/>
        <n v="-5.6943"/>
        <n v="11.49"/>
        <n v="219.4514"/>
        <n v="19.4656"/>
        <n v="156.047"/>
        <n v="0.3822"/>
        <n v="-2.5248"/>
        <n v="11.7208"/>
        <n v="6.972"/>
        <n v="6.7915"/>
        <n v="3.36"/>
        <n v="18.447"/>
        <n v="9.6712"/>
        <n v="101.3832"/>
        <n v="6.7392"/>
        <n v="7.3132"/>
        <n v="-70.1043"/>
        <n v="71.99"/>
        <n v="23.6808"/>
        <n v="15.9348"/>
        <n v="8.8088"/>
        <n v="0.365"/>
        <n v="80.7912"/>
        <n v="94.0702"/>
        <n v="341.994"/>
        <n v="18.767"/>
        <n v="110.0528"/>
        <n v="3.0268"/>
        <n v="17.3488"/>
        <n v="149.148"/>
        <n v="-4.8588"/>
        <n v="9.768"/>
        <n v="1.122"/>
        <n v="9.8856"/>
        <n v="13.7176"/>
        <n v="3.3756"/>
        <n v="7.7896"/>
        <n v="3.4048"/>
        <n v="-130.0104"/>
        <n v="35.0784"/>
        <n v="10.8864"/>
        <n v="8.7285"/>
        <n v="22.4808"/>
        <n v="27.3568"/>
        <n v="4.5816"/>
        <n v="5.4801"/>
        <n v="152.495"/>
        <n v="3.58"/>
        <n v="-7.7728"/>
        <n v="3.04"/>
        <n v="238.653"/>
        <n v="30.2778"/>
        <n v="29.495"/>
        <n v="11.4741"/>
        <n v="8.955"/>
        <n v="163.1898"/>
        <n v="3.5858"/>
        <n v="8.2992"/>
        <n v="22.5296"/>
        <n v="5.5755"/>
        <n v="42.3625"/>
        <n v="131.0296"/>
        <n v="-121.2705"/>
        <n v="49.014"/>
        <n v="60.1536"/>
        <n v="0.3336"/>
        <n v="26.703"/>
        <n v="27.3096"/>
        <n v="14.985"/>
        <n v="34.6983"/>
        <n v="52.688"/>
        <n v="11.196"/>
        <n v="5.1816"/>
        <n v="50.4711"/>
        <n v="8.802"/>
        <n v="48.5392"/>
        <n v="77.4837"/>
        <n v="11.7936"/>
        <n v="0.9612"/>
        <n v="3.89"/>
        <n v="0.1134"/>
        <n v="2.4012"/>
        <n v="45.487"/>
        <n v="-21.4704"/>
        <n v="4.6956"/>
        <n v="46.1968"/>
        <n v="3.9592"/>
        <n v="-108.3348"/>
        <n v="43.2234"/>
        <n v="-0.9486"/>
        <n v="-14.6388"/>
        <n v="113.3055"/>
        <n v="3.196"/>
        <n v="6.36"/>
        <n v="1.917"/>
        <n v="-19.7712"/>
        <n v="6.8714"/>
        <n v="3.9609"/>
        <n v="-8.0775"/>
        <n v="909.9818"/>
        <n v="12.8583"/>
        <n v="36.3018"/>
        <n v="0.8056"/>
        <n v="161.9674"/>
        <n v="-175.26"/>
        <n v="83.284"/>
        <n v="47.061"/>
        <n v="-8.532"/>
        <n v="5.1792"/>
        <n v="-2.249"/>
        <n v="-99.2664"/>
        <n v="3.7308"/>
        <n v="8.6744"/>
        <n v="7.128"/>
        <n v="14.3952"/>
        <n v="19.797"/>
        <n v="93.0552"/>
        <n v="27.0578"/>
        <n v="3.2214"/>
        <n v="0.8856"/>
        <n v="24.1568"/>
        <n v="-1480.0335"/>
        <n v="-8.4728"/>
        <n v="-6.0192"/>
        <n v="6.045"/>
        <n v="-13.7175"/>
        <n v="7.209"/>
        <n v="-1.624"/>
        <n v="27.9936"/>
        <n v="3.6855"/>
        <n v="197.991"/>
        <n v="7.9086"/>
        <n v="1.8612"/>
        <n v="4.239"/>
        <n v="68.198"/>
        <n v="47.8065"/>
        <n v="0.891"/>
        <n v="-6.0196"/>
        <n v="-8.8038"/>
        <n v="50.9082"/>
        <n v="20.1584"/>
        <n v="2.288"/>
        <n v="-6.549"/>
        <n v="63.6825"/>
        <n v="2.9646"/>
        <n v="9.99"/>
        <n v="746.4078"/>
        <n v="43.5981"/>
        <n v="39.98"/>
        <n v="3.6018"/>
        <n v="22.298"/>
        <n v="4.0542"/>
        <n v="5.0196"/>
        <n v="177.4206"/>
        <n v="2.2098"/>
        <n v="22.2"/>
        <n v="8.5845"/>
        <n v="15.2225"/>
        <n v="19.188"/>
        <n v="95.586"/>
        <n v="24.3595"/>
        <n v="4.1151"/>
        <n v="-3701.8928"/>
        <n v="20.853"/>
        <n v="15.4752"/>
        <n v="-0.91"/>
        <n v="36.4473"/>
        <n v="26.649"/>
        <n v="-147.8655"/>
        <n v="643.9825"/>
        <n v="10.8054"/>
        <n v="111.1035"/>
        <n v="12.2715"/>
        <n v="41.9965"/>
        <n v="15.12"/>
        <n v="16.3215"/>
        <n v="-9.288"/>
        <n v="8.2156"/>
        <n v="8.5372"/>
        <n v="3.3088"/>
        <n v="-2.8608"/>
        <n v="31.996"/>
        <n v="1.9926"/>
        <n v="16.1838"/>
        <n v="144.3546"/>
        <n v="6.5"/>
        <n v="0.5998"/>
        <n v="7.724"/>
        <n v="8.8784"/>
        <n v="9.2232"/>
        <n v="-42.8"/>
        <n v="-464.697"/>
        <n v="-6.8334"/>
        <n v="3.0558"/>
        <n v="47.9376"/>
        <n v="4.2"/>
        <n v="112.392"/>
        <n v="1.1988"/>
        <n v="1416.8"/>
        <n v="200.49"/>
        <n v="41.535"/>
        <n v="4.7712"/>
        <n v="-18.0312"/>
        <n v="11.92"/>
        <n v="26.3934"/>
        <n v="-6.9828"/>
        <n v="4.756"/>
        <n v="35.0244"/>
        <n v="6.0726"/>
        <n v="2.3997"/>
        <n v="11.996"/>
        <n v="9.702"/>
        <n v="5.56"/>
        <n v="54.9976"/>
        <n v="4.6221"/>
        <n v="0.7092"/>
        <n v="395.9604"/>
        <n v="48.118"/>
        <n v="6.4428"/>
        <n v="2.9346"/>
        <n v="34.742"/>
        <n v="0.2996"/>
        <n v="1.0598"/>
        <n v="69.1992"/>
        <n v="28.7064"/>
        <n v="1.148"/>
        <n v="4.4138"/>
        <n v="20.1264"/>
        <n v="22.2352"/>
        <n v="51.57"/>
        <n v="-110.0232"/>
        <n v="6.9384"/>
        <n v="3.4552"/>
        <n v="29.952"/>
        <n v="-3.094"/>
        <n v="180.7659"/>
        <n v="8.1144"/>
        <n v="17.991"/>
        <n v="-12.9168"/>
        <n v="0.2792"/>
        <n v="3.462"/>
        <n v="97.4586"/>
        <n v="3.3785"/>
        <n v="-76.0116"/>
        <n v="28.0876"/>
        <n v="23.808"/>
        <n v="2.6416"/>
        <n v="9.3228"/>
        <n v="-108.8304"/>
        <n v="4.0872"/>
        <n v="-15.098"/>
        <n v="240.2649"/>
        <n v="-7.5768"/>
        <n v="24.8832"/>
        <n v="4.2309"/>
        <n v="12.974"/>
        <n v="0.7348"/>
        <n v="0.5992"/>
        <n v="51.8292"/>
        <n v="29.1456"/>
        <n v="0.8946"/>
        <n v="122.2936"/>
        <n v="106.5408"/>
        <n v="45.294"/>
        <n v="11.814"/>
        <n v="35.6346"/>
        <n v="6.7008"/>
        <n v="33.0708"/>
        <n v="-93.2316"/>
        <n v="4.779"/>
        <n v="81.432"/>
        <n v="20.4984"/>
        <n v="4.914"/>
        <n v="18.6606"/>
        <n v="44.5278"/>
        <n v="14.67"/>
        <n v="7.9724"/>
        <n v="84.0512"/>
        <n v="36.372"/>
        <n v="58.38"/>
        <n v="21.7728"/>
        <n v="41.3374"/>
        <n v="0.5904"/>
        <n v="9.3624"/>
        <n v="16.032"/>
        <n v="165.3813"/>
        <n v="118.293"/>
        <n v="2.7036"/>
        <n v="4.3524"/>
        <n v="20.1579"/>
        <n v="214.4922"/>
        <n v="78.435"/>
        <n v="5.4124"/>
        <n v="128.9742"/>
        <n v="-93.4724"/>
        <n v="56.55"/>
        <n v="15.777"/>
        <n v="267.6672"/>
        <n v="-15.4764"/>
        <n v="34.9074"/>
        <n v="40.3536"/>
        <n v="176.7864"/>
        <n v="4.4352"/>
        <n v="23.49"/>
        <n v="-3.3879"/>
        <n v="-4.1568"/>
        <n v="117.432"/>
        <n v="12.0"/>
        <n v="1.5312"/>
        <n v="200.9546"/>
        <n v="9.779"/>
        <n v="4.0338"/>
        <n v="224.9925"/>
        <n v="349.3392"/>
        <n v="117.1296"/>
        <n v="-17.2854"/>
        <n v="13.208"/>
        <n v="2.2365"/>
        <n v="44.7096"/>
        <n v="14.2272"/>
        <n v="-1.2558"/>
        <n v="30.9504"/>
        <n v="14.628"/>
        <n v="107.346"/>
        <n v="1.002"/>
        <n v="90.8292"/>
        <n v="30.7168"/>
        <n v="-188.7"/>
        <n v="4.4604"/>
        <n v="1.6588"/>
        <n v="6.3684"/>
        <n v="-4.488"/>
        <n v="6.2192"/>
        <n v="371.316"/>
        <n v="15.642"/>
        <n v="89.307"/>
        <n v="5.1552"/>
        <n v="-219.1644"/>
        <n v="-6.1248"/>
        <n v="1.323"/>
        <n v="17.6088"/>
        <n v="12.8568"/>
        <n v="4.2804"/>
        <n v="39.7488"/>
        <n v="23.4416"/>
        <n v="2.772"/>
        <n v="6.372"/>
        <n v="-26.9955"/>
        <n v="12.936"/>
        <n v="93.594"/>
        <n v="9.8164"/>
        <n v="41.1684"/>
        <n v="15.9968"/>
        <n v="15.764"/>
        <n v="17.9634"/>
        <n v="94.4925"/>
        <n v="4.3372"/>
        <n v="12.691"/>
        <n v="69.1008"/>
        <n v="5.24"/>
        <n v="2.8912"/>
        <n v="9.5736"/>
        <n v="3.0498"/>
        <n v="-1862.3124"/>
        <n v="2.9889"/>
        <n v="0.7392"/>
        <n v="2.6406"/>
        <n v="9.5787"/>
        <n v="1013.127"/>
        <n v="35.415"/>
        <n v="2.4"/>
        <n v="17.694"/>
        <n v="147.475"/>
        <n v="56.3528"/>
        <n v="4.4312"/>
        <n v="6.9231"/>
        <n v="7.5371"/>
        <n v="-35.9058"/>
        <n v="24.196"/>
        <n v="12.993"/>
        <n v="122.148"/>
        <n v="1.7901"/>
        <n v="9.3444"/>
        <n v="13.8915"/>
        <n v="13.9392"/>
        <n v="49.9704"/>
        <n v="6.253"/>
        <n v="-90.3762"/>
        <n v="1.8048"/>
        <n v="-5.264"/>
        <n v="12.1149"/>
        <n v="1.3596"/>
        <n v="-480.2032"/>
        <n v="19.3984"/>
        <n v="7.7688"/>
        <n v="37.1812"/>
        <n v="2.394"/>
        <n v="-100.92"/>
        <n v="118.6575"/>
        <n v="-85.2384"/>
        <n v="5.1072"/>
        <n v="8.694"/>
        <n v="2.7072"/>
        <n v="8.0178"/>
        <n v="156.338"/>
        <n v="770.352"/>
        <n v="41.496"/>
        <n v="20.682"/>
        <n v="-4.6464"/>
        <n v="-26.7204"/>
        <n v="76.3152"/>
        <n v="2.1476"/>
        <n v="2.0358"/>
        <n v="267.705"/>
        <n v="21.2512"/>
        <n v="7.0096"/>
        <n v="8.526"/>
        <n v="5.4768"/>
        <n v="60.5528"/>
        <n v="29.1375"/>
        <n v="-182.637"/>
        <n v="17.3148"/>
        <n v="178.91"/>
        <n v="81.8496"/>
        <n v="4.0192"/>
        <n v="8.2344"/>
        <n v="-122.3928"/>
        <n v="21.036"/>
        <n v="-76.6062"/>
        <n v="4.3326"/>
        <n v="18.6093"/>
        <n v="3.8655"/>
        <n v="-2.0364"/>
        <n v="-337.638"/>
        <n v="22.6764"/>
        <n v="1.2064"/>
        <n v="12.6672"/>
        <n v="735.0336"/>
        <n v="99.432"/>
        <n v="29.799"/>
        <n v="35.9964"/>
        <n v="37.7916"/>
        <n v="-121.58"/>
        <n v="0.2016"/>
        <n v="74.975"/>
        <n v="4.0473"/>
        <n v="3.6792"/>
        <n v="-15.4581"/>
        <n v="111.591"/>
        <n v="4.4892"/>
        <n v="8.8686"/>
        <n v="35.0973"/>
        <n v="5.256"/>
        <n v="63.7392"/>
        <n v="31.2736"/>
        <n v="762.1845"/>
        <n v="26.271"/>
        <n v="99.9408"/>
        <n v="-525.6405"/>
        <n v="1.5008"/>
        <n v="-7.098"/>
        <n v="22.6737"/>
        <n v="8.799"/>
        <n v="49.2723"/>
        <n v="10.104"/>
        <n v="-5.412"/>
        <n v="0.559"/>
        <n v="14.904"/>
        <n v="69.705"/>
        <n v="18.4548"/>
        <n v="4.004"/>
        <n v="10.5"/>
        <n v="92.0835"/>
        <n v="1.1656"/>
        <n v="-5.4801"/>
        <n v="26.824"/>
        <n v="51.996"/>
        <n v="21.8376"/>
        <n v="-4.4928"/>
        <n v="4.5738"/>
        <n v="16.1868"/>
        <n v="15.147"/>
        <n v="13.734"/>
        <n v="43.4352"/>
        <n v="15.876"/>
        <n v="7.9212"/>
        <n v="28.7964"/>
        <n v="14.501"/>
        <n v="-4.396"/>
        <n v="15.599"/>
        <n v="4.4088"/>
        <n v="5.3898"/>
        <n v="2.9322"/>
        <n v="4.9686"/>
        <n v="2.3312"/>
        <n v="0.9576"/>
        <n v="1.5552"/>
        <n v="1.7591"/>
        <n v="2.132"/>
        <n v="8.5722"/>
        <n v="2.2194"/>
        <n v="8.3268"/>
        <n v="-0.2685"/>
        <n v="-191.619"/>
        <n v="11.898"/>
        <n v="6.6"/>
        <n v="67.992"/>
        <n v="-116.844"/>
        <n v="4.4392"/>
        <n v="55.845"/>
        <n v="-8.9152"/>
        <n v="7.5992"/>
        <n v="2.99"/>
        <n v="4.1328"/>
        <n v="1.8"/>
        <n v="61.389"/>
        <n v="-18.0588"/>
        <n v="8.4888"/>
        <n v="14.202"/>
        <n v="-55.256"/>
        <n v="34.494"/>
        <n v="8.93"/>
        <n v="8.7906"/>
        <n v="-4.8392"/>
        <n v="-20.3322"/>
        <n v="-29.1168"/>
        <n v="0.0636"/>
        <n v="9.8901"/>
        <n v="47.844"/>
        <n v="51.942"/>
        <n v="1.3365"/>
        <n v="35.6526"/>
        <n v="89.3142"/>
        <n v="-70.9605"/>
        <n v="25.875"/>
        <n v="6.7116"/>
        <n v="24.936"/>
        <n v="-8.5068"/>
        <n v="14.346"/>
        <n v="5.083"/>
        <n v="-15.9268"/>
        <n v="-89.089"/>
        <n v="16.2864"/>
        <n v="39.6879"/>
        <n v="-14.5656"/>
        <n v="6.72"/>
        <n v="53.0439"/>
        <n v="20.6336"/>
        <n v="-54.3204"/>
        <n v="50.5632"/>
        <n v="63.7776"/>
        <n v="6.1792"/>
        <n v="0.7228"/>
        <n v="5.056"/>
        <n v="4.0986"/>
        <n v="11.2504"/>
        <n v="1.5456"/>
        <n v="1.6776"/>
        <n v="3.348"/>
        <n v="19.4688"/>
        <n v="8.085"/>
        <n v="-103.8606"/>
        <n v="69.986"/>
        <n v="0.444"/>
        <n v="11.2308"/>
        <n v="6.2244"/>
        <n v="9.102"/>
        <n v="0.8058"/>
        <n v="-2.5256"/>
        <n v="21.645"/>
        <n v="38.6848"/>
        <n v="53.261"/>
        <n v="38.3508"/>
        <n v="-337.806"/>
        <n v="35.2872"/>
        <n v="51.6558"/>
        <n v="41.2938"/>
        <n v="7.93"/>
        <n v="76.4"/>
        <n v="13.3371"/>
        <n v="-255.7425"/>
        <n v="13.32"/>
        <n v="28.7712"/>
        <n v="40.4973"/>
        <n v="13.5324"/>
        <n v="134.3328"/>
        <n v="12.2328"/>
        <n v="6.1512"/>
        <n v="31.5192"/>
        <n v="130.7581"/>
        <n v="84.5154"/>
        <n v="16.7972"/>
        <n v="61.3305"/>
        <n v="64.518"/>
        <n v="1.1556"/>
        <n v="-13.734"/>
        <n v="33.636"/>
        <n v="-37.1124"/>
        <n v="2.0672"/>
        <n v="4.3904"/>
        <n v="2.934"/>
        <n v="78.8942"/>
        <n v="21.99"/>
        <n v="245.7"/>
        <n v="-4.9878"/>
        <n v="21.42"/>
        <n v="27.986"/>
        <n v="125.245"/>
        <n v="1.4104"/>
        <n v="3.1104"/>
        <n v="6.3936"/>
        <n v="-31.3722"/>
        <n v="24.5028"/>
        <n v="2.184"/>
        <n v="18.2112"/>
        <n v="57.358"/>
        <n v="2.256"/>
        <n v="10.8836"/>
        <n v="1.6038"/>
        <n v="148.1064"/>
        <n v="2.1336"/>
        <n v="87.5684"/>
        <n v="16.68"/>
        <n v="10.68"/>
        <n v="-10.0372"/>
        <n v="80.838"/>
        <n v="-10.3936"/>
        <n v="-13.7976"/>
        <n v="55.3616"/>
        <n v="2.289"/>
        <n v="84.5728"/>
        <n v="20.5755"/>
        <n v="-32.5226"/>
        <n v="19.0386"/>
        <n v="38.9975"/>
        <n v="2.6496"/>
        <n v="-2.5698"/>
        <n v="-75.8304"/>
        <n v="42.8805"/>
        <n v="12.8744"/>
        <n v="52.38"/>
        <n v="-1181.2824"/>
        <n v="100.4796"/>
        <n v="-16.818"/>
        <n v="106.1242"/>
        <n v="167.979"/>
        <n v="8.352"/>
        <n v="11.076"/>
        <n v="257.712"/>
        <n v="92.3936"/>
        <n v="303.3408"/>
        <n v="10.896"/>
        <n v="84.66"/>
        <n v="-13.1706"/>
        <n v="-4.2336"/>
        <n v="-913.176"/>
        <n v="20.724"/>
        <n v="13.6776"/>
        <n v="3.9474"/>
        <n v="4.8609"/>
        <n v="-46.9952"/>
        <n v="6.4638"/>
        <n v="-13.8717"/>
        <n v="2.632"/>
        <n v="6.812"/>
        <n v="152.388"/>
        <n v="36.225"/>
        <n v="40.4012"/>
        <n v="13.4865"/>
        <n v="44.046"/>
        <n v="28.1421"/>
        <n v="206.6232"/>
        <n v="9.4717"/>
        <n v="1.1225"/>
        <n v="2.8392"/>
        <n v="137.151"/>
        <n v="4.504"/>
        <n v="95.7572"/>
        <n v="3.401"/>
        <n v="-10.4196"/>
        <n v="155.25"/>
        <n v="-28.6862"/>
        <n v="18.0648"/>
        <n v="-64.7748"/>
        <n v="33.642"/>
        <n v="4.8924"/>
        <n v="4.5318"/>
        <n v="15.6078"/>
        <n v="124.488"/>
        <n v="-2.918"/>
        <n v="1.5602"/>
        <n v="12.864"/>
        <n v="40.8006"/>
        <n v="3.3408"/>
        <n v="-9.5568"/>
        <n v="8.8704"/>
        <n v="42.495"/>
        <n v="5.0596"/>
        <n v="18.1146"/>
        <n v="48.9516"/>
        <n v="3.6156"/>
        <n v="23.5116"/>
        <n v="14.3856"/>
        <n v="0.7398"/>
        <n v="1.6116"/>
        <n v="5.0064"/>
        <n v="0.4074"/>
        <n v="13.132"/>
        <n v="15.7"/>
        <n v="269.308"/>
        <n v="2.244"/>
        <n v="11.094"/>
        <n v="-4.641"/>
        <n v="16.6788"/>
        <n v="11.4516"/>
        <n v="22.941"/>
        <n v="60.392"/>
        <n v="52.734"/>
        <n v="35.2604"/>
        <n v="7.56"/>
        <n v="4.891"/>
        <n v="124.929"/>
        <n v="485.9892"/>
        <n v="-1.8904"/>
        <n v="43.7842"/>
        <n v="3.5784"/>
        <n v="23.226"/>
        <n v="2.1492"/>
        <n v="146.2405"/>
        <n v="43.3188"/>
        <n v="140.686"/>
        <n v="13.17"/>
        <n v="607.608"/>
        <n v="3.0861"/>
        <n v="31.0184"/>
        <n v="0.5236"/>
        <n v="10.4148"/>
        <n v="15.065"/>
        <n v="0.471"/>
        <n v="36.852"/>
        <n v="1.551"/>
        <n v="7.8936"/>
        <n v="-11.5176"/>
        <n v="23.9232"/>
        <n v="-1.9791"/>
        <n v="77.7519"/>
        <n v="-2.244"/>
        <n v="17.55"/>
        <n v="2.436"/>
        <n v="9.25"/>
        <n v="-73.8192"/>
        <n v="0.3864"/>
        <n v="78.7528"/>
        <n v="62.8075"/>
        <n v="134.652"/>
        <n v="15.5232"/>
        <n v="3.7996"/>
        <n v="28.6965"/>
        <n v="3.597"/>
        <n v="21.5397"/>
        <n v="-2.838"/>
        <n v="5.5664"/>
        <n v="8.7138"/>
        <n v="96.3438"/>
        <n v="47.6268"/>
        <n v="1.4456"/>
        <n v="2.5578"/>
        <n v="160.1766"/>
        <n v="-1.1996"/>
        <n v="16.5242"/>
        <n v="10.008"/>
        <n v="8.1168"/>
        <n v="22.7136"/>
        <n v="57.6"/>
        <n v="2.4864"/>
        <n v="3.267"/>
        <n v="6.8388"/>
        <n v="7.4256"/>
        <n v="3.894"/>
        <n v="74.5654"/>
        <n v="2.004"/>
        <n v="18.8784"/>
        <n v="-7.4358"/>
        <n v="6.6976"/>
        <n v="7.065"/>
        <n v="27.0112"/>
        <n v="6.858"/>
        <n v="0.99"/>
        <n v="456.588"/>
        <n v="20.392"/>
        <n v="131.2785"/>
        <n v="4.9648"/>
        <n v="0.8385"/>
        <n v="16.956"/>
        <n v="50.4426"/>
        <n v="79.758"/>
        <n v="16.17"/>
        <n v="2.577"/>
        <n v="15.0742"/>
        <n v="137.264"/>
        <n v="49.23"/>
        <n v="64.7856"/>
        <n v="34.8928"/>
        <n v="16.98"/>
        <n v="-8.9796"/>
        <n v="43.164"/>
        <n v="87.7443"/>
        <n v="285.9896"/>
        <n v="-6.9282"/>
        <n v="35.156"/>
        <n v="3.8822"/>
        <n v="-13.2867"/>
        <n v="3.4848"/>
        <n v="2.224"/>
        <n v="92.3692"/>
        <n v="0.5967"/>
        <n v="-1065.372"/>
        <n v="23.9169"/>
        <n v="28.858"/>
        <n v="449.991"/>
        <n v="9.2386"/>
        <n v="0.3024"/>
        <n v="19.9665"/>
        <n v="19.8276"/>
        <n v="-11.439"/>
        <n v="266.4522"/>
        <n v="5.1648"/>
        <n v="50.12"/>
        <n v="-6.286"/>
        <n v="-4.4946"/>
        <n v="120.9468"/>
        <n v="84.9436"/>
        <n v="16.146"/>
        <n v="3.4776"/>
        <n v="16.6698"/>
        <n v="84.495"/>
        <n v="-182.352"/>
        <n v="1.6784"/>
        <n v="-5.8346"/>
        <n v="-12.208"/>
        <n v="2.8884"/>
        <n v="49.4376"/>
        <n v="41.697"/>
        <n v="5.2877"/>
        <n v="41.076"/>
        <n v="10.881"/>
        <n v="1.068"/>
        <n v="91.9954"/>
        <n v="422.51"/>
        <n v="7.2268"/>
        <n v="35.994"/>
        <n v="207.147"/>
        <n v="23.5872"/>
        <n v="10.434"/>
        <n v="7.704"/>
        <n v="233.9961"/>
        <n v="5.778"/>
        <n v="16.8237"/>
        <n v="1.6128"/>
        <n v="32.2514"/>
        <n v="-13.978"/>
        <n v="6.7188"/>
        <n v="3.0576"/>
        <n v="459.396"/>
        <n v="553.3902"/>
        <n v="9.7328"/>
        <n v="1.1765"/>
        <n v="-2.0622"/>
        <n v="9.8658"/>
        <n v="5.193"/>
        <n v="21.714"/>
        <n v="5.7624"/>
        <n v="4.5216"/>
        <n v="12.3144"/>
        <n v="89.2224"/>
        <n v="-17.0352"/>
        <n v="27.9456"/>
        <n v="11.376"/>
        <n v="55.9986"/>
        <n v="0.3384"/>
        <n v="10.4284"/>
        <n v="14.2992"/>
        <n v="209.274"/>
        <n v="11.88"/>
        <n v="54.215"/>
        <n v="4.9082"/>
        <n v="2.3406"/>
        <n v="4.9248"/>
        <n v="-25.2185"/>
        <n v="-1.3104"/>
        <n v="1270.99"/>
        <n v="178.8"/>
        <n v="0.968"/>
        <n v="3.069"/>
        <n v="5.319"/>
        <n v="148.491"/>
        <n v="14.3075"/>
        <n v="12.5118"/>
        <n v="1.1151"/>
        <n v="36.4704"/>
        <n v="-5.784"/>
        <n v="0.7425"/>
        <n v="18.9702"/>
        <n v="610.8624"/>
        <n v="2.175"/>
        <n v="105.468"/>
        <n v="17.6418"/>
        <n v="15.3952"/>
        <n v="141.2775"/>
        <n v="22.5576"/>
        <n v="11.5432"/>
        <n v="3.4686"/>
        <n v="9.3906"/>
        <n v="48.9645"/>
        <n v="14.161"/>
        <n v="4.7976"/>
        <n v="5.3214"/>
        <n v="152.0232"/>
        <n v="1.3098"/>
        <n v="2.5641"/>
        <n v="17.428"/>
        <n v="82.497"/>
        <n v="-10.3824"/>
        <n v="59.998"/>
        <n v="109.3365"/>
        <n v="8.3916"/>
        <n v="169.182"/>
        <n v="190.4298"/>
        <n v="18.396"/>
        <n v="4.3428"/>
        <n v="2.1728"/>
        <n v="12.51"/>
        <n v="14.6264"/>
        <n v="5.4896"/>
        <n v="23.7742"/>
        <n v="33.936"/>
        <n v="5.6994"/>
        <n v="31.0912"/>
        <n v="62.737"/>
        <n v="2.2302"/>
        <n v="2.0228"/>
        <n v="-54.5958"/>
        <n v="16.5888"/>
        <n v="4.3308"/>
        <n v="-16.5858"/>
        <n v="14.2758"/>
        <n v="8.7672"/>
        <n v="0.7152"/>
        <n v="1.8148"/>
        <n v="3.6"/>
        <n v="21.4452"/>
        <n v="15.8571"/>
        <n v="4.8118"/>
        <n v="0.9952"/>
        <n v="2.999"/>
        <n v="1114.512"/>
        <n v="10.7424"/>
        <n v="-131.12"/>
        <n v="4.068"/>
        <n v="-42.4926"/>
        <n v="2.0748"/>
        <n v="-46.3946"/>
        <n v="-13.8278"/>
        <n v="-71.3958"/>
        <n v="2.94"/>
        <n v="-2.6256"/>
        <n v="12.549"/>
        <n v="-509.997"/>
        <n v="-3.8646"/>
        <n v="26.4132"/>
        <n v="8.2901"/>
        <n v="5.0232"/>
        <n v="-24.294"/>
        <n v="-14.773"/>
        <n v="11.7782"/>
        <n v="-16.467"/>
        <n v="-1.7514"/>
        <n v="9.5256"/>
        <n v="4.6746"/>
        <n v="10.56"/>
        <n v="155.727"/>
        <n v="4.2294"/>
        <n v="6.465"/>
        <n v="9.3184"/>
        <n v="40.473"/>
        <n v="-50.3928"/>
        <n v="-571.9956"/>
        <n v="-79.3352"/>
        <n v="-30.555"/>
        <n v="14.5614"/>
        <n v="13.1956"/>
        <n v="-143.2548"/>
        <n v="-24.803"/>
        <n v="22.2516"/>
        <n v="-2.1896"/>
        <n v="316.1392"/>
        <n v="7.1586"/>
        <n v="-5.712"/>
        <n v="29.4492"/>
        <n v="-11.52"/>
        <n v="8.2782"/>
        <n v="3.3544"/>
        <n v="-7.8588"/>
        <n v="-336.6272"/>
        <n v="10.8"/>
        <n v="0.2952"/>
        <n v="18.8937"/>
        <n v="284.98"/>
        <n v="25.0182"/>
        <n v="10.5714"/>
        <n v="-1.3608"/>
        <n v="6.512"/>
        <n v="1.7514"/>
        <n v="-166.32"/>
        <n v="14.43"/>
        <n v="12.8928"/>
        <n v="33.64"/>
        <n v="59.493"/>
        <n v="112.574"/>
        <n v="0.7938"/>
        <n v="-407.682"/>
        <n v="3.945"/>
        <n v="20.5176"/>
        <n v="-20.5623"/>
        <n v="5.837"/>
        <n v="27.7182"/>
        <n v="154.8426"/>
        <n v="11.1024"/>
        <n v="2.8764"/>
        <n v="17.3656"/>
        <n v="-46.7362"/>
        <n v="4.7236"/>
        <n v="-1.0656"/>
        <n v="-15.9102"/>
        <n v="-31.536"/>
        <n v="-7.9634"/>
        <n v="-18.5562"/>
        <n v="23.384"/>
        <n v="21.7845"/>
        <n v="10.3473"/>
        <n v="-35.5136"/>
        <n v="47.243"/>
        <n v="11.0016"/>
        <n v="-14.475"/>
        <n v="181.9818"/>
        <n v="40.1702"/>
        <n v="36.8245"/>
        <n v="-51.5154"/>
        <n v="3.8976"/>
        <n v="-447.5947"/>
        <n v="-1.1874"/>
        <n v="-12.0588"/>
        <n v="32.2322"/>
        <n v="93.5948"/>
        <n v="6.291"/>
        <n v="-3.6892"/>
        <n v="-8.029"/>
        <n v="100.685"/>
        <n v="-8.5794"/>
        <n v="-1.4016"/>
        <n v="2.502"/>
        <n v="2.7166"/>
        <n v="30.7818"/>
        <n v="4.6176"/>
        <n v="-29.3436"/>
        <n v="-12.432"/>
        <n v="172.4814"/>
        <n v="14.8"/>
        <n v="66.5088"/>
        <n v="56.5264"/>
        <n v="-67.941"/>
        <n v="9.352"/>
        <n v="-5.8604"/>
        <n v="18.528"/>
        <n v="-4.1244"/>
        <n v="-18.2352"/>
        <n v="0.334"/>
        <n v="-40.7976"/>
        <n v="-44.1552"/>
        <n v="-8.1312"/>
        <n v="-38.1114"/>
        <n v="-19.2588"/>
        <n v="3.384"/>
        <n v="-11.8256"/>
        <n v="42.8148"/>
        <n v="-58.8616"/>
        <n v="1.3316"/>
        <n v="5.3721"/>
        <n v="-11.322"/>
        <n v="4.3902"/>
        <n v="5.6644"/>
        <n v="83.5128"/>
        <n v="41.4294"/>
        <n v="0.5508"/>
        <n v="9.744"/>
        <n v="-459.9875"/>
        <n v="72.8946"/>
        <n v="874.9875"/>
        <n v="-22.62"/>
        <n v="-312.0614"/>
        <n v="-11.3372"/>
        <n v="-786.744"/>
        <n v="31.2858"/>
        <n v="-7.764"/>
        <n v="-4.0128"/>
        <n v="-0.7295"/>
        <n v="-66.5088"/>
        <n v="92.5056"/>
        <n v="-383.031"/>
        <n v="2.0975"/>
        <n v="1.773"/>
        <n v="13.8579"/>
        <n v="-12.796"/>
        <n v="0.5244"/>
        <n v="5.9384"/>
        <n v="30.0144"/>
        <n v="13.188"/>
        <n v="6.255"/>
        <n v="282.2092"/>
        <n v="-49.92"/>
        <n v="20.1708"/>
        <n v="1.674"/>
        <n v="25.1496"/>
        <n v="-123.858"/>
        <n v="75.6952"/>
        <n v="-145.5246"/>
        <n v="15.8256"/>
        <n v="-2.22"/>
        <n v="-80.48"/>
        <n v="-4.464"/>
        <n v="11.9988"/>
        <n v="-95.2476"/>
        <n v="10.203"/>
        <n v="13.064"/>
        <n v="-29.2524"/>
        <n v="356.0414"/>
        <n v="6.1704"/>
        <n v="-112.6216"/>
        <n v="1.043"/>
        <n v="0.2592"/>
        <n v="3.7752"/>
        <n v="55.3896"/>
        <n v="0.2997"/>
        <n v="-15.7514"/>
        <n v="4.293"/>
        <n v="-0.6976"/>
        <n v="-45.9954"/>
        <n v="10.9602"/>
        <n v="83.9944"/>
        <n v="-114.3912"/>
        <n v="10.3071"/>
        <n v="14.651"/>
        <n v="-5.5338"/>
        <n v="15.743"/>
        <n v="-115.7156"/>
        <n v="46.8996"/>
        <n v="215.9892"/>
        <n v="45.528"/>
        <n v="9.3024"/>
        <n v="14.4648"/>
        <n v="-7.2672"/>
        <n v="7.8225"/>
        <n v="-103.266"/>
        <n v="102.9528"/>
        <n v="4.5882"/>
        <n v="-204.4458"/>
        <n v="18.6624"/>
        <n v="-5.823"/>
        <n v="11.232"/>
        <n v="14.3068"/>
        <n v="32.925"/>
        <n v="3.0338"/>
        <n v="13.181"/>
        <n v="-29.6058"/>
        <n v="-28.2744"/>
        <n v="-12.9568"/>
        <n v="16.1096"/>
        <n v="-11.9616"/>
        <n v="-68.392"/>
        <n v="16.6536"/>
        <n v="5.798"/>
        <n v="-4.851"/>
        <n v="-18.4624"/>
        <n v="6.3072"/>
        <n v="-1665.0522"/>
        <n v="76.5484"/>
        <n v="22.3548"/>
        <n v="89.991"/>
        <n v="-29.4812"/>
        <n v="-162.2296"/>
        <n v="-52.8336"/>
        <n v="38.3572"/>
        <n v="3.1096"/>
        <n v="-26.8758"/>
        <n v="-22.449"/>
        <n v="-373.3048"/>
        <n v="8.01"/>
        <n v="28.4928"/>
        <n v="24.2919"/>
        <n v="-8.4924"/>
        <n v="-1.35"/>
        <n v="30.1872"/>
        <n v="-2.01"/>
        <n v="-3.432"/>
        <n v="8.2848"/>
        <n v="-9.1648"/>
        <n v="-3.168"/>
        <n v="1143.891"/>
        <n v="-15.2225"/>
        <n v="3.3516"/>
        <n v="213.7044"/>
        <n v="1.476"/>
        <n v="3.2832"/>
        <n v="38.97"/>
        <n v="-1.3584"/>
        <n v="-163.5767"/>
        <n v="-3.4272"/>
        <n v="39.6312"/>
        <n v="6.4308"/>
        <n v="-113.282"/>
        <n v="0.4984"/>
        <n v="-52.9584"/>
        <n v="-157.0095"/>
      </sharedItems>
    </cacheField>
    <cacheField name="Sales_in_selected_currency" formula="sum(Sales)*$T$6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ales_Analysis_dashboard" cacheId="0" dataCaption="" rowGrandTotals="0" colGrandTotals="0" compact="0" compactData="0">
  <location ref="A1:E14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axis="axisRow" compact="0" numFmtId="164" outline="0" multipleItemSelectionAllowed="1" showAll="0" sortType="ascending">
      <items>
        <item x="52"/>
        <item x="127"/>
        <item x="249"/>
        <item x="70"/>
        <item x="68"/>
        <item x="228"/>
        <item x="267"/>
        <item x="217"/>
        <item x="98"/>
        <item x="268"/>
        <item x="45"/>
        <item x="147"/>
        <item x="191"/>
        <item x="260"/>
        <item x="265"/>
        <item x="112"/>
        <item x="32"/>
        <item x="291"/>
        <item x="580"/>
        <item x="3"/>
        <item x="226"/>
        <item x="145"/>
        <item x="244"/>
        <item x="190"/>
        <item x="117"/>
        <item x="63"/>
        <item x="89"/>
        <item x="85"/>
        <item x="204"/>
        <item x="212"/>
        <item x="579"/>
        <item x="84"/>
        <item x="287"/>
        <item x="182"/>
        <item x="274"/>
        <item x="272"/>
        <item x="100"/>
        <item x="286"/>
        <item x="225"/>
        <item x="51"/>
        <item x="584"/>
        <item x="278"/>
        <item x="56"/>
        <item x="81"/>
        <item x="69"/>
        <item x="151"/>
        <item x="293"/>
        <item x="59"/>
        <item x="576"/>
        <item x="142"/>
        <item x="2"/>
        <item x="269"/>
        <item x="279"/>
        <item x="160"/>
        <item x="123"/>
        <item x="55"/>
        <item x="241"/>
        <item x="262"/>
        <item x="173"/>
        <item x="255"/>
        <item x="215"/>
        <item x="9"/>
        <item x="11"/>
        <item x="234"/>
        <item x="222"/>
        <item x="25"/>
        <item x="237"/>
        <item x="284"/>
        <item x="126"/>
        <item x="65"/>
        <item x="36"/>
        <item x="33"/>
        <item x="194"/>
        <item x="4"/>
        <item x="114"/>
        <item x="251"/>
        <item x="181"/>
        <item x="581"/>
        <item x="276"/>
        <item x="6"/>
        <item x="280"/>
        <item x="21"/>
        <item x="232"/>
        <item x="180"/>
        <item x="122"/>
        <item x="107"/>
        <item x="155"/>
        <item x="161"/>
        <item x="86"/>
        <item x="277"/>
        <item x="144"/>
        <item x="219"/>
        <item x="124"/>
        <item x="109"/>
        <item x="178"/>
        <item x="289"/>
        <item x="154"/>
        <item x="281"/>
        <item x="42"/>
        <item x="53"/>
        <item x="209"/>
        <item x="134"/>
        <item x="77"/>
        <item x="200"/>
        <item x="266"/>
        <item x="46"/>
        <item x="218"/>
        <item x="221"/>
        <item x="62"/>
        <item x="256"/>
        <item x="238"/>
        <item x="254"/>
        <item x="5"/>
        <item x="216"/>
        <item x="195"/>
        <item x="92"/>
        <item x="47"/>
        <item x="288"/>
        <item x="116"/>
        <item x="12"/>
        <item x="229"/>
        <item x="261"/>
        <item x="224"/>
        <item x="71"/>
        <item x="88"/>
        <item x="148"/>
        <item x="258"/>
        <item x="141"/>
        <item x="243"/>
        <item x="207"/>
        <item x="136"/>
        <item x="58"/>
        <item x="192"/>
        <item x="290"/>
        <item x="214"/>
        <item x="197"/>
        <item x="205"/>
        <item x="283"/>
        <item x="282"/>
        <item x="57"/>
        <item x="245"/>
        <item x="121"/>
        <item x="97"/>
        <item x="273"/>
        <item x="83"/>
        <item x="167"/>
        <item x="43"/>
        <item x="227"/>
        <item x="585"/>
        <item x="1"/>
        <item x="130"/>
        <item x="185"/>
        <item x="108"/>
        <item x="586"/>
        <item x="104"/>
        <item x="149"/>
        <item x="187"/>
        <item x="292"/>
        <item x="213"/>
        <item x="103"/>
        <item x="158"/>
        <item x="37"/>
        <item x="257"/>
        <item x="150"/>
        <item x="198"/>
        <item x="223"/>
        <item x="119"/>
        <item x="156"/>
        <item x="577"/>
        <item x="203"/>
        <item x="206"/>
        <item x="105"/>
        <item x="146"/>
        <item x="196"/>
        <item x="113"/>
        <item x="208"/>
        <item x="99"/>
        <item x="94"/>
        <item x="250"/>
        <item x="120"/>
        <item x="179"/>
        <item x="139"/>
        <item x="186"/>
        <item x="115"/>
        <item x="75"/>
        <item x="50"/>
        <item x="44"/>
        <item x="17"/>
        <item x="230"/>
        <item x="259"/>
        <item x="253"/>
        <item x="102"/>
        <item x="78"/>
        <item x="201"/>
        <item x="74"/>
        <item x="220"/>
        <item x="0"/>
        <item x="87"/>
        <item x="35"/>
        <item x="132"/>
        <item x="128"/>
        <item x="22"/>
        <item x="135"/>
        <item x="131"/>
        <item x="236"/>
        <item x="246"/>
        <item x="54"/>
        <item x="211"/>
        <item x="170"/>
        <item x="159"/>
        <item x="40"/>
        <item x="137"/>
        <item x="189"/>
        <item x="248"/>
        <item x="143"/>
        <item x="174"/>
        <item x="79"/>
        <item x="125"/>
        <item x="28"/>
        <item x="583"/>
        <item x="90"/>
        <item x="93"/>
        <item x="29"/>
        <item x="271"/>
        <item x="101"/>
        <item x="157"/>
        <item x="166"/>
        <item x="235"/>
        <item x="48"/>
        <item x="138"/>
        <item x="239"/>
        <item x="188"/>
        <item x="270"/>
        <item x="252"/>
        <item x="578"/>
        <item x="38"/>
        <item x="111"/>
        <item x="10"/>
        <item x="233"/>
        <item x="13"/>
        <item x="106"/>
        <item x="91"/>
        <item x="240"/>
        <item x="285"/>
        <item x="263"/>
        <item x="27"/>
        <item x="275"/>
        <item x="73"/>
        <item x="34"/>
        <item x="80"/>
        <item x="165"/>
        <item x="177"/>
        <item x="96"/>
        <item x="175"/>
        <item x="169"/>
        <item x="582"/>
        <item x="41"/>
        <item x="176"/>
        <item x="66"/>
        <item x="183"/>
        <item x="202"/>
        <item x="152"/>
        <item x="163"/>
        <item x="26"/>
        <item x="64"/>
        <item x="14"/>
        <item x="242"/>
        <item x="30"/>
        <item x="67"/>
        <item x="110"/>
        <item x="8"/>
        <item x="164"/>
        <item x="199"/>
        <item x="162"/>
        <item x="23"/>
        <item x="231"/>
        <item x="49"/>
        <item x="171"/>
        <item x="15"/>
        <item x="184"/>
        <item x="210"/>
        <item x="72"/>
        <item x="76"/>
        <item x="19"/>
        <item x="61"/>
        <item x="16"/>
        <item x="264"/>
        <item x="82"/>
        <item x="133"/>
        <item x="153"/>
        <item x="24"/>
        <item x="7"/>
        <item x="193"/>
        <item x="172"/>
        <item x="39"/>
        <item x="95"/>
        <item x="18"/>
        <item x="140"/>
        <item x="129"/>
        <item x="20"/>
        <item x="168"/>
        <item x="247"/>
        <item x="31"/>
        <item x="60"/>
        <item x="118"/>
        <item x="349"/>
        <item x="468"/>
        <item x="344"/>
        <item x="376"/>
        <item x="549"/>
        <item x="458"/>
        <item x="591"/>
        <item x="497"/>
        <item x="528"/>
        <item x="552"/>
        <item x="534"/>
        <item x="457"/>
        <item x="499"/>
        <item x="383"/>
        <item x="571"/>
        <item x="443"/>
        <item x="475"/>
        <item x="548"/>
        <item x="329"/>
        <item x="340"/>
        <item x="545"/>
        <item x="433"/>
        <item x="307"/>
        <item x="309"/>
        <item x="447"/>
        <item x="442"/>
        <item x="473"/>
        <item x="361"/>
        <item x="555"/>
        <item x="503"/>
        <item x="514"/>
        <item x="513"/>
        <item x="559"/>
        <item x="343"/>
        <item x="589"/>
        <item x="320"/>
        <item x="363"/>
        <item x="379"/>
        <item x="537"/>
        <item x="543"/>
        <item x="359"/>
        <item x="392"/>
        <item x="544"/>
        <item x="494"/>
        <item x="430"/>
        <item x="570"/>
        <item x="560"/>
        <item x="416"/>
        <item x="394"/>
        <item x="411"/>
        <item x="367"/>
        <item x="464"/>
        <item x="449"/>
        <item x="506"/>
        <item x="452"/>
        <item x="336"/>
        <item x="516"/>
        <item x="511"/>
        <item x="357"/>
        <item x="351"/>
        <item x="495"/>
        <item x="524"/>
        <item x="395"/>
        <item x="326"/>
        <item x="305"/>
        <item x="507"/>
        <item x="306"/>
        <item x="520"/>
        <item x="402"/>
        <item x="540"/>
        <item x="295"/>
        <item x="446"/>
        <item x="366"/>
        <item x="546"/>
        <item x="322"/>
        <item x="590"/>
        <item x="380"/>
        <item x="371"/>
        <item x="551"/>
        <item x="451"/>
        <item x="419"/>
        <item x="478"/>
        <item x="485"/>
        <item x="465"/>
        <item x="563"/>
        <item x="333"/>
        <item x="347"/>
        <item x="444"/>
        <item x="374"/>
        <item x="393"/>
        <item x="527"/>
        <item x="387"/>
        <item x="561"/>
        <item x="500"/>
        <item x="523"/>
        <item x="510"/>
        <item x="542"/>
        <item x="294"/>
        <item x="530"/>
        <item x="303"/>
        <item x="296"/>
        <item x="572"/>
        <item x="557"/>
        <item x="324"/>
        <item x="550"/>
        <item x="456"/>
        <item x="594"/>
        <item x="385"/>
        <item x="538"/>
        <item x="454"/>
        <item x="345"/>
        <item x="331"/>
        <item x="304"/>
        <item x="566"/>
        <item x="564"/>
        <item x="435"/>
        <item x="535"/>
        <item x="567"/>
        <item x="312"/>
        <item x="472"/>
        <item x="342"/>
        <item x="341"/>
        <item x="462"/>
        <item x="505"/>
        <item x="455"/>
        <item x="479"/>
        <item x="412"/>
        <item x="533"/>
        <item x="481"/>
        <item x="486"/>
        <item x="364"/>
        <item x="441"/>
        <item x="440"/>
        <item x="335"/>
        <item x="498"/>
        <item x="409"/>
        <item x="496"/>
        <item x="484"/>
        <item x="445"/>
        <item x="377"/>
        <item x="501"/>
        <item x="401"/>
        <item x="369"/>
        <item x="525"/>
        <item x="420"/>
        <item x="429"/>
        <item x="539"/>
        <item x="425"/>
        <item x="469"/>
        <item x="403"/>
        <item x="592"/>
        <item x="565"/>
        <item x="466"/>
        <item x="330"/>
        <item x="531"/>
        <item x="493"/>
        <item x="588"/>
        <item x="515"/>
        <item x="399"/>
        <item x="556"/>
        <item x="421"/>
        <item x="417"/>
        <item x="521"/>
        <item x="529"/>
        <item x="492"/>
        <item x="338"/>
        <item x="471"/>
        <item x="459"/>
        <item x="414"/>
        <item x="536"/>
        <item x="587"/>
        <item x="404"/>
        <item x="476"/>
        <item x="504"/>
        <item x="432"/>
        <item x="321"/>
        <item x="574"/>
        <item x="311"/>
        <item x="373"/>
        <item x="375"/>
        <item x="407"/>
        <item x="350"/>
        <item x="423"/>
        <item x="315"/>
        <item x="353"/>
        <item x="518"/>
        <item x="327"/>
        <item x="553"/>
        <item x="378"/>
        <item x="490"/>
        <item x="316"/>
        <item x="437"/>
        <item x="439"/>
        <item x="302"/>
        <item x="573"/>
        <item x="517"/>
        <item x="310"/>
        <item x="438"/>
        <item x="491"/>
        <item x="317"/>
        <item x="318"/>
        <item x="337"/>
        <item x="299"/>
        <item x="406"/>
        <item x="328"/>
        <item x="368"/>
        <item x="436"/>
        <item x="348"/>
        <item x="487"/>
        <item x="470"/>
        <item x="434"/>
        <item x="489"/>
        <item x="483"/>
        <item x="386"/>
        <item x="415"/>
        <item x="319"/>
        <item x="431"/>
        <item x="502"/>
        <item x="396"/>
        <item x="554"/>
        <item x="358"/>
        <item x="427"/>
        <item x="547"/>
        <item x="575"/>
        <item x="381"/>
        <item x="453"/>
        <item x="362"/>
        <item x="532"/>
        <item x="568"/>
        <item x="391"/>
        <item x="482"/>
        <item x="477"/>
        <item x="354"/>
        <item x="300"/>
        <item x="467"/>
        <item x="339"/>
        <item x="355"/>
        <item x="325"/>
        <item x="360"/>
        <item x="424"/>
        <item x="474"/>
        <item x="413"/>
        <item x="426"/>
        <item x="352"/>
        <item x="480"/>
        <item x="422"/>
        <item x="463"/>
        <item x="397"/>
        <item x="541"/>
        <item x="297"/>
        <item x="323"/>
        <item x="298"/>
        <item x="405"/>
        <item x="356"/>
        <item x="593"/>
        <item x="450"/>
        <item x="314"/>
        <item x="408"/>
        <item x="388"/>
        <item x="372"/>
        <item x="334"/>
        <item x="389"/>
        <item x="390"/>
        <item x="308"/>
        <item x="512"/>
        <item x="508"/>
        <item x="332"/>
        <item x="562"/>
        <item x="365"/>
        <item x="346"/>
        <item x="398"/>
        <item x="488"/>
        <item x="428"/>
        <item x="384"/>
        <item x="569"/>
        <item x="519"/>
        <item x="370"/>
        <item x="301"/>
        <item x="526"/>
        <item x="418"/>
        <item x="558"/>
        <item x="448"/>
        <item x="461"/>
        <item x="410"/>
        <item x="400"/>
        <item x="313"/>
        <item x="460"/>
        <item x="509"/>
        <item x="522"/>
        <item x="38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4"/>
  </colFields>
  <dataFields>
    <dataField name="SUM of Seles_in_selected_currency" fld="8" baseField="0"/>
  </dataFields>
</pivotTableDefinition>
</file>

<file path=xl/pivotTables/pivotTable2.xml><?xml version="1.0" encoding="utf-8"?>
<pivotTableDefinition xmlns="http://schemas.openxmlformats.org/spreadsheetml/2006/main" name="Sales_Analysis_dashboard 2" cacheId="1" dataCaption="" colGrandTotals="0" compact="0" compactData="0">
  <location ref="G1:I3" firstHeaderRow="0" firstDataRow="0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axis="axisCol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dataField="1" compact="0" outline="0" subtotalTop="0" dragToRow="0" dragToCol="0" dragToPage="0" showAll="0" includeNewItemsInFilter="1" defaultSubtotal="0"/>
  </pivotFields>
  <colFields>
    <field x="1"/>
  </colFields>
  <dataFields>
    <dataField name="SUM of Seles_in_selected_currency" fld="8" baseField="0"/>
  </dataFields>
</pivotTableDefinition>
</file>

<file path=xl/pivotTables/pivotTable3.xml><?xml version="1.0" encoding="utf-8"?>
<pivotTableDefinition xmlns="http://schemas.openxmlformats.org/spreadsheetml/2006/main" name="Sales_Analysis_dashboard 3" cacheId="2" dataCaption="" compact="0" compactData="0">
  <location ref="G7:H12" firstHeaderRow="0" firstDataRow="1" firstDataCol="0" rowPageCount="1" colPageCount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axis="axisP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4"/>
  </rowFields>
  <pageFields>
    <pageField fld="1"/>
  </pageFields>
  <dataFields>
    <dataField name="SUM of Sales_in_selected_currency" fld="8" baseField="0"/>
  </dataFields>
</pivotTableDefinition>
</file>

<file path=xl/pivotTables/pivotTable4.xml><?xml version="1.0" encoding="utf-8"?>
<pivotTableDefinition xmlns="http://schemas.openxmlformats.org/spreadsheetml/2006/main" name="Sales_Analysis_dashboard 4" cacheId="2" dataCaption="" compact="0" compactData="0">
  <location ref="K7:L11" firstHeaderRow="0" firstDataRow="1" firstDataCol="0" rowPageCount="1" colPageCount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axis="axisP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pageFields>
    <pageField fld="1"/>
  </pageFields>
  <dataFields>
    <dataField name="SUM of Sales_in_selected_currency" fld="8" baseField="0"/>
  </dataFields>
</pivotTableDefinition>
</file>

<file path=xl/pivotTables/pivotTable5.xml><?xml version="1.0" encoding="utf-8"?>
<pivotTableDefinition xmlns="http://schemas.openxmlformats.org/spreadsheetml/2006/main" name="Sales_Analysis_dashboard 5" cacheId="2" dataCaption="" compact="0" compactData="0">
  <location ref="G15:H2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compact="0" outline="0" subtotalTop="0" dragToRow="0" dragToCol="0" dragToPage="0" showAll="0" includeNewItemsInFilter="1" defaultSubtotal="0"/>
  </pivotFields>
  <rowFields>
    <field x="4"/>
  </rowFields>
  <dataFields>
    <dataField name="SUM of Quantity" fld="6" baseField="0"/>
  </dataFields>
</pivotTableDefinition>
</file>

<file path=xl/pivotTables/pivotTable6.xml><?xml version="1.0" encoding="utf-8"?>
<pivotTableDefinition xmlns="http://schemas.openxmlformats.org/spreadsheetml/2006/main" name="Sales_Analysis_dashboard 6" cacheId="2" dataCaption="" rowGrandTotals="0" createdVersion="6" compact="0" compactData="0">
  <location ref="G23:H31" firstHeaderRow="0" firstDataRow="1" firstDataCol="0" rowPageCount="1" colPageCount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name="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compact="0" outline="0" subtotalTop="0" dragToRow="0" dragToCol="0" dragToPage="0" showAll="0" includeNewItemsInFilter="1" defaultSubtotal="0"/>
  </pivotFields>
  <rowFields>
    <field x="2"/>
  </rowFields>
  <pageFields>
    <pageField fld="5"/>
  </pageFields>
  <dataFields>
    <dataField name="SUM of Sales" fld="5" baseField="0"/>
  </dataFields>
  <filters>
    <filter fld="5" type="captionGreaterThanOrEqual" evalOrder="-1" id="1" stringValue1="3000">
      <autoFilter ref="A1">
        <filterColumn colId="0">
          <customFilters>
            <customFilter operator="greaterThanOrEqual" val="30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headerRowCount="0" ref="A1:Z2008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Аркуш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.89"/>
    <col customWidth="1" min="2" max="2" width="90.89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3"/>
      <c r="B3" s="3" t="s">
        <v>3</v>
      </c>
    </row>
    <row r="4">
      <c r="A4" s="2"/>
      <c r="B4" s="2"/>
    </row>
    <row r="5">
      <c r="A5" s="2"/>
      <c r="B5" s="2"/>
    </row>
    <row r="6">
      <c r="A6" s="4" t="s">
        <v>4</v>
      </c>
    </row>
    <row r="7">
      <c r="A7" s="2" t="s">
        <v>1</v>
      </c>
      <c r="B7" s="3" t="s">
        <v>5</v>
      </c>
    </row>
  </sheetData>
  <mergeCells count="2">
    <mergeCell ref="A1:B1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5.0"/>
    <col customWidth="1" min="2" max="2" width="12.67"/>
    <col customWidth="1" min="3" max="3" width="20.33"/>
    <col customWidth="1" min="4" max="4" width="14.33"/>
    <col customWidth="1" min="5" max="5" width="9.0"/>
    <col customWidth="1" min="6" max="6" width="8.22"/>
    <col customWidth="1" min="7" max="7" width="10.67"/>
    <col customWidth="1" min="8" max="8" width="10.44"/>
  </cols>
  <sheetData>
    <row r="1">
      <c r="A1" s="5" t="s">
        <v>6</v>
      </c>
      <c r="B1" s="6" t="s">
        <v>7</v>
      </c>
      <c r="C1" s="5" t="s">
        <v>8</v>
      </c>
      <c r="D1" s="5" t="s">
        <v>9</v>
      </c>
      <c r="E1" s="5" t="s">
        <v>10</v>
      </c>
      <c r="F1" s="7" t="s">
        <v>11</v>
      </c>
      <c r="G1" s="5" t="s">
        <v>12</v>
      </c>
      <c r="H1" s="5" t="s">
        <v>13</v>
      </c>
    </row>
    <row r="2">
      <c r="A2" s="8" t="str">
        <f>IFERROR(__xludf.DUMMYFUNCTION("sort({IMPORTRANGE(""https://docs.google.com/spreadsheets/d/1K6yazuSPh0rhQ9JZqjfJS2bqh3DgoITDk7IxlXcWLAo/edit?gid=0#gid=0"",""Аркуш1!A2:H"");IMPORTRANGE(""https://docs.google.com/spreadsheets/d/1uCsOgD-Q7rpSplH2_-k8P3W1j1GHmoERFA5f_l_1huk/edit?gid=0#gid=0"&amp;""",""Аркуш1!A2:H"");IMPORTRANGE(""https://docs.google.com/spreadsheets/d/1PVDfJUTeRc8vcfp-5_wWW0vy80BNPBaGTribdZTgVYo/edit?gid=0#gid=0"",""Аркуш1!A2:H"");IMPORTRANGE(""https://docs.google.com/spreadsheets/d/163ZiS3ZF8QXJinO00F89KdOw70aZvU3xy0-5vaqRkG0/edi"&amp;"t?gid=0#gid=0"",""Аркуш1!A2:H"")},1,TRue)"),"CA-2014-100006")</f>
        <v>CA-2014-100006</v>
      </c>
      <c r="B2" s="9">
        <f>IFERROR(__xludf.DUMMYFUNCTION("""COMPUTED_VALUE"""),41889.0)</f>
        <v>41889</v>
      </c>
      <c r="C2" s="8" t="str">
        <f>IFERROR(__xludf.DUMMYFUNCTION("""COMPUTED_VALUE"""),"Consumer")</f>
        <v>Consumer</v>
      </c>
      <c r="D2" s="8" t="str">
        <f>IFERROR(__xludf.DUMMYFUNCTION("""COMPUTED_VALUE"""),"New York")</f>
        <v>New York</v>
      </c>
      <c r="E2" s="8" t="str">
        <f>IFERROR(__xludf.DUMMYFUNCTION("""COMPUTED_VALUE"""),"East")</f>
        <v>East</v>
      </c>
      <c r="F2" s="10">
        <f>IFERROR(__xludf.DUMMYFUNCTION("""COMPUTED_VALUE"""),377.97)</f>
        <v>377.97</v>
      </c>
      <c r="G2" s="11">
        <f>IFERROR(__xludf.DUMMYFUNCTION("""COMPUTED_VALUE"""),3.0)</f>
        <v>3</v>
      </c>
      <c r="H2" s="11">
        <f>IFERROR(__xludf.DUMMYFUNCTION("""COMPUTED_VALUE"""),109.6113)</f>
        <v>109.6113</v>
      </c>
      <c r="AH2" s="12"/>
    </row>
    <row r="3">
      <c r="A3" s="8" t="str">
        <f>IFERROR(__xludf.DUMMYFUNCTION("""COMPUTED_VALUE"""),"CA-2014-100090")</f>
        <v>CA-2014-100090</v>
      </c>
      <c r="B3" s="9">
        <f>IFERROR(__xludf.DUMMYFUNCTION("""COMPUTED_VALUE"""),41828.0)</f>
        <v>41828</v>
      </c>
      <c r="C3" s="8" t="str">
        <f>IFERROR(__xludf.DUMMYFUNCTION("""COMPUTED_VALUE"""),"Corporate")</f>
        <v>Corporate</v>
      </c>
      <c r="D3" s="8" t="str">
        <f>IFERROR(__xludf.DUMMYFUNCTION("""COMPUTED_VALUE"""),"California")</f>
        <v>California</v>
      </c>
      <c r="E3" s="8" t="str">
        <f>IFERROR(__xludf.DUMMYFUNCTION("""COMPUTED_VALUE"""),"West")</f>
        <v>West</v>
      </c>
      <c r="F3" s="10">
        <f>IFERROR(__xludf.DUMMYFUNCTION("""COMPUTED_VALUE"""),502.488)</f>
        <v>502.488</v>
      </c>
      <c r="G3" s="11">
        <f>IFERROR(__xludf.DUMMYFUNCTION("""COMPUTED_VALUE"""),3.0)</f>
        <v>3</v>
      </c>
      <c r="H3" s="11">
        <f>IFERROR(__xludf.DUMMYFUNCTION("""COMPUTED_VALUE"""),-87.9354)</f>
        <v>-87.9354</v>
      </c>
    </row>
    <row r="4">
      <c r="A4" s="8" t="str">
        <f>IFERROR(__xludf.DUMMYFUNCTION("""COMPUTED_VALUE"""),"CA-2014-100293")</f>
        <v>CA-2014-100293</v>
      </c>
      <c r="B4" s="9">
        <f>IFERROR(__xludf.DUMMYFUNCTION("""COMPUTED_VALUE"""),41712.0)</f>
        <v>41712</v>
      </c>
      <c r="C4" s="8" t="str">
        <f>IFERROR(__xludf.DUMMYFUNCTION("""COMPUTED_VALUE"""),"Home Office")</f>
        <v>Home Office</v>
      </c>
      <c r="D4" s="8" t="str">
        <f>IFERROR(__xludf.DUMMYFUNCTION("""COMPUTED_VALUE"""),"Florida")</f>
        <v>Florida</v>
      </c>
      <c r="E4" s="8" t="str">
        <f>IFERROR(__xludf.DUMMYFUNCTION("""COMPUTED_VALUE"""),"South")</f>
        <v>South</v>
      </c>
      <c r="F4" s="10">
        <f>IFERROR(__xludf.DUMMYFUNCTION("""COMPUTED_VALUE"""),91.056)</f>
        <v>91.056</v>
      </c>
      <c r="G4" s="11">
        <f>IFERROR(__xludf.DUMMYFUNCTION("""COMPUTED_VALUE"""),6.0)</f>
        <v>6</v>
      </c>
      <c r="H4" s="11">
        <f>IFERROR(__xludf.DUMMYFUNCTION("""COMPUTED_VALUE"""),31.8696)</f>
        <v>31.8696</v>
      </c>
    </row>
    <row r="5">
      <c r="A5" s="8" t="str">
        <f>IFERROR(__xludf.DUMMYFUNCTION("""COMPUTED_VALUE"""),"CA-2014-100328")</f>
        <v>CA-2014-100328</v>
      </c>
      <c r="B5" s="9">
        <f>IFERROR(__xludf.DUMMYFUNCTION("""COMPUTED_VALUE"""),41667.0)</f>
        <v>41667</v>
      </c>
      <c r="C5" s="8" t="str">
        <f>IFERROR(__xludf.DUMMYFUNCTION("""COMPUTED_VALUE"""),"Consumer")</f>
        <v>Consumer</v>
      </c>
      <c r="D5" s="8" t="str">
        <f>IFERROR(__xludf.DUMMYFUNCTION("""COMPUTED_VALUE"""),"New York")</f>
        <v>New York</v>
      </c>
      <c r="E5" s="8" t="str">
        <f>IFERROR(__xludf.DUMMYFUNCTION("""COMPUTED_VALUE"""),"East")</f>
        <v>East</v>
      </c>
      <c r="F5" s="10">
        <f>IFERROR(__xludf.DUMMYFUNCTION("""COMPUTED_VALUE"""),3.928)</f>
        <v>3.928</v>
      </c>
      <c r="G5" s="11">
        <f>IFERROR(__xludf.DUMMYFUNCTION("""COMPUTED_VALUE"""),1.0)</f>
        <v>1</v>
      </c>
      <c r="H5" s="11">
        <f>IFERROR(__xludf.DUMMYFUNCTION("""COMPUTED_VALUE"""),1.3257)</f>
        <v>1.3257</v>
      </c>
    </row>
    <row r="6">
      <c r="A6" s="8" t="str">
        <f>IFERROR(__xludf.DUMMYFUNCTION("""COMPUTED_VALUE"""),"CA-2014-100363")</f>
        <v>CA-2014-100363</v>
      </c>
      <c r="B6" s="9">
        <f>IFERROR(__xludf.DUMMYFUNCTION("""COMPUTED_VALUE"""),41737.0)</f>
        <v>41737</v>
      </c>
      <c r="C6" s="8" t="str">
        <f>IFERROR(__xludf.DUMMYFUNCTION("""COMPUTED_VALUE"""),"Corporate")</f>
        <v>Corporate</v>
      </c>
      <c r="D6" s="8" t="str">
        <f>IFERROR(__xludf.DUMMYFUNCTION("""COMPUTED_VALUE"""),"Arizona")</f>
        <v>Arizona</v>
      </c>
      <c r="E6" s="8" t="str">
        <f>IFERROR(__xludf.DUMMYFUNCTION("""COMPUTED_VALUE"""),"West")</f>
        <v>West</v>
      </c>
      <c r="F6" s="10">
        <f>IFERROR(__xludf.DUMMYFUNCTION("""COMPUTED_VALUE"""),2.368)</f>
        <v>2.368</v>
      </c>
      <c r="G6" s="11">
        <f>IFERROR(__xludf.DUMMYFUNCTION("""COMPUTED_VALUE"""),2.0)</f>
        <v>2</v>
      </c>
      <c r="H6" s="11">
        <f>IFERROR(__xludf.DUMMYFUNCTION("""COMPUTED_VALUE"""),0.8288)</f>
        <v>0.8288</v>
      </c>
    </row>
    <row r="7">
      <c r="A7" s="8" t="str">
        <f>IFERROR(__xludf.DUMMYFUNCTION("""COMPUTED_VALUE"""),"CA-2014-100391")</f>
        <v>CA-2014-100391</v>
      </c>
      <c r="B7" s="9">
        <f>IFERROR(__xludf.DUMMYFUNCTION("""COMPUTED_VALUE"""),41784.0)</f>
        <v>41784</v>
      </c>
      <c r="C7" s="8" t="str">
        <f>IFERROR(__xludf.DUMMYFUNCTION("""COMPUTED_VALUE"""),"Consumer")</f>
        <v>Consumer</v>
      </c>
      <c r="D7" s="8" t="str">
        <f>IFERROR(__xludf.DUMMYFUNCTION("""COMPUTED_VALUE"""),"New York")</f>
        <v>New York</v>
      </c>
      <c r="E7" s="8" t="str">
        <f>IFERROR(__xludf.DUMMYFUNCTION("""COMPUTED_VALUE"""),"East")</f>
        <v>East</v>
      </c>
      <c r="F7" s="10">
        <f>IFERROR(__xludf.DUMMYFUNCTION("""COMPUTED_VALUE"""),14.62)</f>
        <v>14.62</v>
      </c>
      <c r="G7" s="11">
        <f>IFERROR(__xludf.DUMMYFUNCTION("""COMPUTED_VALUE"""),2.0)</f>
        <v>2</v>
      </c>
      <c r="H7" s="11">
        <f>IFERROR(__xludf.DUMMYFUNCTION("""COMPUTED_VALUE"""),6.7252)</f>
        <v>6.7252</v>
      </c>
    </row>
    <row r="8">
      <c r="A8" s="8" t="str">
        <f>IFERROR(__xludf.DUMMYFUNCTION("""COMPUTED_VALUE"""),"CA-2014-100678")</f>
        <v>CA-2014-100678</v>
      </c>
      <c r="B8" s="9">
        <f>IFERROR(__xludf.DUMMYFUNCTION("""COMPUTED_VALUE"""),41747.0)</f>
        <v>41747</v>
      </c>
      <c r="C8" s="8" t="str">
        <f>IFERROR(__xludf.DUMMYFUNCTION("""COMPUTED_VALUE"""),"Consumer")</f>
        <v>Consumer</v>
      </c>
      <c r="D8" s="8" t="str">
        <f>IFERROR(__xludf.DUMMYFUNCTION("""COMPUTED_VALUE"""),"Texas")</f>
        <v>Texas</v>
      </c>
      <c r="E8" s="8" t="str">
        <f>IFERROR(__xludf.DUMMYFUNCTION("""COMPUTED_VALUE"""),"Central")</f>
        <v>Central</v>
      </c>
      <c r="F8" s="10">
        <f>IFERROR(__xludf.DUMMYFUNCTION("""COMPUTED_VALUE"""),2.688)</f>
        <v>2.688</v>
      </c>
      <c r="G8" s="11">
        <f>IFERROR(__xludf.DUMMYFUNCTION("""COMPUTED_VALUE"""),2.0)</f>
        <v>2</v>
      </c>
      <c r="H8" s="11">
        <f>IFERROR(__xludf.DUMMYFUNCTION("""COMPUTED_VALUE"""),1.008)</f>
        <v>1.008</v>
      </c>
    </row>
    <row r="9">
      <c r="A9" s="8" t="str">
        <f>IFERROR(__xludf.DUMMYFUNCTION("""COMPUTED_VALUE"""),"CA-2014-100706")</f>
        <v>CA-2014-100706</v>
      </c>
      <c r="B9" s="9">
        <f>IFERROR(__xludf.DUMMYFUNCTION("""COMPUTED_VALUE"""),41989.0)</f>
        <v>41989</v>
      </c>
      <c r="C9" s="8" t="str">
        <f>IFERROR(__xludf.DUMMYFUNCTION("""COMPUTED_VALUE"""),"Consumer")</f>
        <v>Consumer</v>
      </c>
      <c r="D9" s="8" t="str">
        <f>IFERROR(__xludf.DUMMYFUNCTION("""COMPUTED_VALUE"""),"Virginia")</f>
        <v>Virginia</v>
      </c>
      <c r="E9" s="8" t="str">
        <f>IFERROR(__xludf.DUMMYFUNCTION("""COMPUTED_VALUE"""),"South")</f>
        <v>South</v>
      </c>
      <c r="F9" s="10">
        <f>IFERROR(__xludf.DUMMYFUNCTION("""COMPUTED_VALUE"""),99.98)</f>
        <v>99.98</v>
      </c>
      <c r="G9" s="11">
        <f>IFERROR(__xludf.DUMMYFUNCTION("""COMPUTED_VALUE"""),2.0)</f>
        <v>2</v>
      </c>
      <c r="H9" s="11">
        <f>IFERROR(__xludf.DUMMYFUNCTION("""COMPUTED_VALUE"""),7.9984)</f>
        <v>7.9984</v>
      </c>
    </row>
    <row r="10">
      <c r="A10" s="8" t="str">
        <f>IFERROR(__xludf.DUMMYFUNCTION("""COMPUTED_VALUE"""),"CA-2014-100762")</f>
        <v>CA-2014-100762</v>
      </c>
      <c r="B10" s="9">
        <f>IFERROR(__xludf.DUMMYFUNCTION("""COMPUTED_VALUE"""),41967.0)</f>
        <v>41967</v>
      </c>
      <c r="C10" s="8" t="str">
        <f>IFERROR(__xludf.DUMMYFUNCTION("""COMPUTED_VALUE"""),"Corporate")</f>
        <v>Corporate</v>
      </c>
      <c r="D10" s="8" t="str">
        <f>IFERROR(__xludf.DUMMYFUNCTION("""COMPUTED_VALUE"""),"Michigan")</f>
        <v>Michigan</v>
      </c>
      <c r="E10" s="8" t="str">
        <f>IFERROR(__xludf.DUMMYFUNCTION("""COMPUTED_VALUE"""),"Central")</f>
        <v>Central</v>
      </c>
      <c r="F10" s="10">
        <f>IFERROR(__xludf.DUMMYFUNCTION("""COMPUTED_VALUE"""),151.92)</f>
        <v>151.92</v>
      </c>
      <c r="G10" s="11">
        <f>IFERROR(__xludf.DUMMYFUNCTION("""COMPUTED_VALUE"""),4.0)</f>
        <v>4</v>
      </c>
      <c r="H10" s="11">
        <f>IFERROR(__xludf.DUMMYFUNCTION("""COMPUTED_VALUE"""),45.576)</f>
        <v>45.576</v>
      </c>
    </row>
    <row r="11">
      <c r="A11" s="8" t="str">
        <f>IFERROR(__xludf.DUMMYFUNCTION("""COMPUTED_VALUE"""),"CA-2014-100860")</f>
        <v>CA-2014-100860</v>
      </c>
      <c r="B11" s="9">
        <f>IFERROR(__xludf.DUMMYFUNCTION("""COMPUTED_VALUE"""),41724.0)</f>
        <v>41724</v>
      </c>
      <c r="C11" s="8" t="str">
        <f>IFERROR(__xludf.DUMMYFUNCTION("""COMPUTED_VALUE"""),"Consumer")</f>
        <v>Consumer</v>
      </c>
      <c r="D11" s="8" t="str">
        <f>IFERROR(__xludf.DUMMYFUNCTION("""COMPUTED_VALUE"""),"California")</f>
        <v>California</v>
      </c>
      <c r="E11" s="8" t="str">
        <f>IFERROR(__xludf.DUMMYFUNCTION("""COMPUTED_VALUE"""),"West")</f>
        <v>West</v>
      </c>
      <c r="F11" s="10">
        <f>IFERROR(__xludf.DUMMYFUNCTION("""COMPUTED_VALUE"""),18.75)</f>
        <v>18.75</v>
      </c>
      <c r="G11" s="11">
        <f>IFERROR(__xludf.DUMMYFUNCTION("""COMPUTED_VALUE"""),5.0)</f>
        <v>5</v>
      </c>
      <c r="H11" s="11">
        <f>IFERROR(__xludf.DUMMYFUNCTION("""COMPUTED_VALUE"""),9.0)</f>
        <v>9</v>
      </c>
    </row>
    <row r="12">
      <c r="A12" s="8" t="str">
        <f>IFERROR(__xludf.DUMMYFUNCTION("""COMPUTED_VALUE"""),"CA-2014-100867")</f>
        <v>CA-2014-100867</v>
      </c>
      <c r="B12" s="9">
        <f>IFERROR(__xludf.DUMMYFUNCTION("""COMPUTED_VALUE"""),41931.0)</f>
        <v>41931</v>
      </c>
      <c r="C12" s="8" t="str">
        <f>IFERROR(__xludf.DUMMYFUNCTION("""COMPUTED_VALUE"""),"Home Office")</f>
        <v>Home Office</v>
      </c>
      <c r="D12" s="8" t="str">
        <f>IFERROR(__xludf.DUMMYFUNCTION("""COMPUTED_VALUE"""),"California")</f>
        <v>California</v>
      </c>
      <c r="E12" s="8" t="str">
        <f>IFERROR(__xludf.DUMMYFUNCTION("""COMPUTED_VALUE"""),"West")</f>
        <v>West</v>
      </c>
      <c r="F12" s="10">
        <f>IFERROR(__xludf.DUMMYFUNCTION("""COMPUTED_VALUE"""),321.552)</f>
        <v>321.552</v>
      </c>
      <c r="G12" s="11">
        <f>IFERROR(__xludf.DUMMYFUNCTION("""COMPUTED_VALUE"""),6.0)</f>
        <v>6</v>
      </c>
      <c r="H12" s="11">
        <f>IFERROR(__xludf.DUMMYFUNCTION("""COMPUTED_VALUE"""),20.097)</f>
        <v>20.097</v>
      </c>
    </row>
    <row r="13">
      <c r="A13" s="8" t="str">
        <f>IFERROR(__xludf.DUMMYFUNCTION("""COMPUTED_VALUE"""),"CA-2014-100881")</f>
        <v>CA-2014-100881</v>
      </c>
      <c r="B13" s="9">
        <f>IFERROR(__xludf.DUMMYFUNCTION("""COMPUTED_VALUE"""),41726.0)</f>
        <v>41726</v>
      </c>
      <c r="C13" s="8" t="str">
        <f>IFERROR(__xludf.DUMMYFUNCTION("""COMPUTED_VALUE"""),"Home Office")</f>
        <v>Home Office</v>
      </c>
      <c r="D13" s="8" t="str">
        <f>IFERROR(__xludf.DUMMYFUNCTION("""COMPUTED_VALUE"""),"New Mexico")</f>
        <v>New Mexico</v>
      </c>
      <c r="E13" s="8" t="str">
        <f>IFERROR(__xludf.DUMMYFUNCTION("""COMPUTED_VALUE"""),"West")</f>
        <v>West</v>
      </c>
      <c r="F13" s="10">
        <f>IFERROR(__xludf.DUMMYFUNCTION("""COMPUTED_VALUE"""),302.376)</f>
        <v>302.376</v>
      </c>
      <c r="G13" s="11">
        <f>IFERROR(__xludf.DUMMYFUNCTION("""COMPUTED_VALUE"""),3.0)</f>
        <v>3</v>
      </c>
      <c r="H13" s="11">
        <f>IFERROR(__xludf.DUMMYFUNCTION("""COMPUTED_VALUE"""),22.6782)</f>
        <v>22.6782</v>
      </c>
    </row>
    <row r="14">
      <c r="A14" s="8" t="str">
        <f>IFERROR(__xludf.DUMMYFUNCTION("""COMPUTED_VALUE"""),"CA-2014-100895")</f>
        <v>CA-2014-100895</v>
      </c>
      <c r="B14" s="9">
        <f>IFERROR(__xludf.DUMMYFUNCTION("""COMPUTED_VALUE"""),41792.0)</f>
        <v>41792</v>
      </c>
      <c r="C14" s="8" t="str">
        <f>IFERROR(__xludf.DUMMYFUNCTION("""COMPUTED_VALUE"""),"Consumer")</f>
        <v>Consumer</v>
      </c>
      <c r="D14" s="8" t="str">
        <f>IFERROR(__xludf.DUMMYFUNCTION("""COMPUTED_VALUE"""),"Georgia")</f>
        <v>Georgia</v>
      </c>
      <c r="E14" s="8" t="str">
        <f>IFERROR(__xludf.DUMMYFUNCTION("""COMPUTED_VALUE"""),"South")</f>
        <v>South</v>
      </c>
      <c r="F14" s="10">
        <f>IFERROR(__xludf.DUMMYFUNCTION("""COMPUTED_VALUE"""),8.56)</f>
        <v>8.56</v>
      </c>
      <c r="G14" s="11">
        <f>IFERROR(__xludf.DUMMYFUNCTION("""COMPUTED_VALUE"""),2.0)</f>
        <v>2</v>
      </c>
      <c r="H14" s="11">
        <f>IFERROR(__xludf.DUMMYFUNCTION("""COMPUTED_VALUE"""),2.6536)</f>
        <v>2.6536</v>
      </c>
    </row>
    <row r="15">
      <c r="A15" s="8" t="str">
        <f>IFERROR(__xludf.DUMMYFUNCTION("""COMPUTED_VALUE"""),"CA-2014-100916")</f>
        <v>CA-2014-100916</v>
      </c>
      <c r="B15" s="9">
        <f>IFERROR(__xludf.DUMMYFUNCTION("""COMPUTED_VALUE"""),41933.0)</f>
        <v>41933</v>
      </c>
      <c r="C15" s="8" t="str">
        <f>IFERROR(__xludf.DUMMYFUNCTION("""COMPUTED_VALUE"""),"Corporate")</f>
        <v>Corporate</v>
      </c>
      <c r="D15" s="8" t="str">
        <f>IFERROR(__xludf.DUMMYFUNCTION("""COMPUTED_VALUE"""),"Virginia")</f>
        <v>Virginia</v>
      </c>
      <c r="E15" s="8" t="str">
        <f>IFERROR(__xludf.DUMMYFUNCTION("""COMPUTED_VALUE"""),"South")</f>
        <v>South</v>
      </c>
      <c r="F15" s="10">
        <f>IFERROR(__xludf.DUMMYFUNCTION("""COMPUTED_VALUE"""),194.7)</f>
        <v>194.7</v>
      </c>
      <c r="G15" s="11">
        <f>IFERROR(__xludf.DUMMYFUNCTION("""COMPUTED_VALUE"""),5.0)</f>
        <v>5</v>
      </c>
      <c r="H15" s="11">
        <f>IFERROR(__xludf.DUMMYFUNCTION("""COMPUTED_VALUE"""),9.735)</f>
        <v>9.735</v>
      </c>
    </row>
    <row r="16">
      <c r="A16" s="8" t="str">
        <f>IFERROR(__xludf.DUMMYFUNCTION("""COMPUTED_VALUE"""),"CA-2014-100972")</f>
        <v>CA-2014-100972</v>
      </c>
      <c r="B16" s="9">
        <f>IFERROR(__xludf.DUMMYFUNCTION("""COMPUTED_VALUE"""),41962.0)</f>
        <v>41962</v>
      </c>
      <c r="C16" s="8" t="str">
        <f>IFERROR(__xludf.DUMMYFUNCTION("""COMPUTED_VALUE"""),"Home Office")</f>
        <v>Home Office</v>
      </c>
      <c r="D16" s="8" t="str">
        <f>IFERROR(__xludf.DUMMYFUNCTION("""COMPUTED_VALUE"""),"Utah")</f>
        <v>Utah</v>
      </c>
      <c r="E16" s="8" t="str">
        <f>IFERROR(__xludf.DUMMYFUNCTION("""COMPUTED_VALUE"""),"West")</f>
        <v>West</v>
      </c>
      <c r="F16" s="10">
        <f>IFERROR(__xludf.DUMMYFUNCTION("""COMPUTED_VALUE"""),166.44)</f>
        <v>166.44</v>
      </c>
      <c r="G16" s="11">
        <f>IFERROR(__xludf.DUMMYFUNCTION("""COMPUTED_VALUE"""),3.0)</f>
        <v>3</v>
      </c>
      <c r="H16" s="11">
        <f>IFERROR(__xludf.DUMMYFUNCTION("""COMPUTED_VALUE"""),79.8912)</f>
        <v>79.8912</v>
      </c>
    </row>
    <row r="17">
      <c r="A17" s="8" t="str">
        <f>IFERROR(__xludf.DUMMYFUNCTION("""COMPUTED_VALUE"""),"CA-2014-101147")</f>
        <v>CA-2014-101147</v>
      </c>
      <c r="B17" s="9">
        <f>IFERROR(__xludf.DUMMYFUNCTION("""COMPUTED_VALUE"""),41975.0)</f>
        <v>41975</v>
      </c>
      <c r="C17" s="8" t="str">
        <f>IFERROR(__xludf.DUMMYFUNCTION("""COMPUTED_VALUE"""),"Consumer")</f>
        <v>Consumer</v>
      </c>
      <c r="D17" s="8" t="str">
        <f>IFERROR(__xludf.DUMMYFUNCTION("""COMPUTED_VALUE"""),"Illinois")</f>
        <v>Illinois</v>
      </c>
      <c r="E17" s="8" t="str">
        <f>IFERROR(__xludf.DUMMYFUNCTION("""COMPUTED_VALUE"""),"Central")</f>
        <v>Central</v>
      </c>
      <c r="F17" s="10">
        <f>IFERROR(__xludf.DUMMYFUNCTION("""COMPUTED_VALUE"""),2.394)</f>
        <v>2.394</v>
      </c>
      <c r="G17" s="11">
        <f>IFERROR(__xludf.DUMMYFUNCTION("""COMPUTED_VALUE"""),1.0)</f>
        <v>1</v>
      </c>
      <c r="H17" s="11">
        <f>IFERROR(__xludf.DUMMYFUNCTION("""COMPUTED_VALUE"""),-6.3441)</f>
        <v>-6.3441</v>
      </c>
    </row>
    <row r="18">
      <c r="A18" s="8" t="str">
        <f>IFERROR(__xludf.DUMMYFUNCTION("""COMPUTED_VALUE"""),"CA-2014-101175")</f>
        <v>CA-2014-101175</v>
      </c>
      <c r="B18" s="9">
        <f>IFERROR(__xludf.DUMMYFUNCTION("""COMPUTED_VALUE"""),41982.0)</f>
        <v>41982</v>
      </c>
      <c r="C18" s="8" t="str">
        <f>IFERROR(__xludf.DUMMYFUNCTION("""COMPUTED_VALUE"""),"Corporate")</f>
        <v>Corporate</v>
      </c>
      <c r="D18" s="8" t="str">
        <f>IFERROR(__xludf.DUMMYFUNCTION("""COMPUTED_VALUE"""),"Arizona")</f>
        <v>Arizona</v>
      </c>
      <c r="E18" s="8" t="str">
        <f>IFERROR(__xludf.DUMMYFUNCTION("""COMPUTED_VALUE"""),"West")</f>
        <v>West</v>
      </c>
      <c r="F18" s="10">
        <f>IFERROR(__xludf.DUMMYFUNCTION("""COMPUTED_VALUE"""),100.704)</f>
        <v>100.704</v>
      </c>
      <c r="G18" s="11">
        <f>IFERROR(__xludf.DUMMYFUNCTION("""COMPUTED_VALUE"""),6.0)</f>
        <v>6</v>
      </c>
      <c r="H18" s="11">
        <f>IFERROR(__xludf.DUMMYFUNCTION("""COMPUTED_VALUE"""),-1.2588)</f>
        <v>-1.2588</v>
      </c>
    </row>
    <row r="19">
      <c r="A19" s="8" t="str">
        <f>IFERROR(__xludf.DUMMYFUNCTION("""COMPUTED_VALUE"""),"CA-2014-101266")</f>
        <v>CA-2014-101266</v>
      </c>
      <c r="B19" s="9">
        <f>IFERROR(__xludf.DUMMYFUNCTION("""COMPUTED_VALUE"""),41878.0)</f>
        <v>41878</v>
      </c>
      <c r="C19" s="8" t="str">
        <f>IFERROR(__xludf.DUMMYFUNCTION("""COMPUTED_VALUE"""),"Consumer")</f>
        <v>Consumer</v>
      </c>
      <c r="D19" s="8" t="str">
        <f>IFERROR(__xludf.DUMMYFUNCTION("""COMPUTED_VALUE"""),"Virginia")</f>
        <v>Virginia</v>
      </c>
      <c r="E19" s="8" t="str">
        <f>IFERROR(__xludf.DUMMYFUNCTION("""COMPUTED_VALUE"""),"South")</f>
        <v>South</v>
      </c>
      <c r="F19" s="10">
        <f>IFERROR(__xludf.DUMMYFUNCTION("""COMPUTED_VALUE"""),13.36)</f>
        <v>13.36</v>
      </c>
      <c r="G19" s="11">
        <f>IFERROR(__xludf.DUMMYFUNCTION("""COMPUTED_VALUE"""),2.0)</f>
        <v>2</v>
      </c>
      <c r="H19" s="11">
        <f>IFERROR(__xludf.DUMMYFUNCTION("""COMPUTED_VALUE"""),6.4128)</f>
        <v>6.4128</v>
      </c>
    </row>
    <row r="20">
      <c r="A20" s="8" t="str">
        <f>IFERROR(__xludf.DUMMYFUNCTION("""COMPUTED_VALUE"""),"CA-2014-101364")</f>
        <v>CA-2014-101364</v>
      </c>
      <c r="B20" s="9">
        <f>IFERROR(__xludf.DUMMYFUNCTION("""COMPUTED_VALUE"""),41995.0)</f>
        <v>41995</v>
      </c>
      <c r="C20" s="8" t="str">
        <f>IFERROR(__xludf.DUMMYFUNCTION("""COMPUTED_VALUE"""),"Home Office")</f>
        <v>Home Office</v>
      </c>
      <c r="D20" s="8" t="str">
        <f>IFERROR(__xludf.DUMMYFUNCTION("""COMPUTED_VALUE"""),"New York")</f>
        <v>New York</v>
      </c>
      <c r="E20" s="8" t="str">
        <f>IFERROR(__xludf.DUMMYFUNCTION("""COMPUTED_VALUE"""),"East")</f>
        <v>East</v>
      </c>
      <c r="F20" s="10">
        <f>IFERROR(__xludf.DUMMYFUNCTION("""COMPUTED_VALUE"""),296.712)</f>
        <v>296.712</v>
      </c>
      <c r="G20" s="11">
        <f>IFERROR(__xludf.DUMMYFUNCTION("""COMPUTED_VALUE"""),13.0)</f>
        <v>13</v>
      </c>
      <c r="H20" s="11">
        <f>IFERROR(__xludf.DUMMYFUNCTION("""COMPUTED_VALUE"""),100.1403)</f>
        <v>100.1403</v>
      </c>
    </row>
    <row r="21">
      <c r="A21" s="8" t="str">
        <f>IFERROR(__xludf.DUMMYFUNCTION("""COMPUTED_VALUE"""),"CA-2014-101392")</f>
        <v>CA-2014-101392</v>
      </c>
      <c r="B21" s="9">
        <f>IFERROR(__xludf.DUMMYFUNCTION("""COMPUTED_VALUE"""),41980.0)</f>
        <v>41980</v>
      </c>
      <c r="C21" s="8" t="str">
        <f>IFERROR(__xludf.DUMMYFUNCTION("""COMPUTED_VALUE"""),"Home Office")</f>
        <v>Home Office</v>
      </c>
      <c r="D21" s="8" t="str">
        <f>IFERROR(__xludf.DUMMYFUNCTION("""COMPUTED_VALUE"""),"Washington")</f>
        <v>Washington</v>
      </c>
      <c r="E21" s="8" t="str">
        <f>IFERROR(__xludf.DUMMYFUNCTION("""COMPUTED_VALUE"""),"West")</f>
        <v>West</v>
      </c>
      <c r="F21" s="10">
        <f>IFERROR(__xludf.DUMMYFUNCTION("""COMPUTED_VALUE"""),269.36)</f>
        <v>269.36</v>
      </c>
      <c r="G21" s="11">
        <f>IFERROR(__xludf.DUMMYFUNCTION("""COMPUTED_VALUE"""),7.0)</f>
        <v>7</v>
      </c>
      <c r="H21" s="11">
        <f>IFERROR(__xludf.DUMMYFUNCTION("""COMPUTED_VALUE"""),70.0336)</f>
        <v>70.0336</v>
      </c>
    </row>
    <row r="22">
      <c r="A22" s="8" t="str">
        <f>IFERROR(__xludf.DUMMYFUNCTION("""COMPUTED_VALUE"""),"CA-2014-101427")</f>
        <v>CA-2014-101427</v>
      </c>
      <c r="B22" s="9">
        <f>IFERROR(__xludf.DUMMYFUNCTION("""COMPUTED_VALUE"""),41999.0)</f>
        <v>41999</v>
      </c>
      <c r="C22" s="8" t="str">
        <f>IFERROR(__xludf.DUMMYFUNCTION("""COMPUTED_VALUE"""),"Corporate")</f>
        <v>Corporate</v>
      </c>
      <c r="D22" s="8" t="str">
        <f>IFERROR(__xludf.DUMMYFUNCTION("""COMPUTED_VALUE"""),"Pennsylvania")</f>
        <v>Pennsylvania</v>
      </c>
      <c r="E22" s="8" t="str">
        <f>IFERROR(__xludf.DUMMYFUNCTION("""COMPUTED_VALUE"""),"East")</f>
        <v>East</v>
      </c>
      <c r="F22" s="10">
        <f>IFERROR(__xludf.DUMMYFUNCTION("""COMPUTED_VALUE"""),8.016)</f>
        <v>8.016</v>
      </c>
      <c r="G22" s="11">
        <f>IFERROR(__xludf.DUMMYFUNCTION("""COMPUTED_VALUE"""),3.0)</f>
        <v>3</v>
      </c>
      <c r="H22" s="11">
        <f>IFERROR(__xludf.DUMMYFUNCTION("""COMPUTED_VALUE"""),1.1022)</f>
        <v>1.1022</v>
      </c>
    </row>
    <row r="23">
      <c r="A23" s="8" t="str">
        <f>IFERROR(__xludf.DUMMYFUNCTION("""COMPUTED_VALUE"""),"CA-2014-101462")</f>
        <v>CA-2014-101462</v>
      </c>
      <c r="B23" s="9">
        <f>IFERROR(__xludf.DUMMYFUNCTION("""COMPUTED_VALUE"""),41749.0)</f>
        <v>41749</v>
      </c>
      <c r="C23" s="8" t="str">
        <f>IFERROR(__xludf.DUMMYFUNCTION("""COMPUTED_VALUE"""),"Consumer")</f>
        <v>Consumer</v>
      </c>
      <c r="D23" s="8" t="str">
        <f>IFERROR(__xludf.DUMMYFUNCTION("""COMPUTED_VALUE"""),"California")</f>
        <v>California</v>
      </c>
      <c r="E23" s="8" t="str">
        <f>IFERROR(__xludf.DUMMYFUNCTION("""COMPUTED_VALUE"""),"West")</f>
        <v>West</v>
      </c>
      <c r="F23" s="10">
        <f>IFERROR(__xludf.DUMMYFUNCTION("""COMPUTED_VALUE"""),59.92)</f>
        <v>59.92</v>
      </c>
      <c r="G23" s="11">
        <f>IFERROR(__xludf.DUMMYFUNCTION("""COMPUTED_VALUE"""),4.0)</f>
        <v>4</v>
      </c>
      <c r="H23" s="11">
        <f>IFERROR(__xludf.DUMMYFUNCTION("""COMPUTED_VALUE"""),27.5632)</f>
        <v>27.5632</v>
      </c>
    </row>
    <row r="24">
      <c r="A24" s="8" t="str">
        <f>IFERROR(__xludf.DUMMYFUNCTION("""COMPUTED_VALUE"""),"CA-2014-101476")</f>
        <v>CA-2014-101476</v>
      </c>
      <c r="B24" s="9">
        <f>IFERROR(__xludf.DUMMYFUNCTION("""COMPUTED_VALUE"""),41894.0)</f>
        <v>41894</v>
      </c>
      <c r="C24" s="8" t="str">
        <f>IFERROR(__xludf.DUMMYFUNCTION("""COMPUTED_VALUE"""),"Home Office")</f>
        <v>Home Office</v>
      </c>
      <c r="D24" s="8" t="str">
        <f>IFERROR(__xludf.DUMMYFUNCTION("""COMPUTED_VALUE"""),"New York")</f>
        <v>New York</v>
      </c>
      <c r="E24" s="8" t="str">
        <f>IFERROR(__xludf.DUMMYFUNCTION("""COMPUTED_VALUE"""),"East")</f>
        <v>East</v>
      </c>
      <c r="F24" s="10">
        <f>IFERROR(__xludf.DUMMYFUNCTION("""COMPUTED_VALUE"""),69.99)</f>
        <v>69.99</v>
      </c>
      <c r="G24" s="11">
        <f>IFERROR(__xludf.DUMMYFUNCTION("""COMPUTED_VALUE"""),1.0)</f>
        <v>1</v>
      </c>
      <c r="H24" s="11">
        <f>IFERROR(__xludf.DUMMYFUNCTION("""COMPUTED_VALUE"""),30.0957)</f>
        <v>30.0957</v>
      </c>
    </row>
    <row r="25">
      <c r="A25" s="8" t="str">
        <f>IFERROR(__xludf.DUMMYFUNCTION("""COMPUTED_VALUE"""),"CA-2014-101560")</f>
        <v>CA-2014-101560</v>
      </c>
      <c r="B25" s="9">
        <f>IFERROR(__xludf.DUMMYFUNCTION("""COMPUTED_VALUE"""),41971.0)</f>
        <v>41971</v>
      </c>
      <c r="C25" s="8" t="str">
        <f>IFERROR(__xludf.DUMMYFUNCTION("""COMPUTED_VALUE"""),"Corporate")</f>
        <v>Corporate</v>
      </c>
      <c r="D25" s="8" t="str">
        <f>IFERROR(__xludf.DUMMYFUNCTION("""COMPUTED_VALUE"""),"South Carolina")</f>
        <v>South Carolina</v>
      </c>
      <c r="E25" s="8" t="str">
        <f>IFERROR(__xludf.DUMMYFUNCTION("""COMPUTED_VALUE"""),"South")</f>
        <v>South</v>
      </c>
      <c r="F25" s="10">
        <f>IFERROR(__xludf.DUMMYFUNCTION("""COMPUTED_VALUE"""),397.6)</f>
        <v>397.6</v>
      </c>
      <c r="G25" s="11">
        <f>IFERROR(__xludf.DUMMYFUNCTION("""COMPUTED_VALUE"""),5.0)</f>
        <v>5</v>
      </c>
      <c r="H25" s="11">
        <f>IFERROR(__xludf.DUMMYFUNCTION("""COMPUTED_VALUE"""),43.736)</f>
        <v>43.736</v>
      </c>
    </row>
    <row r="26">
      <c r="A26" s="8" t="str">
        <f>IFERROR(__xludf.DUMMYFUNCTION("""COMPUTED_VALUE"""),"CA-2014-101602")</f>
        <v>CA-2014-101602</v>
      </c>
      <c r="B26" s="9">
        <f>IFERROR(__xludf.DUMMYFUNCTION("""COMPUTED_VALUE"""),41988.0)</f>
        <v>41988</v>
      </c>
      <c r="C26" s="8" t="str">
        <f>IFERROR(__xludf.DUMMYFUNCTION("""COMPUTED_VALUE"""),"Consumer")</f>
        <v>Consumer</v>
      </c>
      <c r="D26" s="8" t="str">
        <f>IFERROR(__xludf.DUMMYFUNCTION("""COMPUTED_VALUE"""),"Texas")</f>
        <v>Texas</v>
      </c>
      <c r="E26" s="8" t="str">
        <f>IFERROR(__xludf.DUMMYFUNCTION("""COMPUTED_VALUE"""),"Central")</f>
        <v>Central</v>
      </c>
      <c r="F26" s="10">
        <f>IFERROR(__xludf.DUMMYFUNCTION("""COMPUTED_VALUE"""),40.68)</f>
        <v>40.68</v>
      </c>
      <c r="G26" s="11">
        <f>IFERROR(__xludf.DUMMYFUNCTION("""COMPUTED_VALUE"""),3.0)</f>
        <v>3</v>
      </c>
      <c r="H26" s="11">
        <f>IFERROR(__xludf.DUMMYFUNCTION("""COMPUTED_VALUE"""),-9.153)</f>
        <v>-9.153</v>
      </c>
    </row>
    <row r="27">
      <c r="A27" s="8" t="str">
        <f>IFERROR(__xludf.DUMMYFUNCTION("""COMPUTED_VALUE"""),"CA-2014-101770")</f>
        <v>CA-2014-101770</v>
      </c>
      <c r="B27" s="9">
        <f>IFERROR(__xludf.DUMMYFUNCTION("""COMPUTED_VALUE"""),41729.0)</f>
        <v>41729</v>
      </c>
      <c r="C27" s="8" t="str">
        <f>IFERROR(__xludf.DUMMYFUNCTION("""COMPUTED_VALUE"""),"Corporate")</f>
        <v>Corporate</v>
      </c>
      <c r="D27" s="8" t="str">
        <f>IFERROR(__xludf.DUMMYFUNCTION("""COMPUTED_VALUE"""),"Florida")</f>
        <v>Florida</v>
      </c>
      <c r="E27" s="8" t="str">
        <f>IFERROR(__xludf.DUMMYFUNCTION("""COMPUTED_VALUE"""),"South")</f>
        <v>South</v>
      </c>
      <c r="F27" s="10">
        <f>IFERROR(__xludf.DUMMYFUNCTION("""COMPUTED_VALUE"""),1.869)</f>
        <v>1.869</v>
      </c>
      <c r="G27" s="11">
        <f>IFERROR(__xludf.DUMMYFUNCTION("""COMPUTED_VALUE"""),1.0)</f>
        <v>1</v>
      </c>
      <c r="H27" s="11">
        <f>IFERROR(__xludf.DUMMYFUNCTION("""COMPUTED_VALUE"""),-1.3083)</f>
        <v>-1.3083</v>
      </c>
    </row>
    <row r="28">
      <c r="A28" s="8" t="str">
        <f>IFERROR(__xludf.DUMMYFUNCTION("""COMPUTED_VALUE"""),"CA-2014-101833")</f>
        <v>CA-2014-101833</v>
      </c>
      <c r="B28" s="9">
        <f>IFERROR(__xludf.DUMMYFUNCTION("""COMPUTED_VALUE"""),41960.0)</f>
        <v>41960</v>
      </c>
      <c r="C28" s="8" t="str">
        <f>IFERROR(__xludf.DUMMYFUNCTION("""COMPUTED_VALUE"""),"Home Office")</f>
        <v>Home Office</v>
      </c>
      <c r="D28" s="8" t="str">
        <f>IFERROR(__xludf.DUMMYFUNCTION("""COMPUTED_VALUE"""),"New York")</f>
        <v>New York</v>
      </c>
      <c r="E28" s="8" t="str">
        <f>IFERROR(__xludf.DUMMYFUNCTION("""COMPUTED_VALUE"""),"East")</f>
        <v>East</v>
      </c>
      <c r="F28" s="10">
        <f>IFERROR(__xludf.DUMMYFUNCTION("""COMPUTED_VALUE"""),34.44)</f>
        <v>34.44</v>
      </c>
      <c r="G28" s="11">
        <f>IFERROR(__xludf.DUMMYFUNCTION("""COMPUTED_VALUE"""),3.0)</f>
        <v>3</v>
      </c>
      <c r="H28" s="11">
        <f>IFERROR(__xludf.DUMMYFUNCTION("""COMPUTED_VALUE"""),17.22)</f>
        <v>17.22</v>
      </c>
    </row>
    <row r="29">
      <c r="A29" s="8" t="str">
        <f>IFERROR(__xludf.DUMMYFUNCTION("""COMPUTED_VALUE"""),"CA-2014-101931")</f>
        <v>CA-2014-101931</v>
      </c>
      <c r="B29" s="9">
        <f>IFERROR(__xludf.DUMMYFUNCTION("""COMPUTED_VALUE"""),41940.0)</f>
        <v>41940</v>
      </c>
      <c r="C29" s="8" t="str">
        <f>IFERROR(__xludf.DUMMYFUNCTION("""COMPUTED_VALUE"""),"Corporate")</f>
        <v>Corporate</v>
      </c>
      <c r="D29" s="8" t="str">
        <f>IFERROR(__xludf.DUMMYFUNCTION("""COMPUTED_VALUE"""),"California")</f>
        <v>California</v>
      </c>
      <c r="E29" s="8" t="str">
        <f>IFERROR(__xludf.DUMMYFUNCTION("""COMPUTED_VALUE"""),"West")</f>
        <v>West</v>
      </c>
      <c r="F29" s="10">
        <f>IFERROR(__xludf.DUMMYFUNCTION("""COMPUTED_VALUE"""),7.184)</f>
        <v>7.184</v>
      </c>
      <c r="G29" s="11">
        <f>IFERROR(__xludf.DUMMYFUNCTION("""COMPUTED_VALUE"""),2.0)</f>
        <v>2</v>
      </c>
      <c r="H29" s="11">
        <f>IFERROR(__xludf.DUMMYFUNCTION("""COMPUTED_VALUE"""),2.245)</f>
        <v>2.245</v>
      </c>
    </row>
    <row r="30">
      <c r="A30" s="8" t="str">
        <f>IFERROR(__xludf.DUMMYFUNCTION("""COMPUTED_VALUE"""),"CA-2014-102008")</f>
        <v>CA-2014-102008</v>
      </c>
      <c r="B30" s="9">
        <f>IFERROR(__xludf.DUMMYFUNCTION("""COMPUTED_VALUE"""),41912.0)</f>
        <v>41912</v>
      </c>
      <c r="C30" s="8" t="str">
        <f>IFERROR(__xludf.DUMMYFUNCTION("""COMPUTED_VALUE"""),"Consumer")</f>
        <v>Consumer</v>
      </c>
      <c r="D30" s="8" t="str">
        <f>IFERROR(__xludf.DUMMYFUNCTION("""COMPUTED_VALUE"""),"New York")</f>
        <v>New York</v>
      </c>
      <c r="E30" s="8" t="str">
        <f>IFERROR(__xludf.DUMMYFUNCTION("""COMPUTED_VALUE"""),"East")</f>
        <v>East</v>
      </c>
      <c r="F30" s="10">
        <f>IFERROR(__xludf.DUMMYFUNCTION("""COMPUTED_VALUE"""),48.94)</f>
        <v>48.94</v>
      </c>
      <c r="G30" s="11">
        <f>IFERROR(__xludf.DUMMYFUNCTION("""COMPUTED_VALUE"""),1.0)</f>
        <v>1</v>
      </c>
      <c r="H30" s="11">
        <f>IFERROR(__xludf.DUMMYFUNCTION("""COMPUTED_VALUE"""),24.47)</f>
        <v>24.47</v>
      </c>
    </row>
    <row r="31">
      <c r="A31" s="8" t="str">
        <f>IFERROR(__xludf.DUMMYFUNCTION("""COMPUTED_VALUE"""),"CA-2014-102085")</f>
        <v>CA-2014-102085</v>
      </c>
      <c r="B31" s="9">
        <f>IFERROR(__xludf.DUMMYFUNCTION("""COMPUTED_VALUE"""),41916.0)</f>
        <v>41916</v>
      </c>
      <c r="C31" s="8" t="str">
        <f>IFERROR(__xludf.DUMMYFUNCTION("""COMPUTED_VALUE"""),"Consumer")</f>
        <v>Consumer</v>
      </c>
      <c r="D31" s="8" t="str">
        <f>IFERROR(__xludf.DUMMYFUNCTION("""COMPUTED_VALUE"""),"Washington")</f>
        <v>Washington</v>
      </c>
      <c r="E31" s="8" t="str">
        <f>IFERROR(__xludf.DUMMYFUNCTION("""COMPUTED_VALUE"""),"West")</f>
        <v>West</v>
      </c>
      <c r="F31" s="10">
        <f>IFERROR(__xludf.DUMMYFUNCTION("""COMPUTED_VALUE"""),29.24)</f>
        <v>29.24</v>
      </c>
      <c r="G31" s="11">
        <f>IFERROR(__xludf.DUMMYFUNCTION("""COMPUTED_VALUE"""),4.0)</f>
        <v>4</v>
      </c>
      <c r="H31" s="11">
        <f>IFERROR(__xludf.DUMMYFUNCTION("""COMPUTED_VALUE"""),13.7428)</f>
        <v>13.7428</v>
      </c>
    </row>
    <row r="32">
      <c r="A32" s="8" t="str">
        <f>IFERROR(__xludf.DUMMYFUNCTION("""COMPUTED_VALUE"""),"CA-2014-102274")</f>
        <v>CA-2014-102274</v>
      </c>
      <c r="B32" s="9">
        <f>IFERROR(__xludf.DUMMYFUNCTION("""COMPUTED_VALUE"""),41964.0)</f>
        <v>41964</v>
      </c>
      <c r="C32" s="8" t="str">
        <f>IFERROR(__xludf.DUMMYFUNCTION("""COMPUTED_VALUE"""),"Corporate")</f>
        <v>Corporate</v>
      </c>
      <c r="D32" s="8" t="str">
        <f>IFERROR(__xludf.DUMMYFUNCTION("""COMPUTED_VALUE"""),"Kentucky")</f>
        <v>Kentucky</v>
      </c>
      <c r="E32" s="8" t="str">
        <f>IFERROR(__xludf.DUMMYFUNCTION("""COMPUTED_VALUE"""),"South")</f>
        <v>South</v>
      </c>
      <c r="F32" s="10">
        <f>IFERROR(__xludf.DUMMYFUNCTION("""COMPUTED_VALUE"""),36.99)</f>
        <v>36.99</v>
      </c>
      <c r="G32" s="11">
        <f>IFERROR(__xludf.DUMMYFUNCTION("""COMPUTED_VALUE"""),1.0)</f>
        <v>1</v>
      </c>
      <c r="H32" s="11">
        <f>IFERROR(__xludf.DUMMYFUNCTION("""COMPUTED_VALUE"""),9.9873)</f>
        <v>9.9873</v>
      </c>
    </row>
    <row r="33">
      <c r="A33" s="8" t="str">
        <f>IFERROR(__xludf.DUMMYFUNCTION("""COMPUTED_VALUE"""),"CA-2014-102295")</f>
        <v>CA-2014-102295</v>
      </c>
      <c r="B33" s="9">
        <f>IFERROR(__xludf.DUMMYFUNCTION("""COMPUTED_VALUE"""),41967.0)</f>
        <v>41967</v>
      </c>
      <c r="C33" s="8" t="str">
        <f>IFERROR(__xludf.DUMMYFUNCTION("""COMPUTED_VALUE"""),"Consumer")</f>
        <v>Consumer</v>
      </c>
      <c r="D33" s="8" t="str">
        <f>IFERROR(__xludf.DUMMYFUNCTION("""COMPUTED_VALUE"""),"California")</f>
        <v>California</v>
      </c>
      <c r="E33" s="8" t="str">
        <f>IFERROR(__xludf.DUMMYFUNCTION("""COMPUTED_VALUE"""),"West")</f>
        <v>West</v>
      </c>
      <c r="F33" s="10">
        <f>IFERROR(__xludf.DUMMYFUNCTION("""COMPUTED_VALUE"""),120.712)</f>
        <v>120.712</v>
      </c>
      <c r="G33" s="11">
        <f>IFERROR(__xludf.DUMMYFUNCTION("""COMPUTED_VALUE"""),1.0)</f>
        <v>1</v>
      </c>
      <c r="H33" s="11">
        <f>IFERROR(__xludf.DUMMYFUNCTION("""COMPUTED_VALUE"""),-18.1068)</f>
        <v>-18.1068</v>
      </c>
    </row>
    <row r="34">
      <c r="A34" s="8" t="str">
        <f>IFERROR(__xludf.DUMMYFUNCTION("""COMPUTED_VALUE"""),"CA-2014-102330")</f>
        <v>CA-2014-102330</v>
      </c>
      <c r="B34" s="9">
        <f>IFERROR(__xludf.DUMMYFUNCTION("""COMPUTED_VALUE"""),42002.0)</f>
        <v>42002</v>
      </c>
      <c r="C34" s="8" t="str">
        <f>IFERROR(__xludf.DUMMYFUNCTION("""COMPUTED_VALUE"""),"Consumer")</f>
        <v>Consumer</v>
      </c>
      <c r="D34" s="8" t="str">
        <f>IFERROR(__xludf.DUMMYFUNCTION("""COMPUTED_VALUE"""),"California")</f>
        <v>California</v>
      </c>
      <c r="E34" s="8" t="str">
        <f>IFERROR(__xludf.DUMMYFUNCTION("""COMPUTED_VALUE"""),"West")</f>
        <v>West</v>
      </c>
      <c r="F34" s="10">
        <f>IFERROR(__xludf.DUMMYFUNCTION("""COMPUTED_VALUE"""),88.8)</f>
        <v>88.8</v>
      </c>
      <c r="G34" s="11">
        <f>IFERROR(__xludf.DUMMYFUNCTION("""COMPUTED_VALUE"""),6.0)</f>
        <v>6</v>
      </c>
      <c r="H34" s="11">
        <f>IFERROR(__xludf.DUMMYFUNCTION("""COMPUTED_VALUE"""),44.4)</f>
        <v>44.4</v>
      </c>
    </row>
    <row r="35">
      <c r="A35" s="8" t="str">
        <f>IFERROR(__xludf.DUMMYFUNCTION("""COMPUTED_VALUE"""),"CA-2014-102645")</f>
        <v>CA-2014-102645</v>
      </c>
      <c r="B35" s="9">
        <f>IFERROR(__xludf.DUMMYFUNCTION("""COMPUTED_VALUE"""),41662.0)</f>
        <v>41662</v>
      </c>
      <c r="C35" s="8" t="str">
        <f>IFERROR(__xludf.DUMMYFUNCTION("""COMPUTED_VALUE"""),"Consumer")</f>
        <v>Consumer</v>
      </c>
      <c r="D35" s="8" t="str">
        <f>IFERROR(__xludf.DUMMYFUNCTION("""COMPUTED_VALUE"""),"Nevada")</f>
        <v>Nevada</v>
      </c>
      <c r="E35" s="8" t="str">
        <f>IFERROR(__xludf.DUMMYFUNCTION("""COMPUTED_VALUE"""),"West")</f>
        <v>West</v>
      </c>
      <c r="F35" s="10">
        <f>IFERROR(__xludf.DUMMYFUNCTION("""COMPUTED_VALUE"""),40.08)</f>
        <v>40.08</v>
      </c>
      <c r="G35" s="11">
        <f>IFERROR(__xludf.DUMMYFUNCTION("""COMPUTED_VALUE"""),6.0)</f>
        <v>6</v>
      </c>
      <c r="H35" s="11">
        <f>IFERROR(__xludf.DUMMYFUNCTION("""COMPUTED_VALUE"""),19.2384)</f>
        <v>19.2384</v>
      </c>
    </row>
    <row r="36">
      <c r="A36" s="8" t="str">
        <f>IFERROR(__xludf.DUMMYFUNCTION("""COMPUTED_VALUE"""),"CA-2014-102652")</f>
        <v>CA-2014-102652</v>
      </c>
      <c r="B36" s="9">
        <f>IFERROR(__xludf.DUMMYFUNCTION("""COMPUTED_VALUE"""),41735.0)</f>
        <v>41735</v>
      </c>
      <c r="C36" s="8" t="str">
        <f>IFERROR(__xludf.DUMMYFUNCTION("""COMPUTED_VALUE"""),"Corporate")</f>
        <v>Corporate</v>
      </c>
      <c r="D36" s="8" t="str">
        <f>IFERROR(__xludf.DUMMYFUNCTION("""COMPUTED_VALUE"""),"California")</f>
        <v>California</v>
      </c>
      <c r="E36" s="8" t="str">
        <f>IFERROR(__xludf.DUMMYFUNCTION("""COMPUTED_VALUE"""),"West")</f>
        <v>West</v>
      </c>
      <c r="F36" s="10">
        <f>IFERROR(__xludf.DUMMYFUNCTION("""COMPUTED_VALUE"""),91.96)</f>
        <v>91.96</v>
      </c>
      <c r="G36" s="11">
        <f>IFERROR(__xludf.DUMMYFUNCTION("""COMPUTED_VALUE"""),2.0)</f>
        <v>2</v>
      </c>
      <c r="H36" s="11">
        <f>IFERROR(__xludf.DUMMYFUNCTION("""COMPUTED_VALUE"""),15.6332)</f>
        <v>15.6332</v>
      </c>
    </row>
    <row r="37">
      <c r="A37" s="8" t="str">
        <f>IFERROR(__xludf.DUMMYFUNCTION("""COMPUTED_VALUE"""),"CA-2014-102673")</f>
        <v>CA-2014-102673</v>
      </c>
      <c r="B37" s="9">
        <f>IFERROR(__xludf.DUMMYFUNCTION("""COMPUTED_VALUE"""),41944.0)</f>
        <v>41944</v>
      </c>
      <c r="C37" s="8" t="str">
        <f>IFERROR(__xludf.DUMMYFUNCTION("""COMPUTED_VALUE"""),"Corporate")</f>
        <v>Corporate</v>
      </c>
      <c r="D37" s="8" t="str">
        <f>IFERROR(__xludf.DUMMYFUNCTION("""COMPUTED_VALUE"""),"North Carolina")</f>
        <v>North Carolina</v>
      </c>
      <c r="E37" s="8" t="str">
        <f>IFERROR(__xludf.DUMMYFUNCTION("""COMPUTED_VALUE"""),"South")</f>
        <v>South</v>
      </c>
      <c r="F37" s="10">
        <f>IFERROR(__xludf.DUMMYFUNCTION("""COMPUTED_VALUE"""),7.52)</f>
        <v>7.52</v>
      </c>
      <c r="G37" s="11">
        <f>IFERROR(__xludf.DUMMYFUNCTION("""COMPUTED_VALUE"""),5.0)</f>
        <v>5</v>
      </c>
      <c r="H37" s="11">
        <f>IFERROR(__xludf.DUMMYFUNCTION("""COMPUTED_VALUE"""),1.41)</f>
        <v>1.41</v>
      </c>
    </row>
    <row r="38">
      <c r="A38" s="8" t="str">
        <f>IFERROR(__xludf.DUMMYFUNCTION("""COMPUTED_VALUE"""),"CA-2014-102869")</f>
        <v>CA-2014-102869</v>
      </c>
      <c r="B38" s="9">
        <f>IFERROR(__xludf.DUMMYFUNCTION("""COMPUTED_VALUE"""),41891.0)</f>
        <v>41891</v>
      </c>
      <c r="C38" s="8" t="str">
        <f>IFERROR(__xludf.DUMMYFUNCTION("""COMPUTED_VALUE"""),"Consumer")</f>
        <v>Consumer</v>
      </c>
      <c r="D38" s="8" t="str">
        <f>IFERROR(__xludf.DUMMYFUNCTION("""COMPUTED_VALUE"""),"Pennsylvania")</f>
        <v>Pennsylvania</v>
      </c>
      <c r="E38" s="8" t="str">
        <f>IFERROR(__xludf.DUMMYFUNCTION("""COMPUTED_VALUE"""),"East")</f>
        <v>East</v>
      </c>
      <c r="F38" s="10">
        <f>IFERROR(__xludf.DUMMYFUNCTION("""COMPUTED_VALUE"""),15.552)</f>
        <v>15.552</v>
      </c>
      <c r="G38" s="11">
        <f>IFERROR(__xludf.DUMMYFUNCTION("""COMPUTED_VALUE"""),3.0)</f>
        <v>3</v>
      </c>
      <c r="H38" s="11">
        <f>IFERROR(__xludf.DUMMYFUNCTION("""COMPUTED_VALUE"""),5.4432)</f>
        <v>5.4432</v>
      </c>
    </row>
    <row r="39">
      <c r="A39" s="8" t="str">
        <f>IFERROR(__xludf.DUMMYFUNCTION("""COMPUTED_VALUE"""),"CA-2014-102988")</f>
        <v>CA-2014-102988</v>
      </c>
      <c r="B39" s="9">
        <f>IFERROR(__xludf.DUMMYFUNCTION("""COMPUTED_VALUE"""),41734.0)</f>
        <v>41734</v>
      </c>
      <c r="C39" s="8" t="str">
        <f>IFERROR(__xludf.DUMMYFUNCTION("""COMPUTED_VALUE"""),"Corporate")</f>
        <v>Corporate</v>
      </c>
      <c r="D39" s="8" t="str">
        <f>IFERROR(__xludf.DUMMYFUNCTION("""COMPUTED_VALUE"""),"Virginia")</f>
        <v>Virginia</v>
      </c>
      <c r="E39" s="8" t="str">
        <f>IFERROR(__xludf.DUMMYFUNCTION("""COMPUTED_VALUE"""),"South")</f>
        <v>South</v>
      </c>
      <c r="F39" s="10">
        <f>IFERROR(__xludf.DUMMYFUNCTION("""COMPUTED_VALUE"""),22.96)</f>
        <v>22.96</v>
      </c>
      <c r="G39" s="11">
        <f>IFERROR(__xludf.DUMMYFUNCTION("""COMPUTED_VALUE"""),7.0)</f>
        <v>7</v>
      </c>
      <c r="H39" s="11">
        <f>IFERROR(__xludf.DUMMYFUNCTION("""COMPUTED_VALUE"""),7.5768)</f>
        <v>7.5768</v>
      </c>
    </row>
    <row r="40">
      <c r="A40" s="8" t="str">
        <f>IFERROR(__xludf.DUMMYFUNCTION("""COMPUTED_VALUE"""),"CA-2014-103058")</f>
        <v>CA-2014-103058</v>
      </c>
      <c r="B40" s="9">
        <f>IFERROR(__xludf.DUMMYFUNCTION("""COMPUTED_VALUE"""),41843.0)</f>
        <v>41843</v>
      </c>
      <c r="C40" s="8" t="str">
        <f>IFERROR(__xludf.DUMMYFUNCTION("""COMPUTED_VALUE"""),"Consumer")</f>
        <v>Consumer</v>
      </c>
      <c r="D40" s="8" t="str">
        <f>IFERROR(__xludf.DUMMYFUNCTION("""COMPUTED_VALUE"""),"New York")</f>
        <v>New York</v>
      </c>
      <c r="E40" s="8" t="str">
        <f>IFERROR(__xludf.DUMMYFUNCTION("""COMPUTED_VALUE"""),"East")</f>
        <v>East</v>
      </c>
      <c r="F40" s="10">
        <f>IFERROR(__xludf.DUMMYFUNCTION("""COMPUTED_VALUE"""),99.98)</f>
        <v>99.98</v>
      </c>
      <c r="G40" s="11">
        <f>IFERROR(__xludf.DUMMYFUNCTION("""COMPUTED_VALUE"""),2.0)</f>
        <v>2</v>
      </c>
      <c r="H40" s="11">
        <f>IFERROR(__xludf.DUMMYFUNCTION("""COMPUTED_VALUE"""),7.9984)</f>
        <v>7.9984</v>
      </c>
    </row>
    <row r="41">
      <c r="A41" s="8" t="str">
        <f>IFERROR(__xludf.DUMMYFUNCTION("""COMPUTED_VALUE"""),"CA-2014-103086")</f>
        <v>CA-2014-103086</v>
      </c>
      <c r="B41" s="9">
        <f>IFERROR(__xludf.DUMMYFUNCTION("""COMPUTED_VALUE"""),41929.0)</f>
        <v>41929</v>
      </c>
      <c r="C41" s="8" t="str">
        <f>IFERROR(__xludf.DUMMYFUNCTION("""COMPUTED_VALUE"""),"Consumer")</f>
        <v>Consumer</v>
      </c>
      <c r="D41" s="8" t="str">
        <f>IFERROR(__xludf.DUMMYFUNCTION("""COMPUTED_VALUE"""),"Texas")</f>
        <v>Texas</v>
      </c>
      <c r="E41" s="8" t="str">
        <f>IFERROR(__xludf.DUMMYFUNCTION("""COMPUTED_VALUE"""),"Central")</f>
        <v>Central</v>
      </c>
      <c r="F41" s="10">
        <f>IFERROR(__xludf.DUMMYFUNCTION("""COMPUTED_VALUE"""),5.312)</f>
        <v>5.312</v>
      </c>
      <c r="G41" s="11">
        <f>IFERROR(__xludf.DUMMYFUNCTION("""COMPUTED_VALUE"""),2.0)</f>
        <v>2</v>
      </c>
      <c r="H41" s="11">
        <f>IFERROR(__xludf.DUMMYFUNCTION("""COMPUTED_VALUE"""),-1.5936)</f>
        <v>-1.5936</v>
      </c>
    </row>
    <row r="42">
      <c r="A42" s="8" t="str">
        <f>IFERROR(__xludf.DUMMYFUNCTION("""COMPUTED_VALUE"""),"CA-2014-103100")</f>
        <v>CA-2014-103100</v>
      </c>
      <c r="B42" s="9">
        <f>IFERROR(__xludf.DUMMYFUNCTION("""COMPUTED_VALUE"""),41993.0)</f>
        <v>41993</v>
      </c>
      <c r="C42" s="8" t="str">
        <f>IFERROR(__xludf.DUMMYFUNCTION("""COMPUTED_VALUE"""),"Consumer")</f>
        <v>Consumer</v>
      </c>
      <c r="D42" s="8" t="str">
        <f>IFERROR(__xludf.DUMMYFUNCTION("""COMPUTED_VALUE"""),"Indiana")</f>
        <v>Indiana</v>
      </c>
      <c r="E42" s="8" t="str">
        <f>IFERROR(__xludf.DUMMYFUNCTION("""COMPUTED_VALUE"""),"Central")</f>
        <v>Central</v>
      </c>
      <c r="F42" s="10">
        <f>IFERROR(__xludf.DUMMYFUNCTION("""COMPUTED_VALUE"""),3.69)</f>
        <v>3.69</v>
      </c>
      <c r="G42" s="11">
        <f>IFERROR(__xludf.DUMMYFUNCTION("""COMPUTED_VALUE"""),1.0)</f>
        <v>1</v>
      </c>
      <c r="H42" s="11">
        <f>IFERROR(__xludf.DUMMYFUNCTION("""COMPUTED_VALUE"""),1.7343)</f>
        <v>1.7343</v>
      </c>
    </row>
    <row r="43">
      <c r="A43" s="8" t="str">
        <f>IFERROR(__xludf.DUMMYFUNCTION("""COMPUTED_VALUE"""),"CA-2014-103191")</f>
        <v>CA-2014-103191</v>
      </c>
      <c r="B43" s="9">
        <f>IFERROR(__xludf.DUMMYFUNCTION("""COMPUTED_VALUE"""),41904.0)</f>
        <v>41904</v>
      </c>
      <c r="C43" s="8" t="str">
        <f>IFERROR(__xludf.DUMMYFUNCTION("""COMPUTED_VALUE"""),"Corporate")</f>
        <v>Corporate</v>
      </c>
      <c r="D43" s="8" t="str">
        <f>IFERROR(__xludf.DUMMYFUNCTION("""COMPUTED_VALUE"""),"Illinois")</f>
        <v>Illinois</v>
      </c>
      <c r="E43" s="8" t="str">
        <f>IFERROR(__xludf.DUMMYFUNCTION("""COMPUTED_VALUE"""),"Central")</f>
        <v>Central</v>
      </c>
      <c r="F43" s="10">
        <f>IFERROR(__xludf.DUMMYFUNCTION("""COMPUTED_VALUE"""),331.536)</f>
        <v>331.536</v>
      </c>
      <c r="G43" s="11">
        <f>IFERROR(__xludf.DUMMYFUNCTION("""COMPUTED_VALUE"""),3.0)</f>
        <v>3</v>
      </c>
      <c r="H43" s="11">
        <f>IFERROR(__xludf.DUMMYFUNCTION("""COMPUTED_VALUE"""),-82.884)</f>
        <v>-82.884</v>
      </c>
    </row>
    <row r="44">
      <c r="A44" s="8" t="str">
        <f>IFERROR(__xludf.DUMMYFUNCTION("""COMPUTED_VALUE"""),"CA-2014-103219")</f>
        <v>CA-2014-103219</v>
      </c>
      <c r="B44" s="9">
        <f>IFERROR(__xludf.DUMMYFUNCTION("""COMPUTED_VALUE"""),41952.0)</f>
        <v>41952</v>
      </c>
      <c r="C44" s="8" t="str">
        <f>IFERROR(__xludf.DUMMYFUNCTION("""COMPUTED_VALUE"""),"Home Office")</f>
        <v>Home Office</v>
      </c>
      <c r="D44" s="8" t="str">
        <f>IFERROR(__xludf.DUMMYFUNCTION("""COMPUTED_VALUE"""),"New York")</f>
        <v>New York</v>
      </c>
      <c r="E44" s="8" t="str">
        <f>IFERROR(__xludf.DUMMYFUNCTION("""COMPUTED_VALUE"""),"East")</f>
        <v>East</v>
      </c>
      <c r="F44" s="10">
        <f>IFERROR(__xludf.DUMMYFUNCTION("""COMPUTED_VALUE"""),56.52)</f>
        <v>56.52</v>
      </c>
      <c r="G44" s="11">
        <f>IFERROR(__xludf.DUMMYFUNCTION("""COMPUTED_VALUE"""),9.0)</f>
        <v>9</v>
      </c>
      <c r="H44" s="11">
        <f>IFERROR(__xludf.DUMMYFUNCTION("""COMPUTED_VALUE"""),21.4776)</f>
        <v>21.4776</v>
      </c>
    </row>
    <row r="45">
      <c r="A45" s="8" t="str">
        <f>IFERROR(__xludf.DUMMYFUNCTION("""COMPUTED_VALUE"""),"CA-2014-103310")</f>
        <v>CA-2014-103310</v>
      </c>
      <c r="B45" s="9">
        <f>IFERROR(__xludf.DUMMYFUNCTION("""COMPUTED_VALUE"""),41769.0)</f>
        <v>41769</v>
      </c>
      <c r="C45" s="8" t="str">
        <f>IFERROR(__xludf.DUMMYFUNCTION("""COMPUTED_VALUE"""),"Consumer")</f>
        <v>Consumer</v>
      </c>
      <c r="D45" s="8" t="str">
        <f>IFERROR(__xludf.DUMMYFUNCTION("""COMPUTED_VALUE"""),"California")</f>
        <v>California</v>
      </c>
      <c r="E45" s="8" t="str">
        <f>IFERROR(__xludf.DUMMYFUNCTION("""COMPUTED_VALUE"""),"West")</f>
        <v>West</v>
      </c>
      <c r="F45" s="10">
        <f>IFERROR(__xludf.DUMMYFUNCTION("""COMPUTED_VALUE"""),39.96)</f>
        <v>39.96</v>
      </c>
      <c r="G45" s="11">
        <f>IFERROR(__xludf.DUMMYFUNCTION("""COMPUTED_VALUE"""),2.0)</f>
        <v>2</v>
      </c>
      <c r="H45" s="11">
        <f>IFERROR(__xludf.DUMMYFUNCTION("""COMPUTED_VALUE"""),19.1808)</f>
        <v>19.1808</v>
      </c>
    </row>
    <row r="46">
      <c r="A46" s="8" t="str">
        <f>IFERROR(__xludf.DUMMYFUNCTION("""COMPUTED_VALUE"""),"CA-2014-103317")</f>
        <v>CA-2014-103317</v>
      </c>
      <c r="B46" s="9">
        <f>IFERROR(__xludf.DUMMYFUNCTION("""COMPUTED_VALUE"""),41825.0)</f>
        <v>41825</v>
      </c>
      <c r="C46" s="8" t="str">
        <f>IFERROR(__xludf.DUMMYFUNCTION("""COMPUTED_VALUE"""),"Corporate")</f>
        <v>Corporate</v>
      </c>
      <c r="D46" s="8" t="str">
        <f>IFERROR(__xludf.DUMMYFUNCTION("""COMPUTED_VALUE"""),"Florida")</f>
        <v>Florida</v>
      </c>
      <c r="E46" s="8" t="str">
        <f>IFERROR(__xludf.DUMMYFUNCTION("""COMPUTED_VALUE"""),"South")</f>
        <v>South</v>
      </c>
      <c r="F46" s="10">
        <f>IFERROR(__xludf.DUMMYFUNCTION("""COMPUTED_VALUE"""),19.52)</f>
        <v>19.52</v>
      </c>
      <c r="G46" s="11">
        <f>IFERROR(__xludf.DUMMYFUNCTION("""COMPUTED_VALUE"""),2.0)</f>
        <v>2</v>
      </c>
      <c r="H46" s="11">
        <f>IFERROR(__xludf.DUMMYFUNCTION("""COMPUTED_VALUE"""),5.368)</f>
        <v>5.368</v>
      </c>
    </row>
    <row r="47">
      <c r="A47" s="8" t="str">
        <f>IFERROR(__xludf.DUMMYFUNCTION("""COMPUTED_VALUE"""),"CA-2014-103331")</f>
        <v>CA-2014-103331</v>
      </c>
      <c r="B47" s="9">
        <f>IFERROR(__xludf.DUMMYFUNCTION("""COMPUTED_VALUE"""),41877.0)</f>
        <v>41877</v>
      </c>
      <c r="C47" s="8" t="str">
        <f>IFERROR(__xludf.DUMMYFUNCTION("""COMPUTED_VALUE"""),"Consumer")</f>
        <v>Consumer</v>
      </c>
      <c r="D47" s="8" t="str">
        <f>IFERROR(__xludf.DUMMYFUNCTION("""COMPUTED_VALUE"""),"Delaware")</f>
        <v>Delaware</v>
      </c>
      <c r="E47" s="8" t="str">
        <f>IFERROR(__xludf.DUMMYFUNCTION("""COMPUTED_VALUE"""),"East")</f>
        <v>East</v>
      </c>
      <c r="F47" s="10">
        <f>IFERROR(__xludf.DUMMYFUNCTION("""COMPUTED_VALUE"""),10.68)</f>
        <v>10.68</v>
      </c>
      <c r="G47" s="11">
        <f>IFERROR(__xludf.DUMMYFUNCTION("""COMPUTED_VALUE"""),4.0)</f>
        <v>4</v>
      </c>
      <c r="H47" s="11">
        <f>IFERROR(__xludf.DUMMYFUNCTION("""COMPUTED_VALUE"""),4.0584)</f>
        <v>4.0584</v>
      </c>
    </row>
    <row r="48">
      <c r="A48" s="8" t="str">
        <f>IFERROR(__xludf.DUMMYFUNCTION("""COMPUTED_VALUE"""),"CA-2014-103366")</f>
        <v>CA-2014-103366</v>
      </c>
      <c r="B48" s="9">
        <f>IFERROR(__xludf.DUMMYFUNCTION("""COMPUTED_VALUE"""),41654.0)</f>
        <v>41654</v>
      </c>
      <c r="C48" s="8" t="str">
        <f>IFERROR(__xludf.DUMMYFUNCTION("""COMPUTED_VALUE"""),"Consumer")</f>
        <v>Consumer</v>
      </c>
      <c r="D48" s="8" t="str">
        <f>IFERROR(__xludf.DUMMYFUNCTION("""COMPUTED_VALUE"""),"Georgia")</f>
        <v>Georgia</v>
      </c>
      <c r="E48" s="8" t="str">
        <f>IFERROR(__xludf.DUMMYFUNCTION("""COMPUTED_VALUE"""),"South")</f>
        <v>South</v>
      </c>
      <c r="F48" s="10">
        <f>IFERROR(__xludf.DUMMYFUNCTION("""COMPUTED_VALUE"""),149.95)</f>
        <v>149.95</v>
      </c>
      <c r="G48" s="11">
        <f>IFERROR(__xludf.DUMMYFUNCTION("""COMPUTED_VALUE"""),5.0)</f>
        <v>5</v>
      </c>
      <c r="H48" s="11">
        <f>IFERROR(__xludf.DUMMYFUNCTION("""COMPUTED_VALUE"""),65.978)</f>
        <v>65.978</v>
      </c>
    </row>
    <row r="49">
      <c r="A49" s="8" t="str">
        <f>IFERROR(__xludf.DUMMYFUNCTION("""COMPUTED_VALUE"""),"CA-2014-103373")</f>
        <v>CA-2014-103373</v>
      </c>
      <c r="B49" s="9">
        <f>IFERROR(__xludf.DUMMYFUNCTION("""COMPUTED_VALUE"""),41777.0)</f>
        <v>41777</v>
      </c>
      <c r="C49" s="8" t="str">
        <f>IFERROR(__xludf.DUMMYFUNCTION("""COMPUTED_VALUE"""),"Consumer")</f>
        <v>Consumer</v>
      </c>
      <c r="D49" s="8" t="str">
        <f>IFERROR(__xludf.DUMMYFUNCTION("""COMPUTED_VALUE"""),"Ohio")</f>
        <v>Ohio</v>
      </c>
      <c r="E49" s="8" t="str">
        <f>IFERROR(__xludf.DUMMYFUNCTION("""COMPUTED_VALUE"""),"East")</f>
        <v>East</v>
      </c>
      <c r="F49" s="10">
        <f>IFERROR(__xludf.DUMMYFUNCTION("""COMPUTED_VALUE"""),779.796)</f>
        <v>779.796</v>
      </c>
      <c r="G49" s="11">
        <f>IFERROR(__xludf.DUMMYFUNCTION("""COMPUTED_VALUE"""),2.0)</f>
        <v>2</v>
      </c>
      <c r="H49" s="11">
        <f>IFERROR(__xludf.DUMMYFUNCTION("""COMPUTED_VALUE"""),-168.9558)</f>
        <v>-168.9558</v>
      </c>
    </row>
    <row r="50">
      <c r="A50" s="8" t="str">
        <f>IFERROR(__xludf.DUMMYFUNCTION("""COMPUTED_VALUE"""),"CA-2014-103401")</f>
        <v>CA-2014-103401</v>
      </c>
      <c r="B50" s="9">
        <f>IFERROR(__xludf.DUMMYFUNCTION("""COMPUTED_VALUE"""),41964.0)</f>
        <v>41964</v>
      </c>
      <c r="C50" s="8" t="str">
        <f>IFERROR(__xludf.DUMMYFUNCTION("""COMPUTED_VALUE"""),"Corporate")</f>
        <v>Corporate</v>
      </c>
      <c r="D50" s="8" t="str">
        <f>IFERROR(__xludf.DUMMYFUNCTION("""COMPUTED_VALUE"""),"California")</f>
        <v>California</v>
      </c>
      <c r="E50" s="8" t="str">
        <f>IFERROR(__xludf.DUMMYFUNCTION("""COMPUTED_VALUE"""),"West")</f>
        <v>West</v>
      </c>
      <c r="F50" s="10">
        <f>IFERROR(__xludf.DUMMYFUNCTION("""COMPUTED_VALUE"""),12.96)</f>
        <v>12.96</v>
      </c>
      <c r="G50" s="11">
        <f>IFERROR(__xludf.DUMMYFUNCTION("""COMPUTED_VALUE"""),2.0)</f>
        <v>2</v>
      </c>
      <c r="H50" s="11">
        <f>IFERROR(__xludf.DUMMYFUNCTION("""COMPUTED_VALUE"""),6.2208)</f>
        <v>6.2208</v>
      </c>
    </row>
    <row r="51">
      <c r="A51" s="8" t="str">
        <f>IFERROR(__xludf.DUMMYFUNCTION("""COMPUTED_VALUE"""),"CA-2014-103429")</f>
        <v>CA-2014-103429</v>
      </c>
      <c r="B51" s="9">
        <f>IFERROR(__xludf.DUMMYFUNCTION("""COMPUTED_VALUE"""),41789.0)</f>
        <v>41789</v>
      </c>
      <c r="C51" s="8" t="str">
        <f>IFERROR(__xludf.DUMMYFUNCTION("""COMPUTED_VALUE"""),"Corporate")</f>
        <v>Corporate</v>
      </c>
      <c r="D51" s="8" t="str">
        <f>IFERROR(__xludf.DUMMYFUNCTION("""COMPUTED_VALUE"""),"New York")</f>
        <v>New York</v>
      </c>
      <c r="E51" s="8" t="str">
        <f>IFERROR(__xludf.DUMMYFUNCTION("""COMPUTED_VALUE"""),"East")</f>
        <v>East</v>
      </c>
      <c r="F51" s="10">
        <f>IFERROR(__xludf.DUMMYFUNCTION("""COMPUTED_VALUE"""),25.584)</f>
        <v>25.584</v>
      </c>
      <c r="G51" s="11">
        <f>IFERROR(__xludf.DUMMYFUNCTION("""COMPUTED_VALUE"""),2.0)</f>
        <v>2</v>
      </c>
      <c r="H51" s="11">
        <f>IFERROR(__xludf.DUMMYFUNCTION("""COMPUTED_VALUE"""),8.9544)</f>
        <v>8.9544</v>
      </c>
    </row>
    <row r="52">
      <c r="A52" s="8" t="str">
        <f>IFERROR(__xludf.DUMMYFUNCTION("""COMPUTED_VALUE"""),"CA-2014-103492")</f>
        <v>CA-2014-103492</v>
      </c>
      <c r="B52" s="9">
        <f>IFERROR(__xludf.DUMMYFUNCTION("""COMPUTED_VALUE"""),41922.0)</f>
        <v>41922</v>
      </c>
      <c r="C52" s="8" t="str">
        <f>IFERROR(__xludf.DUMMYFUNCTION("""COMPUTED_VALUE"""),"Corporate")</f>
        <v>Corporate</v>
      </c>
      <c r="D52" s="8" t="str">
        <f>IFERROR(__xludf.DUMMYFUNCTION("""COMPUTED_VALUE"""),"Texas")</f>
        <v>Texas</v>
      </c>
      <c r="E52" s="8" t="str">
        <f>IFERROR(__xludf.DUMMYFUNCTION("""COMPUTED_VALUE"""),"Central")</f>
        <v>Central</v>
      </c>
      <c r="F52" s="10">
        <f>IFERROR(__xludf.DUMMYFUNCTION("""COMPUTED_VALUE"""),719.952)</f>
        <v>719.952</v>
      </c>
      <c r="G52" s="11">
        <f>IFERROR(__xludf.DUMMYFUNCTION("""COMPUTED_VALUE"""),6.0)</f>
        <v>6</v>
      </c>
      <c r="H52" s="11">
        <f>IFERROR(__xludf.DUMMYFUNCTION("""COMPUTED_VALUE"""),71.9952)</f>
        <v>71.9952</v>
      </c>
    </row>
    <row r="53">
      <c r="A53" s="8" t="str">
        <f>IFERROR(__xludf.DUMMYFUNCTION("""COMPUTED_VALUE"""),"CA-2014-103527")</f>
        <v>CA-2014-103527</v>
      </c>
      <c r="B53" s="9">
        <f>IFERROR(__xludf.DUMMYFUNCTION("""COMPUTED_VALUE"""),41891.0)</f>
        <v>41891</v>
      </c>
      <c r="C53" s="8" t="str">
        <f>IFERROR(__xludf.DUMMYFUNCTION("""COMPUTED_VALUE"""),"Consumer")</f>
        <v>Consumer</v>
      </c>
      <c r="D53" s="8" t="str">
        <f>IFERROR(__xludf.DUMMYFUNCTION("""COMPUTED_VALUE"""),"Illinois")</f>
        <v>Illinois</v>
      </c>
      <c r="E53" s="8" t="str">
        <f>IFERROR(__xludf.DUMMYFUNCTION("""COMPUTED_VALUE"""),"Central")</f>
        <v>Central</v>
      </c>
      <c r="F53" s="10">
        <f>IFERROR(__xludf.DUMMYFUNCTION("""COMPUTED_VALUE"""),10.896)</f>
        <v>10.896</v>
      </c>
      <c r="G53" s="11">
        <f>IFERROR(__xludf.DUMMYFUNCTION("""COMPUTED_VALUE"""),3.0)</f>
        <v>3</v>
      </c>
      <c r="H53" s="11">
        <f>IFERROR(__xludf.DUMMYFUNCTION("""COMPUTED_VALUE"""),3.405)</f>
        <v>3.405</v>
      </c>
    </row>
    <row r="54">
      <c r="A54" s="8" t="str">
        <f>IFERROR(__xludf.DUMMYFUNCTION("""COMPUTED_VALUE"""),"CA-2014-103590")</f>
        <v>CA-2014-103590</v>
      </c>
      <c r="B54" s="9">
        <f>IFERROR(__xludf.DUMMYFUNCTION("""COMPUTED_VALUE"""),41973.0)</f>
        <v>41973</v>
      </c>
      <c r="C54" s="8" t="str">
        <f>IFERROR(__xludf.DUMMYFUNCTION("""COMPUTED_VALUE"""),"Consumer")</f>
        <v>Consumer</v>
      </c>
      <c r="D54" s="8" t="str">
        <f>IFERROR(__xludf.DUMMYFUNCTION("""COMPUTED_VALUE"""),"New York")</f>
        <v>New York</v>
      </c>
      <c r="E54" s="8" t="str">
        <f>IFERROR(__xludf.DUMMYFUNCTION("""COMPUTED_VALUE"""),"East")</f>
        <v>East</v>
      </c>
      <c r="F54" s="10">
        <f>IFERROR(__xludf.DUMMYFUNCTION("""COMPUTED_VALUE"""),62.28)</f>
        <v>62.28</v>
      </c>
      <c r="G54" s="11">
        <f>IFERROR(__xludf.DUMMYFUNCTION("""COMPUTED_VALUE"""),4.0)</f>
        <v>4</v>
      </c>
      <c r="H54" s="11">
        <f>IFERROR(__xludf.DUMMYFUNCTION("""COMPUTED_VALUE"""),29.2716)</f>
        <v>29.2716</v>
      </c>
    </row>
    <row r="55">
      <c r="A55" s="8" t="str">
        <f>IFERROR(__xludf.DUMMYFUNCTION("""COMPUTED_VALUE"""),"CA-2014-103660")</f>
        <v>CA-2014-103660</v>
      </c>
      <c r="B55" s="9">
        <f>IFERROR(__xludf.DUMMYFUNCTION("""COMPUTED_VALUE"""),41876.0)</f>
        <v>41876</v>
      </c>
      <c r="C55" s="8" t="str">
        <f>IFERROR(__xludf.DUMMYFUNCTION("""COMPUTED_VALUE"""),"Consumer")</f>
        <v>Consumer</v>
      </c>
      <c r="D55" s="8" t="str">
        <f>IFERROR(__xludf.DUMMYFUNCTION("""COMPUTED_VALUE"""),"Washington")</f>
        <v>Washington</v>
      </c>
      <c r="E55" s="8" t="str">
        <f>IFERROR(__xludf.DUMMYFUNCTION("""COMPUTED_VALUE"""),"West")</f>
        <v>West</v>
      </c>
      <c r="F55" s="10">
        <f>IFERROR(__xludf.DUMMYFUNCTION("""COMPUTED_VALUE"""),1007.944)</f>
        <v>1007.944</v>
      </c>
      <c r="G55" s="11">
        <f>IFERROR(__xludf.DUMMYFUNCTION("""COMPUTED_VALUE"""),7.0)</f>
        <v>7</v>
      </c>
      <c r="H55" s="11">
        <f>IFERROR(__xludf.DUMMYFUNCTION("""COMPUTED_VALUE"""),75.5958)</f>
        <v>75.5958</v>
      </c>
    </row>
    <row r="56">
      <c r="A56" s="8" t="str">
        <f>IFERROR(__xludf.DUMMYFUNCTION("""COMPUTED_VALUE"""),"CA-2014-103702")</f>
        <v>CA-2014-103702</v>
      </c>
      <c r="B56" s="9">
        <f>IFERROR(__xludf.DUMMYFUNCTION("""COMPUTED_VALUE"""),41894.0)</f>
        <v>41894</v>
      </c>
      <c r="C56" s="8" t="str">
        <f>IFERROR(__xludf.DUMMYFUNCTION("""COMPUTED_VALUE"""),"Consumer")</f>
        <v>Consumer</v>
      </c>
      <c r="D56" s="8" t="str">
        <f>IFERROR(__xludf.DUMMYFUNCTION("""COMPUTED_VALUE"""),"Ohio")</f>
        <v>Ohio</v>
      </c>
      <c r="E56" s="8" t="str">
        <f>IFERROR(__xludf.DUMMYFUNCTION("""COMPUTED_VALUE"""),"East")</f>
        <v>East</v>
      </c>
      <c r="F56" s="10">
        <f>IFERROR(__xludf.DUMMYFUNCTION("""COMPUTED_VALUE"""),63.924)</f>
        <v>63.924</v>
      </c>
      <c r="G56" s="11">
        <f>IFERROR(__xludf.DUMMYFUNCTION("""COMPUTED_VALUE"""),7.0)</f>
        <v>7</v>
      </c>
      <c r="H56" s="11">
        <f>IFERROR(__xludf.DUMMYFUNCTION("""COMPUTED_VALUE"""),-46.8776)</f>
        <v>-46.8776</v>
      </c>
    </row>
    <row r="57">
      <c r="A57" s="8" t="str">
        <f>IFERROR(__xludf.DUMMYFUNCTION("""COMPUTED_VALUE"""),"CA-2014-103744")</f>
        <v>CA-2014-103744</v>
      </c>
      <c r="B57" s="9">
        <f>IFERROR(__xludf.DUMMYFUNCTION("""COMPUTED_VALUE"""),41693.0)</f>
        <v>41693</v>
      </c>
      <c r="C57" s="8" t="str">
        <f>IFERROR(__xludf.DUMMYFUNCTION("""COMPUTED_VALUE"""),"Home Office")</f>
        <v>Home Office</v>
      </c>
      <c r="D57" s="8" t="str">
        <f>IFERROR(__xludf.DUMMYFUNCTION("""COMPUTED_VALUE"""),"Texas")</f>
        <v>Texas</v>
      </c>
      <c r="E57" s="8" t="str">
        <f>IFERROR(__xludf.DUMMYFUNCTION("""COMPUTED_VALUE"""),"Central")</f>
        <v>Central</v>
      </c>
      <c r="F57" s="10">
        <f>IFERROR(__xludf.DUMMYFUNCTION("""COMPUTED_VALUE"""),6.936)</f>
        <v>6.936</v>
      </c>
      <c r="G57" s="11">
        <f>IFERROR(__xludf.DUMMYFUNCTION("""COMPUTED_VALUE"""),3.0)</f>
        <v>3</v>
      </c>
      <c r="H57" s="11">
        <f>IFERROR(__xludf.DUMMYFUNCTION("""COMPUTED_VALUE"""),2.3409)</f>
        <v>2.3409</v>
      </c>
    </row>
    <row r="58">
      <c r="A58" s="8" t="str">
        <f>IFERROR(__xludf.DUMMYFUNCTION("""COMPUTED_VALUE"""),"CA-2014-103800")</f>
        <v>CA-2014-103800</v>
      </c>
      <c r="B58" s="9">
        <f>IFERROR(__xludf.DUMMYFUNCTION("""COMPUTED_VALUE"""),41642.0)</f>
        <v>41642</v>
      </c>
      <c r="C58" s="8" t="str">
        <f>IFERROR(__xludf.DUMMYFUNCTION("""COMPUTED_VALUE"""),"Consumer")</f>
        <v>Consumer</v>
      </c>
      <c r="D58" s="8" t="str">
        <f>IFERROR(__xludf.DUMMYFUNCTION("""COMPUTED_VALUE"""),"Texas")</f>
        <v>Texas</v>
      </c>
      <c r="E58" s="8" t="str">
        <f>IFERROR(__xludf.DUMMYFUNCTION("""COMPUTED_VALUE"""),"Central")</f>
        <v>Central</v>
      </c>
      <c r="F58" s="10">
        <f>IFERROR(__xludf.DUMMYFUNCTION("""COMPUTED_VALUE"""),16.448)</f>
        <v>16.448</v>
      </c>
      <c r="G58" s="11">
        <f>IFERROR(__xludf.DUMMYFUNCTION("""COMPUTED_VALUE"""),2.0)</f>
        <v>2</v>
      </c>
      <c r="H58" s="11">
        <f>IFERROR(__xludf.DUMMYFUNCTION("""COMPUTED_VALUE"""),5.5512)</f>
        <v>5.5512</v>
      </c>
    </row>
    <row r="59">
      <c r="A59" s="8" t="str">
        <f>IFERROR(__xludf.DUMMYFUNCTION("""COMPUTED_VALUE"""),"CA-2014-103807")</f>
        <v>CA-2014-103807</v>
      </c>
      <c r="B59" s="9">
        <f>IFERROR(__xludf.DUMMYFUNCTION("""COMPUTED_VALUE"""),41975.0)</f>
        <v>41975</v>
      </c>
      <c r="C59" s="8" t="str">
        <f>IFERROR(__xludf.DUMMYFUNCTION("""COMPUTED_VALUE"""),"Corporate")</f>
        <v>Corporate</v>
      </c>
      <c r="D59" s="8" t="str">
        <f>IFERROR(__xludf.DUMMYFUNCTION("""COMPUTED_VALUE"""),"Georgia")</f>
        <v>Georgia</v>
      </c>
      <c r="E59" s="8" t="str">
        <f>IFERROR(__xludf.DUMMYFUNCTION("""COMPUTED_VALUE"""),"South")</f>
        <v>South</v>
      </c>
      <c r="F59" s="10">
        <f>IFERROR(__xludf.DUMMYFUNCTION("""COMPUTED_VALUE"""),5.95)</f>
        <v>5.95</v>
      </c>
      <c r="G59" s="11">
        <f>IFERROR(__xludf.DUMMYFUNCTION("""COMPUTED_VALUE"""),1.0)</f>
        <v>1</v>
      </c>
      <c r="H59" s="11">
        <f>IFERROR(__xludf.DUMMYFUNCTION("""COMPUTED_VALUE"""),0.833)</f>
        <v>0.833</v>
      </c>
    </row>
    <row r="60">
      <c r="A60" s="8" t="str">
        <f>IFERROR(__xludf.DUMMYFUNCTION("""COMPUTED_VALUE"""),"CA-2014-103849")</f>
        <v>CA-2014-103849</v>
      </c>
      <c r="B60" s="9">
        <f>IFERROR(__xludf.DUMMYFUNCTION("""COMPUTED_VALUE"""),41770.0)</f>
        <v>41770</v>
      </c>
      <c r="C60" s="8" t="str">
        <f>IFERROR(__xludf.DUMMYFUNCTION("""COMPUTED_VALUE"""),"Consumer")</f>
        <v>Consumer</v>
      </c>
      <c r="D60" s="8" t="str">
        <f>IFERROR(__xludf.DUMMYFUNCTION("""COMPUTED_VALUE"""),"Texas")</f>
        <v>Texas</v>
      </c>
      <c r="E60" s="8" t="str">
        <f>IFERROR(__xludf.DUMMYFUNCTION("""COMPUTED_VALUE"""),"Central")</f>
        <v>Central</v>
      </c>
      <c r="F60" s="10">
        <f>IFERROR(__xludf.DUMMYFUNCTION("""COMPUTED_VALUE"""),58.112)</f>
        <v>58.112</v>
      </c>
      <c r="G60" s="11">
        <f>IFERROR(__xludf.DUMMYFUNCTION("""COMPUTED_VALUE"""),2.0)</f>
        <v>2</v>
      </c>
      <c r="H60" s="11">
        <f>IFERROR(__xludf.DUMMYFUNCTION("""COMPUTED_VALUE"""),7.264)</f>
        <v>7.264</v>
      </c>
    </row>
    <row r="61">
      <c r="A61" s="8" t="str">
        <f>IFERROR(__xludf.DUMMYFUNCTION("""COMPUTED_VALUE"""),"CA-2014-103940")</f>
        <v>CA-2014-103940</v>
      </c>
      <c r="B61" s="9">
        <f>IFERROR(__xludf.DUMMYFUNCTION("""COMPUTED_VALUE"""),41899.0)</f>
        <v>41899</v>
      </c>
      <c r="C61" s="8" t="str">
        <f>IFERROR(__xludf.DUMMYFUNCTION("""COMPUTED_VALUE"""),"Consumer")</f>
        <v>Consumer</v>
      </c>
      <c r="D61" s="8" t="str">
        <f>IFERROR(__xludf.DUMMYFUNCTION("""COMPUTED_VALUE"""),"Washington")</f>
        <v>Washington</v>
      </c>
      <c r="E61" s="8" t="str">
        <f>IFERROR(__xludf.DUMMYFUNCTION("""COMPUTED_VALUE"""),"West")</f>
        <v>West</v>
      </c>
      <c r="F61" s="10">
        <f>IFERROR(__xludf.DUMMYFUNCTION("""COMPUTED_VALUE"""),30.28)</f>
        <v>30.28</v>
      </c>
      <c r="G61" s="11">
        <f>IFERROR(__xludf.DUMMYFUNCTION("""COMPUTED_VALUE"""),2.0)</f>
        <v>2</v>
      </c>
      <c r="H61" s="11">
        <f>IFERROR(__xludf.DUMMYFUNCTION("""COMPUTED_VALUE"""),1.2112)</f>
        <v>1.2112</v>
      </c>
    </row>
    <row r="62">
      <c r="A62" s="8" t="str">
        <f>IFERROR(__xludf.DUMMYFUNCTION("""COMPUTED_VALUE"""),"CA-2014-103989")</f>
        <v>CA-2014-103989</v>
      </c>
      <c r="B62" s="9">
        <f>IFERROR(__xludf.DUMMYFUNCTION("""COMPUTED_VALUE"""),41717.0)</f>
        <v>41717</v>
      </c>
      <c r="C62" s="8" t="str">
        <f>IFERROR(__xludf.DUMMYFUNCTION("""COMPUTED_VALUE"""),"Corporate")</f>
        <v>Corporate</v>
      </c>
      <c r="D62" s="8" t="str">
        <f>IFERROR(__xludf.DUMMYFUNCTION("""COMPUTED_VALUE"""),"Florida")</f>
        <v>Florida</v>
      </c>
      <c r="E62" s="8" t="str">
        <f>IFERROR(__xludf.DUMMYFUNCTION("""COMPUTED_VALUE"""),"South")</f>
        <v>South</v>
      </c>
      <c r="F62" s="10">
        <f>IFERROR(__xludf.DUMMYFUNCTION("""COMPUTED_VALUE"""),323.976)</f>
        <v>323.976</v>
      </c>
      <c r="G62" s="11">
        <f>IFERROR(__xludf.DUMMYFUNCTION("""COMPUTED_VALUE"""),3.0)</f>
        <v>3</v>
      </c>
      <c r="H62" s="11">
        <f>IFERROR(__xludf.DUMMYFUNCTION("""COMPUTED_VALUE"""),28.3479)</f>
        <v>28.3479</v>
      </c>
    </row>
    <row r="63">
      <c r="A63" s="8" t="str">
        <f>IFERROR(__xludf.DUMMYFUNCTION("""COMPUTED_VALUE"""),"CA-2014-104178")</f>
        <v>CA-2014-104178</v>
      </c>
      <c r="B63" s="9">
        <f>IFERROR(__xludf.DUMMYFUNCTION("""COMPUTED_VALUE"""),41876.0)</f>
        <v>41876</v>
      </c>
      <c r="C63" s="8" t="str">
        <f>IFERROR(__xludf.DUMMYFUNCTION("""COMPUTED_VALUE"""),"Corporate")</f>
        <v>Corporate</v>
      </c>
      <c r="D63" s="8" t="str">
        <f>IFERROR(__xludf.DUMMYFUNCTION("""COMPUTED_VALUE"""),"California")</f>
        <v>California</v>
      </c>
      <c r="E63" s="8" t="str">
        <f>IFERROR(__xludf.DUMMYFUNCTION("""COMPUTED_VALUE"""),"West")</f>
        <v>West</v>
      </c>
      <c r="F63" s="10">
        <f>IFERROR(__xludf.DUMMYFUNCTION("""COMPUTED_VALUE"""),6.28)</f>
        <v>6.28</v>
      </c>
      <c r="G63" s="11">
        <f>IFERROR(__xludf.DUMMYFUNCTION("""COMPUTED_VALUE"""),1.0)</f>
        <v>1</v>
      </c>
      <c r="H63" s="11">
        <f>IFERROR(__xludf.DUMMYFUNCTION("""COMPUTED_VALUE"""),2.6376)</f>
        <v>2.6376</v>
      </c>
    </row>
    <row r="64">
      <c r="A64" s="8" t="str">
        <f>IFERROR(__xludf.DUMMYFUNCTION("""COMPUTED_VALUE"""),"CA-2014-104269")</f>
        <v>CA-2014-104269</v>
      </c>
      <c r="B64" s="9">
        <f>IFERROR(__xludf.DUMMYFUNCTION("""COMPUTED_VALUE"""),41699.0)</f>
        <v>41699</v>
      </c>
      <c r="C64" s="8" t="str">
        <f>IFERROR(__xludf.DUMMYFUNCTION("""COMPUTED_VALUE"""),"Consumer")</f>
        <v>Consumer</v>
      </c>
      <c r="D64" s="8" t="str">
        <f>IFERROR(__xludf.DUMMYFUNCTION("""COMPUTED_VALUE"""),"Washington")</f>
        <v>Washington</v>
      </c>
      <c r="E64" s="8" t="str">
        <f>IFERROR(__xludf.DUMMYFUNCTION("""COMPUTED_VALUE"""),"West")</f>
        <v>West</v>
      </c>
      <c r="F64" s="10">
        <f>IFERROR(__xludf.DUMMYFUNCTION("""COMPUTED_VALUE"""),457.568)</f>
        <v>457.568</v>
      </c>
      <c r="G64" s="11">
        <f>IFERROR(__xludf.DUMMYFUNCTION("""COMPUTED_VALUE"""),2.0)</f>
        <v>2</v>
      </c>
      <c r="H64" s="11">
        <f>IFERROR(__xludf.DUMMYFUNCTION("""COMPUTED_VALUE"""),51.4764)</f>
        <v>51.4764</v>
      </c>
    </row>
    <row r="65">
      <c r="A65" s="8" t="str">
        <f>IFERROR(__xludf.DUMMYFUNCTION("""COMPUTED_VALUE"""),"CA-2014-104283")</f>
        <v>CA-2014-104283</v>
      </c>
      <c r="B65" s="9">
        <f>IFERROR(__xludf.DUMMYFUNCTION("""COMPUTED_VALUE"""),41817.0)</f>
        <v>41817</v>
      </c>
      <c r="C65" s="8" t="str">
        <f>IFERROR(__xludf.DUMMYFUNCTION("""COMPUTED_VALUE"""),"Consumer")</f>
        <v>Consumer</v>
      </c>
      <c r="D65" s="8" t="str">
        <f>IFERROR(__xludf.DUMMYFUNCTION("""COMPUTED_VALUE"""),"Mississippi")</f>
        <v>Mississippi</v>
      </c>
      <c r="E65" s="8" t="str">
        <f>IFERROR(__xludf.DUMMYFUNCTION("""COMPUTED_VALUE"""),"South")</f>
        <v>South</v>
      </c>
      <c r="F65" s="10">
        <f>IFERROR(__xludf.DUMMYFUNCTION("""COMPUTED_VALUE"""),306.2)</f>
        <v>306.2</v>
      </c>
      <c r="G65" s="11">
        <f>IFERROR(__xludf.DUMMYFUNCTION("""COMPUTED_VALUE"""),5.0)</f>
        <v>5</v>
      </c>
      <c r="H65" s="11">
        <f>IFERROR(__xludf.DUMMYFUNCTION("""COMPUTED_VALUE"""),0.0)</f>
        <v>0</v>
      </c>
    </row>
    <row r="66">
      <c r="A66" s="8" t="str">
        <f>IFERROR(__xludf.DUMMYFUNCTION("""COMPUTED_VALUE"""),"CA-2014-104402")</f>
        <v>CA-2014-104402</v>
      </c>
      <c r="B66" s="9">
        <f>IFERROR(__xludf.DUMMYFUNCTION("""COMPUTED_VALUE"""),41807.0)</f>
        <v>41807</v>
      </c>
      <c r="C66" s="8" t="str">
        <f>IFERROR(__xludf.DUMMYFUNCTION("""COMPUTED_VALUE"""),"Consumer")</f>
        <v>Consumer</v>
      </c>
      <c r="D66" s="8" t="str">
        <f>IFERROR(__xludf.DUMMYFUNCTION("""COMPUTED_VALUE"""),"Delaware")</f>
        <v>Delaware</v>
      </c>
      <c r="E66" s="8" t="str">
        <f>IFERROR(__xludf.DUMMYFUNCTION("""COMPUTED_VALUE"""),"East")</f>
        <v>East</v>
      </c>
      <c r="F66" s="10">
        <f>IFERROR(__xludf.DUMMYFUNCTION("""COMPUTED_VALUE"""),65.97)</f>
        <v>65.97</v>
      </c>
      <c r="G66" s="11">
        <f>IFERROR(__xludf.DUMMYFUNCTION("""COMPUTED_VALUE"""),3.0)</f>
        <v>3</v>
      </c>
      <c r="H66" s="11">
        <f>IFERROR(__xludf.DUMMYFUNCTION("""COMPUTED_VALUE"""),31.0059)</f>
        <v>31.0059</v>
      </c>
    </row>
    <row r="67">
      <c r="A67" s="8" t="str">
        <f>IFERROR(__xludf.DUMMYFUNCTION("""COMPUTED_VALUE"""),"CA-2014-104472")</f>
        <v>CA-2014-104472</v>
      </c>
      <c r="B67" s="9">
        <f>IFERROR(__xludf.DUMMYFUNCTION("""COMPUTED_VALUE"""),41792.0)</f>
        <v>41792</v>
      </c>
      <c r="C67" s="8" t="str">
        <f>IFERROR(__xludf.DUMMYFUNCTION("""COMPUTED_VALUE"""),"Home Office")</f>
        <v>Home Office</v>
      </c>
      <c r="D67" s="8" t="str">
        <f>IFERROR(__xludf.DUMMYFUNCTION("""COMPUTED_VALUE"""),"Utah")</f>
        <v>Utah</v>
      </c>
      <c r="E67" s="8" t="str">
        <f>IFERROR(__xludf.DUMMYFUNCTION("""COMPUTED_VALUE"""),"West")</f>
        <v>West</v>
      </c>
      <c r="F67" s="10">
        <f>IFERROR(__xludf.DUMMYFUNCTION("""COMPUTED_VALUE"""),59.808)</f>
        <v>59.808</v>
      </c>
      <c r="G67" s="11">
        <f>IFERROR(__xludf.DUMMYFUNCTION("""COMPUTED_VALUE"""),3.0)</f>
        <v>3</v>
      </c>
      <c r="H67" s="11">
        <f>IFERROR(__xludf.DUMMYFUNCTION("""COMPUTED_VALUE"""),19.4376)</f>
        <v>19.4376</v>
      </c>
    </row>
    <row r="68">
      <c r="A68" s="8" t="str">
        <f>IFERROR(__xludf.DUMMYFUNCTION("""COMPUTED_VALUE"""),"CA-2014-104563")</f>
        <v>CA-2014-104563</v>
      </c>
      <c r="B68" s="9">
        <f>IFERROR(__xludf.DUMMYFUNCTION("""COMPUTED_VALUE"""),41705.0)</f>
        <v>41705</v>
      </c>
      <c r="C68" s="8" t="str">
        <f>IFERROR(__xludf.DUMMYFUNCTION("""COMPUTED_VALUE"""),"Corporate")</f>
        <v>Corporate</v>
      </c>
      <c r="D68" s="8" t="str">
        <f>IFERROR(__xludf.DUMMYFUNCTION("""COMPUTED_VALUE"""),"Washington")</f>
        <v>Washington</v>
      </c>
      <c r="E68" s="8" t="str">
        <f>IFERROR(__xludf.DUMMYFUNCTION("""COMPUTED_VALUE"""),"West")</f>
        <v>West</v>
      </c>
      <c r="F68" s="10">
        <f>IFERROR(__xludf.DUMMYFUNCTION("""COMPUTED_VALUE"""),20.65)</f>
        <v>20.65</v>
      </c>
      <c r="G68" s="11">
        <f>IFERROR(__xludf.DUMMYFUNCTION("""COMPUTED_VALUE"""),5.0)</f>
        <v>5</v>
      </c>
      <c r="H68" s="11">
        <f>IFERROR(__xludf.DUMMYFUNCTION("""COMPUTED_VALUE"""),9.499)</f>
        <v>9.499</v>
      </c>
    </row>
    <row r="69">
      <c r="A69" s="8" t="str">
        <f>IFERROR(__xludf.DUMMYFUNCTION("""COMPUTED_VALUE"""),"CA-2014-104738")</f>
        <v>CA-2014-104738</v>
      </c>
      <c r="B69" s="9">
        <f>IFERROR(__xludf.DUMMYFUNCTION("""COMPUTED_VALUE"""),42003.0)</f>
        <v>42003</v>
      </c>
      <c r="C69" s="8" t="str">
        <f>IFERROR(__xludf.DUMMYFUNCTION("""COMPUTED_VALUE"""),"Corporate")</f>
        <v>Corporate</v>
      </c>
      <c r="D69" s="8" t="str">
        <f>IFERROR(__xludf.DUMMYFUNCTION("""COMPUTED_VALUE"""),"Texas")</f>
        <v>Texas</v>
      </c>
      <c r="E69" s="8" t="str">
        <f>IFERROR(__xludf.DUMMYFUNCTION("""COMPUTED_VALUE"""),"Central")</f>
        <v>Central</v>
      </c>
      <c r="F69" s="10">
        <f>IFERROR(__xludf.DUMMYFUNCTION("""COMPUTED_VALUE"""),12.984)</f>
        <v>12.984</v>
      </c>
      <c r="G69" s="11">
        <f>IFERROR(__xludf.DUMMYFUNCTION("""COMPUTED_VALUE"""),3.0)</f>
        <v>3</v>
      </c>
      <c r="H69" s="11">
        <f>IFERROR(__xludf.DUMMYFUNCTION("""COMPUTED_VALUE"""),4.7067)</f>
        <v>4.7067</v>
      </c>
    </row>
    <row r="70">
      <c r="A70" s="8" t="str">
        <f>IFERROR(__xludf.DUMMYFUNCTION("""COMPUTED_VALUE"""),"CA-2014-104773")</f>
        <v>CA-2014-104773</v>
      </c>
      <c r="B70" s="9">
        <f>IFERROR(__xludf.DUMMYFUNCTION("""COMPUTED_VALUE"""),41981.0)</f>
        <v>41981</v>
      </c>
      <c r="C70" s="8" t="str">
        <f>IFERROR(__xludf.DUMMYFUNCTION("""COMPUTED_VALUE"""),"Corporate")</f>
        <v>Corporate</v>
      </c>
      <c r="D70" s="8" t="str">
        <f>IFERROR(__xludf.DUMMYFUNCTION("""COMPUTED_VALUE"""),"Texas")</f>
        <v>Texas</v>
      </c>
      <c r="E70" s="8" t="str">
        <f>IFERROR(__xludf.DUMMYFUNCTION("""COMPUTED_VALUE"""),"Central")</f>
        <v>Central</v>
      </c>
      <c r="F70" s="10">
        <f>IFERROR(__xludf.DUMMYFUNCTION("""COMPUTED_VALUE"""),60.416)</f>
        <v>60.416</v>
      </c>
      <c r="G70" s="11">
        <f>IFERROR(__xludf.DUMMYFUNCTION("""COMPUTED_VALUE"""),2.0)</f>
        <v>2</v>
      </c>
      <c r="H70" s="11">
        <f>IFERROR(__xludf.DUMMYFUNCTION("""COMPUTED_VALUE"""),6.0416)</f>
        <v>6.0416</v>
      </c>
    </row>
    <row r="71">
      <c r="A71" s="8" t="str">
        <f>IFERROR(__xludf.DUMMYFUNCTION("""COMPUTED_VALUE"""),"CA-2014-104780")</f>
        <v>CA-2014-104780</v>
      </c>
      <c r="B71" s="9">
        <f>IFERROR(__xludf.DUMMYFUNCTION("""COMPUTED_VALUE"""),41780.0)</f>
        <v>41780</v>
      </c>
      <c r="C71" s="8" t="str">
        <f>IFERROR(__xludf.DUMMYFUNCTION("""COMPUTED_VALUE"""),"Home Office")</f>
        <v>Home Office</v>
      </c>
      <c r="D71" s="8" t="str">
        <f>IFERROR(__xludf.DUMMYFUNCTION("""COMPUTED_VALUE"""),"California")</f>
        <v>California</v>
      </c>
      <c r="E71" s="8" t="str">
        <f>IFERROR(__xludf.DUMMYFUNCTION("""COMPUTED_VALUE"""),"West")</f>
        <v>West</v>
      </c>
      <c r="F71" s="10">
        <f>IFERROR(__xludf.DUMMYFUNCTION("""COMPUTED_VALUE"""),31.84)</f>
        <v>31.84</v>
      </c>
      <c r="G71" s="11">
        <f>IFERROR(__xludf.DUMMYFUNCTION("""COMPUTED_VALUE"""),8.0)</f>
        <v>8</v>
      </c>
      <c r="H71" s="11">
        <f>IFERROR(__xludf.DUMMYFUNCTION("""COMPUTED_VALUE"""),10.5072)</f>
        <v>10.5072</v>
      </c>
    </row>
    <row r="72">
      <c r="A72" s="8" t="str">
        <f>IFERROR(__xludf.DUMMYFUNCTION("""COMPUTED_VALUE"""),"CA-2014-104808")</f>
        <v>CA-2014-104808</v>
      </c>
      <c r="B72" s="9">
        <f>IFERROR(__xludf.DUMMYFUNCTION("""COMPUTED_VALUE"""),41674.0)</f>
        <v>41674</v>
      </c>
      <c r="C72" s="8" t="str">
        <f>IFERROR(__xludf.DUMMYFUNCTION("""COMPUTED_VALUE"""),"Corporate")</f>
        <v>Corporate</v>
      </c>
      <c r="D72" s="8" t="str">
        <f>IFERROR(__xludf.DUMMYFUNCTION("""COMPUTED_VALUE"""),"California")</f>
        <v>California</v>
      </c>
      <c r="E72" s="8" t="str">
        <f>IFERROR(__xludf.DUMMYFUNCTION("""COMPUTED_VALUE"""),"West")</f>
        <v>West</v>
      </c>
      <c r="F72" s="10">
        <f>IFERROR(__xludf.DUMMYFUNCTION("""COMPUTED_VALUE"""),17.248)</f>
        <v>17.248</v>
      </c>
      <c r="G72" s="11">
        <f>IFERROR(__xludf.DUMMYFUNCTION("""COMPUTED_VALUE"""),2.0)</f>
        <v>2</v>
      </c>
      <c r="H72" s="11">
        <f>IFERROR(__xludf.DUMMYFUNCTION("""COMPUTED_VALUE"""),6.0368)</f>
        <v>6.0368</v>
      </c>
    </row>
    <row r="73">
      <c r="A73" s="8" t="str">
        <f>IFERROR(__xludf.DUMMYFUNCTION("""COMPUTED_VALUE"""),"CA-2014-104829")</f>
        <v>CA-2014-104829</v>
      </c>
      <c r="B73" s="9">
        <f>IFERROR(__xludf.DUMMYFUNCTION("""COMPUTED_VALUE"""),41961.0)</f>
        <v>41961</v>
      </c>
      <c r="C73" s="8" t="str">
        <f>IFERROR(__xludf.DUMMYFUNCTION("""COMPUTED_VALUE"""),"Corporate")</f>
        <v>Corporate</v>
      </c>
      <c r="D73" s="8" t="str">
        <f>IFERROR(__xludf.DUMMYFUNCTION("""COMPUTED_VALUE"""),"Utah")</f>
        <v>Utah</v>
      </c>
      <c r="E73" s="8" t="str">
        <f>IFERROR(__xludf.DUMMYFUNCTION("""COMPUTED_VALUE"""),"West")</f>
        <v>West</v>
      </c>
      <c r="F73" s="10">
        <f>IFERROR(__xludf.DUMMYFUNCTION("""COMPUTED_VALUE"""),21.98)</f>
        <v>21.98</v>
      </c>
      <c r="G73" s="11">
        <f>IFERROR(__xludf.DUMMYFUNCTION("""COMPUTED_VALUE"""),7.0)</f>
        <v>7</v>
      </c>
      <c r="H73" s="11">
        <f>IFERROR(__xludf.DUMMYFUNCTION("""COMPUTED_VALUE"""),9.891)</f>
        <v>9.891</v>
      </c>
    </row>
    <row r="74">
      <c r="A74" s="8" t="str">
        <f>IFERROR(__xludf.DUMMYFUNCTION("""COMPUTED_VALUE"""),"CA-2014-104976")</f>
        <v>CA-2014-104976</v>
      </c>
      <c r="B74" s="9">
        <f>IFERROR(__xludf.DUMMYFUNCTION("""COMPUTED_VALUE"""),41982.0)</f>
        <v>41982</v>
      </c>
      <c r="C74" s="8" t="str">
        <f>IFERROR(__xludf.DUMMYFUNCTION("""COMPUTED_VALUE"""),"Corporate")</f>
        <v>Corporate</v>
      </c>
      <c r="D74" s="8" t="str">
        <f>IFERROR(__xludf.DUMMYFUNCTION("""COMPUTED_VALUE"""),"California")</f>
        <v>California</v>
      </c>
      <c r="E74" s="8" t="str">
        <f>IFERROR(__xludf.DUMMYFUNCTION("""COMPUTED_VALUE"""),"West")</f>
        <v>West</v>
      </c>
      <c r="F74" s="10">
        <f>IFERROR(__xludf.DUMMYFUNCTION("""COMPUTED_VALUE"""),34.68)</f>
        <v>34.68</v>
      </c>
      <c r="G74" s="11">
        <f>IFERROR(__xludf.DUMMYFUNCTION("""COMPUTED_VALUE"""),6.0)</f>
        <v>6</v>
      </c>
      <c r="H74" s="11">
        <f>IFERROR(__xludf.DUMMYFUNCTION("""COMPUTED_VALUE"""),16.9932)</f>
        <v>16.9932</v>
      </c>
    </row>
    <row r="75">
      <c r="A75" s="8" t="str">
        <f>IFERROR(__xludf.DUMMYFUNCTION("""COMPUTED_VALUE"""),"CA-2014-105165")</f>
        <v>CA-2014-105165</v>
      </c>
      <c r="B75" s="9">
        <f>IFERROR(__xludf.DUMMYFUNCTION("""COMPUTED_VALUE"""),41889.0)</f>
        <v>41889</v>
      </c>
      <c r="C75" s="8" t="str">
        <f>IFERROR(__xludf.DUMMYFUNCTION("""COMPUTED_VALUE"""),"Home Office")</f>
        <v>Home Office</v>
      </c>
      <c r="D75" s="8" t="str">
        <f>IFERROR(__xludf.DUMMYFUNCTION("""COMPUTED_VALUE"""),"Texas")</f>
        <v>Texas</v>
      </c>
      <c r="E75" s="8" t="str">
        <f>IFERROR(__xludf.DUMMYFUNCTION("""COMPUTED_VALUE"""),"Central")</f>
        <v>Central</v>
      </c>
      <c r="F75" s="10">
        <f>IFERROR(__xludf.DUMMYFUNCTION("""COMPUTED_VALUE"""),196.776)</f>
        <v>196.776</v>
      </c>
      <c r="G75" s="11">
        <f>IFERROR(__xludf.DUMMYFUNCTION("""COMPUTED_VALUE"""),3.0)</f>
        <v>3</v>
      </c>
      <c r="H75" s="11">
        <f>IFERROR(__xludf.DUMMYFUNCTION("""COMPUTED_VALUE"""),14.7582)</f>
        <v>14.7582</v>
      </c>
    </row>
    <row r="76">
      <c r="A76" s="8" t="str">
        <f>IFERROR(__xludf.DUMMYFUNCTION("""COMPUTED_VALUE"""),"CA-2014-105172")</f>
        <v>CA-2014-105172</v>
      </c>
      <c r="B76" s="9">
        <f>IFERROR(__xludf.DUMMYFUNCTION("""COMPUTED_VALUE"""),41733.0)</f>
        <v>41733</v>
      </c>
      <c r="C76" s="8" t="str">
        <f>IFERROR(__xludf.DUMMYFUNCTION("""COMPUTED_VALUE"""),"Home Office")</f>
        <v>Home Office</v>
      </c>
      <c r="D76" s="8" t="str">
        <f>IFERROR(__xludf.DUMMYFUNCTION("""COMPUTED_VALUE"""),"California")</f>
        <v>California</v>
      </c>
      <c r="E76" s="8" t="str">
        <f>IFERROR(__xludf.DUMMYFUNCTION("""COMPUTED_VALUE"""),"West")</f>
        <v>West</v>
      </c>
      <c r="F76" s="10">
        <f>IFERROR(__xludf.DUMMYFUNCTION("""COMPUTED_VALUE"""),18.9)</f>
        <v>18.9</v>
      </c>
      <c r="G76" s="11">
        <f>IFERROR(__xludf.DUMMYFUNCTION("""COMPUTED_VALUE"""),6.0)</f>
        <v>6</v>
      </c>
      <c r="H76" s="11">
        <f>IFERROR(__xludf.DUMMYFUNCTION("""COMPUTED_VALUE"""),9.072)</f>
        <v>9.072</v>
      </c>
    </row>
    <row r="77">
      <c r="A77" s="8" t="str">
        <f>IFERROR(__xludf.DUMMYFUNCTION("""COMPUTED_VALUE"""),"CA-2014-105249")</f>
        <v>CA-2014-105249</v>
      </c>
      <c r="B77" s="9">
        <f>IFERROR(__xludf.DUMMYFUNCTION("""COMPUTED_VALUE"""),41971.0)</f>
        <v>41971</v>
      </c>
      <c r="C77" s="8" t="str">
        <f>IFERROR(__xludf.DUMMYFUNCTION("""COMPUTED_VALUE"""),"Home Office")</f>
        <v>Home Office</v>
      </c>
      <c r="D77" s="8" t="str">
        <f>IFERROR(__xludf.DUMMYFUNCTION("""COMPUTED_VALUE"""),"California")</f>
        <v>California</v>
      </c>
      <c r="E77" s="8" t="str">
        <f>IFERROR(__xludf.DUMMYFUNCTION("""COMPUTED_VALUE"""),"West")</f>
        <v>West</v>
      </c>
      <c r="F77" s="10">
        <f>IFERROR(__xludf.DUMMYFUNCTION("""COMPUTED_VALUE"""),7.36)</f>
        <v>7.36</v>
      </c>
      <c r="G77" s="11">
        <f>IFERROR(__xludf.DUMMYFUNCTION("""COMPUTED_VALUE"""),2.0)</f>
        <v>2</v>
      </c>
      <c r="H77" s="11">
        <f>IFERROR(__xludf.DUMMYFUNCTION("""COMPUTED_VALUE"""),0.1472)</f>
        <v>0.1472</v>
      </c>
    </row>
    <row r="78">
      <c r="A78" s="8" t="str">
        <f>IFERROR(__xludf.DUMMYFUNCTION("""COMPUTED_VALUE"""),"CA-2014-105270")</f>
        <v>CA-2014-105270</v>
      </c>
      <c r="B78" s="9">
        <f>IFERROR(__xludf.DUMMYFUNCTION("""COMPUTED_VALUE"""),41954.0)</f>
        <v>41954</v>
      </c>
      <c r="C78" s="8" t="str">
        <f>IFERROR(__xludf.DUMMYFUNCTION("""COMPUTED_VALUE"""),"Consumer")</f>
        <v>Consumer</v>
      </c>
      <c r="D78" s="8" t="str">
        <f>IFERROR(__xludf.DUMMYFUNCTION("""COMPUTED_VALUE"""),"California")</f>
        <v>California</v>
      </c>
      <c r="E78" s="8" t="str">
        <f>IFERROR(__xludf.DUMMYFUNCTION("""COMPUTED_VALUE"""),"West")</f>
        <v>West</v>
      </c>
      <c r="F78" s="10">
        <f>IFERROR(__xludf.DUMMYFUNCTION("""COMPUTED_VALUE"""),30.48)</f>
        <v>30.48</v>
      </c>
      <c r="G78" s="11">
        <f>IFERROR(__xludf.DUMMYFUNCTION("""COMPUTED_VALUE"""),3.0)</f>
        <v>3</v>
      </c>
      <c r="H78" s="11">
        <f>IFERROR(__xludf.DUMMYFUNCTION("""COMPUTED_VALUE"""),7.9248)</f>
        <v>7.9248</v>
      </c>
    </row>
    <row r="79">
      <c r="A79" s="8" t="str">
        <f>IFERROR(__xludf.DUMMYFUNCTION("""COMPUTED_VALUE"""),"CA-2014-105340")</f>
        <v>CA-2014-105340</v>
      </c>
      <c r="B79" s="9">
        <f>IFERROR(__xludf.DUMMYFUNCTION("""COMPUTED_VALUE"""),41965.0)</f>
        <v>41965</v>
      </c>
      <c r="C79" s="8" t="str">
        <f>IFERROR(__xludf.DUMMYFUNCTION("""COMPUTED_VALUE"""),"Consumer")</f>
        <v>Consumer</v>
      </c>
      <c r="D79" s="8" t="str">
        <f>IFERROR(__xludf.DUMMYFUNCTION("""COMPUTED_VALUE"""),"Texas")</f>
        <v>Texas</v>
      </c>
      <c r="E79" s="8" t="str">
        <f>IFERROR(__xludf.DUMMYFUNCTION("""COMPUTED_VALUE"""),"Central")</f>
        <v>Central</v>
      </c>
      <c r="F79" s="10">
        <f>IFERROR(__xludf.DUMMYFUNCTION("""COMPUTED_VALUE"""),6.928)</f>
        <v>6.928</v>
      </c>
      <c r="G79" s="11">
        <f>IFERROR(__xludf.DUMMYFUNCTION("""COMPUTED_VALUE"""),1.0)</f>
        <v>1</v>
      </c>
      <c r="H79" s="11">
        <f>IFERROR(__xludf.DUMMYFUNCTION("""COMPUTED_VALUE"""),-11.0848)</f>
        <v>-11.0848</v>
      </c>
    </row>
    <row r="80">
      <c r="A80" s="8" t="str">
        <f>IFERROR(__xludf.DUMMYFUNCTION("""COMPUTED_VALUE"""),"CA-2014-105417")</f>
        <v>CA-2014-105417</v>
      </c>
      <c r="B80" s="9">
        <f>IFERROR(__xludf.DUMMYFUNCTION("""COMPUTED_VALUE"""),41646.0)</f>
        <v>41646</v>
      </c>
      <c r="C80" s="8" t="str">
        <f>IFERROR(__xludf.DUMMYFUNCTION("""COMPUTED_VALUE"""),"Consumer")</f>
        <v>Consumer</v>
      </c>
      <c r="D80" s="8" t="str">
        <f>IFERROR(__xludf.DUMMYFUNCTION("""COMPUTED_VALUE"""),"Texas")</f>
        <v>Texas</v>
      </c>
      <c r="E80" s="8" t="str">
        <f>IFERROR(__xludf.DUMMYFUNCTION("""COMPUTED_VALUE"""),"Central")</f>
        <v>Central</v>
      </c>
      <c r="F80" s="10">
        <f>IFERROR(__xludf.DUMMYFUNCTION("""COMPUTED_VALUE"""),76.728)</f>
        <v>76.728</v>
      </c>
      <c r="G80" s="11">
        <f>IFERROR(__xludf.DUMMYFUNCTION("""COMPUTED_VALUE"""),3.0)</f>
        <v>3</v>
      </c>
      <c r="H80" s="11">
        <f>IFERROR(__xludf.DUMMYFUNCTION("""COMPUTED_VALUE"""),-53.7096)</f>
        <v>-53.7096</v>
      </c>
    </row>
    <row r="81">
      <c r="A81" s="8" t="str">
        <f>IFERROR(__xludf.DUMMYFUNCTION("""COMPUTED_VALUE"""),"CA-2014-105648")</f>
        <v>CA-2014-105648</v>
      </c>
      <c r="B81" s="9">
        <f>IFERROR(__xludf.DUMMYFUNCTION("""COMPUTED_VALUE"""),41701.0)</f>
        <v>41701</v>
      </c>
      <c r="C81" s="8" t="str">
        <f>IFERROR(__xludf.DUMMYFUNCTION("""COMPUTED_VALUE"""),"Consumer")</f>
        <v>Consumer</v>
      </c>
      <c r="D81" s="8" t="str">
        <f>IFERROR(__xludf.DUMMYFUNCTION("""COMPUTED_VALUE"""),"California")</f>
        <v>California</v>
      </c>
      <c r="E81" s="8" t="str">
        <f>IFERROR(__xludf.DUMMYFUNCTION("""COMPUTED_VALUE"""),"West")</f>
        <v>West</v>
      </c>
      <c r="F81" s="10">
        <f>IFERROR(__xludf.DUMMYFUNCTION("""COMPUTED_VALUE"""),626.352)</f>
        <v>626.352</v>
      </c>
      <c r="G81" s="11">
        <f>IFERROR(__xludf.DUMMYFUNCTION("""COMPUTED_VALUE"""),3.0)</f>
        <v>3</v>
      </c>
      <c r="H81" s="11">
        <f>IFERROR(__xludf.DUMMYFUNCTION("""COMPUTED_VALUE"""),-23.4882)</f>
        <v>-23.4882</v>
      </c>
    </row>
    <row r="82">
      <c r="A82" s="8" t="str">
        <f>IFERROR(__xludf.DUMMYFUNCTION("""COMPUTED_VALUE"""),"CA-2014-105872")</f>
        <v>CA-2014-105872</v>
      </c>
      <c r="B82" s="9">
        <f>IFERROR(__xludf.DUMMYFUNCTION("""COMPUTED_VALUE"""),41789.0)</f>
        <v>41789</v>
      </c>
      <c r="C82" s="8" t="str">
        <f>IFERROR(__xludf.DUMMYFUNCTION("""COMPUTED_VALUE"""),"Consumer")</f>
        <v>Consumer</v>
      </c>
      <c r="D82" s="8" t="str">
        <f>IFERROR(__xludf.DUMMYFUNCTION("""COMPUTED_VALUE"""),"New York")</f>
        <v>New York</v>
      </c>
      <c r="E82" s="8" t="str">
        <f>IFERROR(__xludf.DUMMYFUNCTION("""COMPUTED_VALUE"""),"East")</f>
        <v>East</v>
      </c>
      <c r="F82" s="10">
        <f>IFERROR(__xludf.DUMMYFUNCTION("""COMPUTED_VALUE"""),70.368)</f>
        <v>70.368</v>
      </c>
      <c r="G82" s="11">
        <f>IFERROR(__xludf.DUMMYFUNCTION("""COMPUTED_VALUE"""),4.0)</f>
        <v>4</v>
      </c>
      <c r="H82" s="11">
        <f>IFERROR(__xludf.DUMMYFUNCTION("""COMPUTED_VALUE"""),26.388)</f>
        <v>26.388</v>
      </c>
    </row>
    <row r="83">
      <c r="A83" s="8" t="str">
        <f>IFERROR(__xludf.DUMMYFUNCTION("""COMPUTED_VALUE"""),"CA-2014-105893")</f>
        <v>CA-2014-105893</v>
      </c>
      <c r="B83" s="9">
        <f>IFERROR(__xludf.DUMMYFUNCTION("""COMPUTED_VALUE"""),41954.0)</f>
        <v>41954</v>
      </c>
      <c r="C83" s="8" t="str">
        <f>IFERROR(__xludf.DUMMYFUNCTION("""COMPUTED_VALUE"""),"Consumer")</f>
        <v>Consumer</v>
      </c>
      <c r="D83" s="8" t="str">
        <f>IFERROR(__xludf.DUMMYFUNCTION("""COMPUTED_VALUE"""),"Wisconsin")</f>
        <v>Wisconsin</v>
      </c>
      <c r="E83" s="8" t="str">
        <f>IFERROR(__xludf.DUMMYFUNCTION("""COMPUTED_VALUE"""),"Central")</f>
        <v>Central</v>
      </c>
      <c r="F83" s="10">
        <f>IFERROR(__xludf.DUMMYFUNCTION("""COMPUTED_VALUE"""),665.88)</f>
        <v>665.88</v>
      </c>
      <c r="G83" s="11">
        <f>IFERROR(__xludf.DUMMYFUNCTION("""COMPUTED_VALUE"""),6.0)</f>
        <v>6</v>
      </c>
      <c r="H83" s="11">
        <f>IFERROR(__xludf.DUMMYFUNCTION("""COMPUTED_VALUE"""),13.3176)</f>
        <v>13.3176</v>
      </c>
    </row>
    <row r="84">
      <c r="A84" s="8" t="str">
        <f>IFERROR(__xludf.DUMMYFUNCTION("""COMPUTED_VALUE"""),"CA-2014-105984")</f>
        <v>CA-2014-105984</v>
      </c>
      <c r="B84" s="9">
        <f>IFERROR(__xludf.DUMMYFUNCTION("""COMPUTED_VALUE"""),41967.0)</f>
        <v>41967</v>
      </c>
      <c r="C84" s="8" t="str">
        <f>IFERROR(__xludf.DUMMYFUNCTION("""COMPUTED_VALUE"""),"Corporate")</f>
        <v>Corporate</v>
      </c>
      <c r="D84" s="8" t="str">
        <f>IFERROR(__xludf.DUMMYFUNCTION("""COMPUTED_VALUE"""),"Ohio")</f>
        <v>Ohio</v>
      </c>
      <c r="E84" s="8" t="str">
        <f>IFERROR(__xludf.DUMMYFUNCTION("""COMPUTED_VALUE"""),"East")</f>
        <v>East</v>
      </c>
      <c r="F84" s="10">
        <f>IFERROR(__xludf.DUMMYFUNCTION("""COMPUTED_VALUE"""),1049.97)</f>
        <v>1049.97</v>
      </c>
      <c r="G84" s="11">
        <f>IFERROR(__xludf.DUMMYFUNCTION("""COMPUTED_VALUE"""),5.0)</f>
        <v>5</v>
      </c>
      <c r="H84" s="11">
        <f>IFERROR(__xludf.DUMMYFUNCTION("""COMPUTED_VALUE"""),-209.994)</f>
        <v>-209.994</v>
      </c>
    </row>
    <row r="85">
      <c r="A85" s="8" t="str">
        <f>IFERROR(__xludf.DUMMYFUNCTION("""COMPUTED_VALUE"""),"CA-2014-106054")</f>
        <v>CA-2014-106054</v>
      </c>
      <c r="B85" s="9">
        <f>IFERROR(__xludf.DUMMYFUNCTION("""COMPUTED_VALUE"""),41645.0)</f>
        <v>41645</v>
      </c>
      <c r="C85" s="8" t="str">
        <f>IFERROR(__xludf.DUMMYFUNCTION("""COMPUTED_VALUE"""),"Corporate")</f>
        <v>Corporate</v>
      </c>
      <c r="D85" s="8" t="str">
        <f>IFERROR(__xludf.DUMMYFUNCTION("""COMPUTED_VALUE"""),"Georgia")</f>
        <v>Georgia</v>
      </c>
      <c r="E85" s="8" t="str">
        <f>IFERROR(__xludf.DUMMYFUNCTION("""COMPUTED_VALUE"""),"South")</f>
        <v>South</v>
      </c>
      <c r="F85" s="10">
        <f>IFERROR(__xludf.DUMMYFUNCTION("""COMPUTED_VALUE"""),12.78)</f>
        <v>12.78</v>
      </c>
      <c r="G85" s="11">
        <f>IFERROR(__xludf.DUMMYFUNCTION("""COMPUTED_VALUE"""),3.0)</f>
        <v>3</v>
      </c>
      <c r="H85" s="11">
        <f>IFERROR(__xludf.DUMMYFUNCTION("""COMPUTED_VALUE"""),5.2398)</f>
        <v>5.2398</v>
      </c>
    </row>
    <row r="86">
      <c r="A86" s="8" t="str">
        <f>IFERROR(__xludf.DUMMYFUNCTION("""COMPUTED_VALUE"""),"CA-2014-106229")</f>
        <v>CA-2014-106229</v>
      </c>
      <c r="B86" s="9">
        <f>IFERROR(__xludf.DUMMYFUNCTION("""COMPUTED_VALUE"""),41797.0)</f>
        <v>41797</v>
      </c>
      <c r="C86" s="8" t="str">
        <f>IFERROR(__xludf.DUMMYFUNCTION("""COMPUTED_VALUE"""),"Consumer")</f>
        <v>Consumer</v>
      </c>
      <c r="D86" s="8" t="str">
        <f>IFERROR(__xludf.DUMMYFUNCTION("""COMPUTED_VALUE"""),"Illinois")</f>
        <v>Illinois</v>
      </c>
      <c r="E86" s="8" t="str">
        <f>IFERROR(__xludf.DUMMYFUNCTION("""COMPUTED_VALUE"""),"Central")</f>
        <v>Central</v>
      </c>
      <c r="F86" s="10">
        <f>IFERROR(__xludf.DUMMYFUNCTION("""COMPUTED_VALUE"""),268.935)</f>
        <v>268.935</v>
      </c>
      <c r="G86" s="11">
        <f>IFERROR(__xludf.DUMMYFUNCTION("""COMPUTED_VALUE"""),3.0)</f>
        <v>3</v>
      </c>
      <c r="H86" s="11">
        <f>IFERROR(__xludf.DUMMYFUNCTION("""COMPUTED_VALUE"""),-209.7693)</f>
        <v>-209.7693</v>
      </c>
    </row>
    <row r="87">
      <c r="A87" s="8" t="str">
        <f>IFERROR(__xludf.DUMMYFUNCTION("""COMPUTED_VALUE"""),"CA-2014-106264")</f>
        <v>CA-2014-106264</v>
      </c>
      <c r="B87" s="9">
        <f>IFERROR(__xludf.DUMMYFUNCTION("""COMPUTED_VALUE"""),41999.0)</f>
        <v>41999</v>
      </c>
      <c r="C87" s="8" t="str">
        <f>IFERROR(__xludf.DUMMYFUNCTION("""COMPUTED_VALUE"""),"Consumer")</f>
        <v>Consumer</v>
      </c>
      <c r="D87" s="8" t="str">
        <f>IFERROR(__xludf.DUMMYFUNCTION("""COMPUTED_VALUE"""),"California")</f>
        <v>California</v>
      </c>
      <c r="E87" s="8" t="str">
        <f>IFERROR(__xludf.DUMMYFUNCTION("""COMPUTED_VALUE"""),"West")</f>
        <v>West</v>
      </c>
      <c r="F87" s="10">
        <f>IFERROR(__xludf.DUMMYFUNCTION("""COMPUTED_VALUE"""),11.91)</f>
        <v>11.91</v>
      </c>
      <c r="G87" s="11">
        <f>IFERROR(__xludf.DUMMYFUNCTION("""COMPUTED_VALUE"""),3.0)</f>
        <v>3</v>
      </c>
      <c r="H87" s="11">
        <f>IFERROR(__xludf.DUMMYFUNCTION("""COMPUTED_VALUE"""),0.1191)</f>
        <v>0.1191</v>
      </c>
    </row>
    <row r="88">
      <c r="A88" s="8" t="str">
        <f>IFERROR(__xludf.DUMMYFUNCTION("""COMPUTED_VALUE"""),"CA-2014-106376")</f>
        <v>CA-2014-106376</v>
      </c>
      <c r="B88" s="9">
        <f>IFERROR(__xludf.DUMMYFUNCTION("""COMPUTED_VALUE"""),41978.0)</f>
        <v>41978</v>
      </c>
      <c r="C88" s="8" t="str">
        <f>IFERROR(__xludf.DUMMYFUNCTION("""COMPUTED_VALUE"""),"Corporate")</f>
        <v>Corporate</v>
      </c>
      <c r="D88" s="8" t="str">
        <f>IFERROR(__xludf.DUMMYFUNCTION("""COMPUTED_VALUE"""),"Arizona")</f>
        <v>Arizona</v>
      </c>
      <c r="E88" s="8" t="str">
        <f>IFERROR(__xludf.DUMMYFUNCTION("""COMPUTED_VALUE"""),"West")</f>
        <v>West</v>
      </c>
      <c r="F88" s="10">
        <f>IFERROR(__xludf.DUMMYFUNCTION("""COMPUTED_VALUE"""),1113.024)</f>
        <v>1113.024</v>
      </c>
      <c r="G88" s="11">
        <f>IFERROR(__xludf.DUMMYFUNCTION("""COMPUTED_VALUE"""),8.0)</f>
        <v>8</v>
      </c>
      <c r="H88" s="11">
        <f>IFERROR(__xludf.DUMMYFUNCTION("""COMPUTED_VALUE"""),111.3024)</f>
        <v>111.3024</v>
      </c>
    </row>
    <row r="89">
      <c r="A89" s="8" t="str">
        <f>IFERROR(__xludf.DUMMYFUNCTION("""COMPUTED_VALUE"""),"CA-2014-106439")</f>
        <v>CA-2014-106439</v>
      </c>
      <c r="B89" s="9">
        <f>IFERROR(__xludf.DUMMYFUNCTION("""COMPUTED_VALUE"""),41943.0)</f>
        <v>41943</v>
      </c>
      <c r="C89" s="8" t="str">
        <f>IFERROR(__xludf.DUMMYFUNCTION("""COMPUTED_VALUE"""),"Corporate")</f>
        <v>Corporate</v>
      </c>
      <c r="D89" s="8" t="str">
        <f>IFERROR(__xludf.DUMMYFUNCTION("""COMPUTED_VALUE"""),"California")</f>
        <v>California</v>
      </c>
      <c r="E89" s="8" t="str">
        <f>IFERROR(__xludf.DUMMYFUNCTION("""COMPUTED_VALUE"""),"West")</f>
        <v>West</v>
      </c>
      <c r="F89" s="10">
        <f>IFERROR(__xludf.DUMMYFUNCTION("""COMPUTED_VALUE"""),11.34)</f>
        <v>11.34</v>
      </c>
      <c r="G89" s="11">
        <f>IFERROR(__xludf.DUMMYFUNCTION("""COMPUTED_VALUE"""),3.0)</f>
        <v>3</v>
      </c>
      <c r="H89" s="11">
        <f>IFERROR(__xludf.DUMMYFUNCTION("""COMPUTED_VALUE"""),5.2164)</f>
        <v>5.2164</v>
      </c>
    </row>
    <row r="90">
      <c r="A90" s="8" t="str">
        <f>IFERROR(__xludf.DUMMYFUNCTION("""COMPUTED_VALUE"""),"CA-2014-106572")</f>
        <v>CA-2014-106572</v>
      </c>
      <c r="B90" s="9">
        <f>IFERROR(__xludf.DUMMYFUNCTION("""COMPUTED_VALUE"""),41887.0)</f>
        <v>41887</v>
      </c>
      <c r="C90" s="8" t="str">
        <f>IFERROR(__xludf.DUMMYFUNCTION("""COMPUTED_VALUE"""),"Consumer")</f>
        <v>Consumer</v>
      </c>
      <c r="D90" s="8" t="str">
        <f>IFERROR(__xludf.DUMMYFUNCTION("""COMPUTED_VALUE"""),"Ohio")</f>
        <v>Ohio</v>
      </c>
      <c r="E90" s="8" t="str">
        <f>IFERROR(__xludf.DUMMYFUNCTION("""COMPUTED_VALUE"""),"East")</f>
        <v>East</v>
      </c>
      <c r="F90" s="10">
        <f>IFERROR(__xludf.DUMMYFUNCTION("""COMPUTED_VALUE"""),264.32)</f>
        <v>264.32</v>
      </c>
      <c r="G90" s="11">
        <f>IFERROR(__xludf.DUMMYFUNCTION("""COMPUTED_VALUE"""),2.0)</f>
        <v>2</v>
      </c>
      <c r="H90" s="11">
        <f>IFERROR(__xludf.DUMMYFUNCTION("""COMPUTED_VALUE"""),19.824)</f>
        <v>19.824</v>
      </c>
    </row>
    <row r="91">
      <c r="A91" s="8" t="str">
        <f>IFERROR(__xludf.DUMMYFUNCTION("""COMPUTED_VALUE"""),"CA-2014-106719")</f>
        <v>CA-2014-106719</v>
      </c>
      <c r="B91" s="9">
        <f>IFERROR(__xludf.DUMMYFUNCTION("""COMPUTED_VALUE"""),41875.0)</f>
        <v>41875</v>
      </c>
      <c r="C91" s="8" t="str">
        <f>IFERROR(__xludf.DUMMYFUNCTION("""COMPUTED_VALUE"""),"Corporate")</f>
        <v>Corporate</v>
      </c>
      <c r="D91" s="8" t="str">
        <f>IFERROR(__xludf.DUMMYFUNCTION("""COMPUTED_VALUE"""),"Montana")</f>
        <v>Montana</v>
      </c>
      <c r="E91" s="8" t="str">
        <f>IFERROR(__xludf.DUMMYFUNCTION("""COMPUTED_VALUE"""),"West")</f>
        <v>West</v>
      </c>
      <c r="F91" s="10">
        <f>IFERROR(__xludf.DUMMYFUNCTION("""COMPUTED_VALUE"""),8.288)</f>
        <v>8.288</v>
      </c>
      <c r="G91" s="11">
        <f>IFERROR(__xludf.DUMMYFUNCTION("""COMPUTED_VALUE"""),2.0)</f>
        <v>2</v>
      </c>
      <c r="H91" s="11">
        <f>IFERROR(__xludf.DUMMYFUNCTION("""COMPUTED_VALUE"""),2.6936)</f>
        <v>2.6936</v>
      </c>
    </row>
    <row r="92">
      <c r="A92" s="8" t="str">
        <f>IFERROR(__xludf.DUMMYFUNCTION("""COMPUTED_VALUE"""),"CA-2014-106726")</f>
        <v>CA-2014-106726</v>
      </c>
      <c r="B92" s="9">
        <f>IFERROR(__xludf.DUMMYFUNCTION("""COMPUTED_VALUE"""),41979.0)</f>
        <v>41979</v>
      </c>
      <c r="C92" s="8" t="str">
        <f>IFERROR(__xludf.DUMMYFUNCTION("""COMPUTED_VALUE"""),"Corporate")</f>
        <v>Corporate</v>
      </c>
      <c r="D92" s="8" t="str">
        <f>IFERROR(__xludf.DUMMYFUNCTION("""COMPUTED_VALUE"""),"California")</f>
        <v>California</v>
      </c>
      <c r="E92" s="8" t="str">
        <f>IFERROR(__xludf.DUMMYFUNCTION("""COMPUTED_VALUE"""),"West")</f>
        <v>West</v>
      </c>
      <c r="F92" s="10">
        <f>IFERROR(__xludf.DUMMYFUNCTION("""COMPUTED_VALUE"""),1261.33)</f>
        <v>1261.33</v>
      </c>
      <c r="G92" s="11">
        <f>IFERROR(__xludf.DUMMYFUNCTION("""COMPUTED_VALUE"""),7.0)</f>
        <v>7</v>
      </c>
      <c r="H92" s="11">
        <f>IFERROR(__xludf.DUMMYFUNCTION("""COMPUTED_VALUE"""),327.9458)</f>
        <v>327.9458</v>
      </c>
    </row>
    <row r="93">
      <c r="A93" s="8" t="str">
        <f>IFERROR(__xludf.DUMMYFUNCTION("""COMPUTED_VALUE"""),"CA-2014-106803")</f>
        <v>CA-2014-106803</v>
      </c>
      <c r="B93" s="9">
        <f>IFERROR(__xludf.DUMMYFUNCTION("""COMPUTED_VALUE"""),42002.0)</f>
        <v>42002</v>
      </c>
      <c r="C93" s="8" t="str">
        <f>IFERROR(__xludf.DUMMYFUNCTION("""COMPUTED_VALUE"""),"Consumer")</f>
        <v>Consumer</v>
      </c>
      <c r="D93" s="8" t="str">
        <f>IFERROR(__xludf.DUMMYFUNCTION("""COMPUTED_VALUE"""),"Minnesota")</f>
        <v>Minnesota</v>
      </c>
      <c r="E93" s="8" t="str">
        <f>IFERROR(__xludf.DUMMYFUNCTION("""COMPUTED_VALUE"""),"Central")</f>
        <v>Central</v>
      </c>
      <c r="F93" s="10">
        <f>IFERROR(__xludf.DUMMYFUNCTION("""COMPUTED_VALUE"""),24.56)</f>
        <v>24.56</v>
      </c>
      <c r="G93" s="11">
        <f>IFERROR(__xludf.DUMMYFUNCTION("""COMPUTED_VALUE"""),2.0)</f>
        <v>2</v>
      </c>
      <c r="H93" s="11">
        <f>IFERROR(__xludf.DUMMYFUNCTION("""COMPUTED_VALUE"""),6.8768)</f>
        <v>6.8768</v>
      </c>
    </row>
    <row r="94">
      <c r="A94" s="8" t="str">
        <f>IFERROR(__xludf.DUMMYFUNCTION("""COMPUTED_VALUE"""),"CA-2014-106810")</f>
        <v>CA-2014-106810</v>
      </c>
      <c r="B94" s="9">
        <f>IFERROR(__xludf.DUMMYFUNCTION("""COMPUTED_VALUE"""),41773.0)</f>
        <v>41773</v>
      </c>
      <c r="C94" s="8" t="str">
        <f>IFERROR(__xludf.DUMMYFUNCTION("""COMPUTED_VALUE"""),"Corporate")</f>
        <v>Corporate</v>
      </c>
      <c r="D94" s="8" t="str">
        <f>IFERROR(__xludf.DUMMYFUNCTION("""COMPUTED_VALUE"""),"Florida")</f>
        <v>Florida</v>
      </c>
      <c r="E94" s="8" t="str">
        <f>IFERROR(__xludf.DUMMYFUNCTION("""COMPUTED_VALUE"""),"South")</f>
        <v>South</v>
      </c>
      <c r="F94" s="10">
        <f>IFERROR(__xludf.DUMMYFUNCTION("""COMPUTED_VALUE"""),310.88)</f>
        <v>310.88</v>
      </c>
      <c r="G94" s="11">
        <f>IFERROR(__xludf.DUMMYFUNCTION("""COMPUTED_VALUE"""),2.0)</f>
        <v>2</v>
      </c>
      <c r="H94" s="11">
        <f>IFERROR(__xludf.DUMMYFUNCTION("""COMPUTED_VALUE"""),23.316)</f>
        <v>23.316</v>
      </c>
    </row>
    <row r="95">
      <c r="A95" s="8" t="str">
        <f>IFERROR(__xludf.DUMMYFUNCTION("""COMPUTED_VALUE"""),"CA-2014-106971")</f>
        <v>CA-2014-106971</v>
      </c>
      <c r="B95" s="9">
        <f>IFERROR(__xludf.DUMMYFUNCTION("""COMPUTED_VALUE"""),41884.0)</f>
        <v>41884</v>
      </c>
      <c r="C95" s="8" t="str">
        <f>IFERROR(__xludf.DUMMYFUNCTION("""COMPUTED_VALUE"""),"Consumer")</f>
        <v>Consumer</v>
      </c>
      <c r="D95" s="8" t="str">
        <f>IFERROR(__xludf.DUMMYFUNCTION("""COMPUTED_VALUE"""),"Illinois")</f>
        <v>Illinois</v>
      </c>
      <c r="E95" s="8" t="str">
        <f>IFERROR(__xludf.DUMMYFUNCTION("""COMPUTED_VALUE"""),"Central")</f>
        <v>Central</v>
      </c>
      <c r="F95" s="10">
        <f>IFERROR(__xludf.DUMMYFUNCTION("""COMPUTED_VALUE"""),475.944)</f>
        <v>475.944</v>
      </c>
      <c r="G95" s="11">
        <f>IFERROR(__xludf.DUMMYFUNCTION("""COMPUTED_VALUE"""),7.0)</f>
        <v>7</v>
      </c>
      <c r="H95" s="11">
        <f>IFERROR(__xludf.DUMMYFUNCTION("""COMPUTED_VALUE"""),95.1888)</f>
        <v>95.1888</v>
      </c>
    </row>
    <row r="96">
      <c r="A96" s="8" t="str">
        <f>IFERROR(__xludf.DUMMYFUNCTION("""COMPUTED_VALUE"""),"CA-2014-107139")</f>
        <v>CA-2014-107139</v>
      </c>
      <c r="B96" s="9">
        <f>IFERROR(__xludf.DUMMYFUNCTION("""COMPUTED_VALUE"""),41825.0)</f>
        <v>41825</v>
      </c>
      <c r="C96" s="8" t="str">
        <f>IFERROR(__xludf.DUMMYFUNCTION("""COMPUTED_VALUE"""),"Home Office")</f>
        <v>Home Office</v>
      </c>
      <c r="D96" s="8" t="str">
        <f>IFERROR(__xludf.DUMMYFUNCTION("""COMPUTED_VALUE"""),"California")</f>
        <v>California</v>
      </c>
      <c r="E96" s="8" t="str">
        <f>IFERROR(__xludf.DUMMYFUNCTION("""COMPUTED_VALUE"""),"West")</f>
        <v>West</v>
      </c>
      <c r="F96" s="10">
        <f>IFERROR(__xludf.DUMMYFUNCTION("""COMPUTED_VALUE"""),180.96)</f>
        <v>180.96</v>
      </c>
      <c r="G96" s="11">
        <f>IFERROR(__xludf.DUMMYFUNCTION("""COMPUTED_VALUE"""),6.0)</f>
        <v>6</v>
      </c>
      <c r="H96" s="11">
        <f>IFERROR(__xludf.DUMMYFUNCTION("""COMPUTED_VALUE"""),67.86)</f>
        <v>67.86</v>
      </c>
    </row>
    <row r="97">
      <c r="A97" s="8" t="str">
        <f>IFERROR(__xludf.DUMMYFUNCTION("""COMPUTED_VALUE"""),"CA-2014-107153")</f>
        <v>CA-2014-107153</v>
      </c>
      <c r="B97" s="9">
        <f>IFERROR(__xludf.DUMMYFUNCTION("""COMPUTED_VALUE"""),41910.0)</f>
        <v>41910</v>
      </c>
      <c r="C97" s="8" t="str">
        <f>IFERROR(__xludf.DUMMYFUNCTION("""COMPUTED_VALUE"""),"Corporate")</f>
        <v>Corporate</v>
      </c>
      <c r="D97" s="8" t="str">
        <f>IFERROR(__xludf.DUMMYFUNCTION("""COMPUTED_VALUE"""),"Massachusetts")</f>
        <v>Massachusetts</v>
      </c>
      <c r="E97" s="8" t="str">
        <f>IFERROR(__xludf.DUMMYFUNCTION("""COMPUTED_VALUE"""),"East")</f>
        <v>East</v>
      </c>
      <c r="F97" s="10">
        <f>IFERROR(__xludf.DUMMYFUNCTION("""COMPUTED_VALUE"""),46.26)</f>
        <v>46.26</v>
      </c>
      <c r="G97" s="11">
        <f>IFERROR(__xludf.DUMMYFUNCTION("""COMPUTED_VALUE"""),3.0)</f>
        <v>3</v>
      </c>
      <c r="H97" s="11">
        <f>IFERROR(__xludf.DUMMYFUNCTION("""COMPUTED_VALUE"""),12.4902)</f>
        <v>12.4902</v>
      </c>
    </row>
    <row r="98">
      <c r="A98" s="8" t="str">
        <f>IFERROR(__xludf.DUMMYFUNCTION("""COMPUTED_VALUE"""),"CA-2014-107181")</f>
        <v>CA-2014-107181</v>
      </c>
      <c r="B98" s="9">
        <f>IFERROR(__xludf.DUMMYFUNCTION("""COMPUTED_VALUE"""),41674.0)</f>
        <v>41674</v>
      </c>
      <c r="C98" s="8" t="str">
        <f>IFERROR(__xludf.DUMMYFUNCTION("""COMPUTED_VALUE"""),"Home Office")</f>
        <v>Home Office</v>
      </c>
      <c r="D98" s="8" t="str">
        <f>IFERROR(__xludf.DUMMYFUNCTION("""COMPUTED_VALUE"""),"California")</f>
        <v>California</v>
      </c>
      <c r="E98" s="8" t="str">
        <f>IFERROR(__xludf.DUMMYFUNCTION("""COMPUTED_VALUE"""),"West")</f>
        <v>West</v>
      </c>
      <c r="F98" s="10">
        <f>IFERROR(__xludf.DUMMYFUNCTION("""COMPUTED_VALUE"""),82.896)</f>
        <v>82.896</v>
      </c>
      <c r="G98" s="11">
        <f>IFERROR(__xludf.DUMMYFUNCTION("""COMPUTED_VALUE"""),3.0)</f>
        <v>3</v>
      </c>
      <c r="H98" s="11">
        <f>IFERROR(__xludf.DUMMYFUNCTION("""COMPUTED_VALUE"""),29.0136)</f>
        <v>29.0136</v>
      </c>
    </row>
    <row r="99">
      <c r="A99" s="8" t="str">
        <f>IFERROR(__xludf.DUMMYFUNCTION("""COMPUTED_VALUE"""),"CA-2014-107398")</f>
        <v>CA-2014-107398</v>
      </c>
      <c r="B99" s="9">
        <f>IFERROR(__xludf.DUMMYFUNCTION("""COMPUTED_VALUE"""),41876.0)</f>
        <v>41876</v>
      </c>
      <c r="C99" s="8" t="str">
        <f>IFERROR(__xludf.DUMMYFUNCTION("""COMPUTED_VALUE"""),"Corporate")</f>
        <v>Corporate</v>
      </c>
      <c r="D99" s="8" t="str">
        <f>IFERROR(__xludf.DUMMYFUNCTION("""COMPUTED_VALUE"""),"Ohio")</f>
        <v>Ohio</v>
      </c>
      <c r="E99" s="8" t="str">
        <f>IFERROR(__xludf.DUMMYFUNCTION("""COMPUTED_VALUE"""),"East")</f>
        <v>East</v>
      </c>
      <c r="F99" s="10">
        <f>IFERROR(__xludf.DUMMYFUNCTION("""COMPUTED_VALUE"""),6.528)</f>
        <v>6.528</v>
      </c>
      <c r="G99" s="11">
        <f>IFERROR(__xludf.DUMMYFUNCTION("""COMPUTED_VALUE"""),4.0)</f>
        <v>4</v>
      </c>
      <c r="H99" s="11">
        <f>IFERROR(__xludf.DUMMYFUNCTION("""COMPUTED_VALUE"""),-4.5696)</f>
        <v>-4.5696</v>
      </c>
    </row>
    <row r="100">
      <c r="A100" s="8" t="str">
        <f>IFERROR(__xludf.DUMMYFUNCTION("""COMPUTED_VALUE"""),"CA-2014-107454")</f>
        <v>CA-2014-107454</v>
      </c>
      <c r="B100" s="9">
        <f>IFERROR(__xludf.DUMMYFUNCTION("""COMPUTED_VALUE"""),41945.0)</f>
        <v>41945</v>
      </c>
      <c r="C100" s="8" t="str">
        <f>IFERROR(__xludf.DUMMYFUNCTION("""COMPUTED_VALUE"""),"Consumer")</f>
        <v>Consumer</v>
      </c>
      <c r="D100" s="8" t="str">
        <f>IFERROR(__xludf.DUMMYFUNCTION("""COMPUTED_VALUE"""),"New York")</f>
        <v>New York</v>
      </c>
      <c r="E100" s="8" t="str">
        <f>IFERROR(__xludf.DUMMYFUNCTION("""COMPUTED_VALUE"""),"East")</f>
        <v>East</v>
      </c>
      <c r="F100" s="10">
        <f>IFERROR(__xludf.DUMMYFUNCTION("""COMPUTED_VALUE"""),34.86)</f>
        <v>34.86</v>
      </c>
      <c r="G100" s="11">
        <f>IFERROR(__xludf.DUMMYFUNCTION("""COMPUTED_VALUE"""),7.0)</f>
        <v>7</v>
      </c>
      <c r="H100" s="11">
        <f>IFERROR(__xludf.DUMMYFUNCTION("""COMPUTED_VALUE"""),16.0356)</f>
        <v>16.0356</v>
      </c>
    </row>
    <row r="101">
      <c r="A101" s="8" t="str">
        <f>IFERROR(__xludf.DUMMYFUNCTION("""COMPUTED_VALUE"""),"CA-2014-107524")</f>
        <v>CA-2014-107524</v>
      </c>
      <c r="B101" s="9">
        <f>IFERROR(__xludf.DUMMYFUNCTION("""COMPUTED_VALUE"""),41700.0)</f>
        <v>41700</v>
      </c>
      <c r="C101" s="8" t="str">
        <f>IFERROR(__xludf.DUMMYFUNCTION("""COMPUTED_VALUE"""),"Home Office")</f>
        <v>Home Office</v>
      </c>
      <c r="D101" s="8" t="str">
        <f>IFERROR(__xludf.DUMMYFUNCTION("""COMPUTED_VALUE"""),"New York")</f>
        <v>New York</v>
      </c>
      <c r="E101" s="8" t="str">
        <f>IFERROR(__xludf.DUMMYFUNCTION("""COMPUTED_VALUE"""),"East")</f>
        <v>East</v>
      </c>
      <c r="F101" s="10">
        <f>IFERROR(__xludf.DUMMYFUNCTION("""COMPUTED_VALUE"""),11.36)</f>
        <v>11.36</v>
      </c>
      <c r="G101" s="11">
        <f>IFERROR(__xludf.DUMMYFUNCTION("""COMPUTED_VALUE"""),2.0)</f>
        <v>2</v>
      </c>
      <c r="H101" s="11">
        <f>IFERROR(__xludf.DUMMYFUNCTION("""COMPUTED_VALUE"""),5.3392)</f>
        <v>5.3392</v>
      </c>
    </row>
    <row r="102">
      <c r="A102" s="8" t="str">
        <f>IFERROR(__xludf.DUMMYFUNCTION("""COMPUTED_VALUE"""),"CA-2014-107573")</f>
        <v>CA-2014-107573</v>
      </c>
      <c r="B102" s="9">
        <f>IFERROR(__xludf.DUMMYFUNCTION("""COMPUTED_VALUE"""),41985.0)</f>
        <v>41985</v>
      </c>
      <c r="C102" s="8" t="str">
        <f>IFERROR(__xludf.DUMMYFUNCTION("""COMPUTED_VALUE"""),"Consumer")</f>
        <v>Consumer</v>
      </c>
      <c r="D102" s="8" t="str">
        <f>IFERROR(__xludf.DUMMYFUNCTION("""COMPUTED_VALUE"""),"Florida")</f>
        <v>Florida</v>
      </c>
      <c r="E102" s="8" t="str">
        <f>IFERROR(__xludf.DUMMYFUNCTION("""COMPUTED_VALUE"""),"South")</f>
        <v>South</v>
      </c>
      <c r="F102" s="10">
        <f>IFERROR(__xludf.DUMMYFUNCTION("""COMPUTED_VALUE"""),23.472)</f>
        <v>23.472</v>
      </c>
      <c r="G102" s="11">
        <f>IFERROR(__xludf.DUMMYFUNCTION("""COMPUTED_VALUE"""),3.0)</f>
        <v>3</v>
      </c>
      <c r="H102" s="11">
        <f>IFERROR(__xludf.DUMMYFUNCTION("""COMPUTED_VALUE"""),7.6284)</f>
        <v>7.6284</v>
      </c>
    </row>
    <row r="103">
      <c r="A103" s="8" t="str">
        <f>IFERROR(__xludf.DUMMYFUNCTION("""COMPUTED_VALUE"""),"CA-2014-107594")</f>
        <v>CA-2014-107594</v>
      </c>
      <c r="B103" s="9">
        <f>IFERROR(__xludf.DUMMYFUNCTION("""COMPUTED_VALUE"""),41822.0)</f>
        <v>41822</v>
      </c>
      <c r="C103" s="8" t="str">
        <f>IFERROR(__xludf.DUMMYFUNCTION("""COMPUTED_VALUE"""),"Consumer")</f>
        <v>Consumer</v>
      </c>
      <c r="D103" s="8" t="str">
        <f>IFERROR(__xludf.DUMMYFUNCTION("""COMPUTED_VALUE"""),"New Jersey")</f>
        <v>New Jersey</v>
      </c>
      <c r="E103" s="8" t="str">
        <f>IFERROR(__xludf.DUMMYFUNCTION("""COMPUTED_VALUE"""),"East")</f>
        <v>East</v>
      </c>
      <c r="F103" s="10">
        <f>IFERROR(__xludf.DUMMYFUNCTION("""COMPUTED_VALUE"""),73.98)</f>
        <v>73.98</v>
      </c>
      <c r="G103" s="11">
        <f>IFERROR(__xludf.DUMMYFUNCTION("""COMPUTED_VALUE"""),2.0)</f>
        <v>2</v>
      </c>
      <c r="H103" s="11">
        <f>IFERROR(__xludf.DUMMYFUNCTION("""COMPUTED_VALUE"""),19.9746)</f>
        <v>19.9746</v>
      </c>
    </row>
    <row r="104">
      <c r="A104" s="8" t="str">
        <f>IFERROR(__xludf.DUMMYFUNCTION("""COMPUTED_VALUE"""),"CA-2014-107706")</f>
        <v>CA-2014-107706</v>
      </c>
      <c r="B104" s="9">
        <f>IFERROR(__xludf.DUMMYFUNCTION("""COMPUTED_VALUE"""),41684.0)</f>
        <v>41684</v>
      </c>
      <c r="C104" s="8" t="str">
        <f>IFERROR(__xludf.DUMMYFUNCTION("""COMPUTED_VALUE"""),"Consumer")</f>
        <v>Consumer</v>
      </c>
      <c r="D104" s="8" t="str">
        <f>IFERROR(__xludf.DUMMYFUNCTION("""COMPUTED_VALUE"""),"Texas")</f>
        <v>Texas</v>
      </c>
      <c r="E104" s="8" t="str">
        <f>IFERROR(__xludf.DUMMYFUNCTION("""COMPUTED_VALUE"""),"Central")</f>
        <v>Central</v>
      </c>
      <c r="F104" s="10">
        <f>IFERROR(__xludf.DUMMYFUNCTION("""COMPUTED_VALUE"""),16.176)</f>
        <v>16.176</v>
      </c>
      <c r="G104" s="11">
        <f>IFERROR(__xludf.DUMMYFUNCTION("""COMPUTED_VALUE"""),3.0)</f>
        <v>3</v>
      </c>
      <c r="H104" s="11">
        <f>IFERROR(__xludf.DUMMYFUNCTION("""COMPUTED_VALUE"""),6.066)</f>
        <v>6.066</v>
      </c>
    </row>
    <row r="105">
      <c r="A105" s="8" t="str">
        <f>IFERROR(__xludf.DUMMYFUNCTION("""COMPUTED_VALUE"""),"CA-2014-107755")</f>
        <v>CA-2014-107755</v>
      </c>
      <c r="B105" s="9">
        <f>IFERROR(__xludf.DUMMYFUNCTION("""COMPUTED_VALUE"""),41677.0)</f>
        <v>41677</v>
      </c>
      <c r="C105" s="8" t="str">
        <f>IFERROR(__xludf.DUMMYFUNCTION("""COMPUTED_VALUE"""),"Corporate")</f>
        <v>Corporate</v>
      </c>
      <c r="D105" s="8" t="str">
        <f>IFERROR(__xludf.DUMMYFUNCTION("""COMPUTED_VALUE"""),"New Jersey")</f>
        <v>New Jersey</v>
      </c>
      <c r="E105" s="8" t="str">
        <f>IFERROR(__xludf.DUMMYFUNCTION("""COMPUTED_VALUE"""),"East")</f>
        <v>East</v>
      </c>
      <c r="F105" s="10">
        <f>IFERROR(__xludf.DUMMYFUNCTION("""COMPUTED_VALUE"""),115.36)</f>
        <v>115.36</v>
      </c>
      <c r="G105" s="11">
        <f>IFERROR(__xludf.DUMMYFUNCTION("""COMPUTED_VALUE"""),7.0)</f>
        <v>7</v>
      </c>
      <c r="H105" s="11">
        <f>IFERROR(__xludf.DUMMYFUNCTION("""COMPUTED_VALUE"""),49.6048)</f>
        <v>49.6048</v>
      </c>
    </row>
    <row r="106">
      <c r="A106" s="8" t="str">
        <f>IFERROR(__xludf.DUMMYFUNCTION("""COMPUTED_VALUE"""),"CA-2014-107769")</f>
        <v>CA-2014-107769</v>
      </c>
      <c r="B106" s="9">
        <f>IFERROR(__xludf.DUMMYFUNCTION("""COMPUTED_VALUE"""),41940.0)</f>
        <v>41940</v>
      </c>
      <c r="C106" s="8" t="str">
        <f>IFERROR(__xludf.DUMMYFUNCTION("""COMPUTED_VALUE"""),"Corporate")</f>
        <v>Corporate</v>
      </c>
      <c r="D106" s="8" t="str">
        <f>IFERROR(__xludf.DUMMYFUNCTION("""COMPUTED_VALUE"""),"Kansas")</f>
        <v>Kansas</v>
      </c>
      <c r="E106" s="8" t="str">
        <f>IFERROR(__xludf.DUMMYFUNCTION("""COMPUTED_VALUE"""),"Central")</f>
        <v>Central</v>
      </c>
      <c r="F106" s="10">
        <f>IFERROR(__xludf.DUMMYFUNCTION("""COMPUTED_VALUE"""),257.98)</f>
        <v>257.98</v>
      </c>
      <c r="G106" s="11">
        <f>IFERROR(__xludf.DUMMYFUNCTION("""COMPUTED_VALUE"""),2.0)</f>
        <v>2</v>
      </c>
      <c r="H106" s="11">
        <f>IFERROR(__xludf.DUMMYFUNCTION("""COMPUTED_VALUE"""),74.8142)</f>
        <v>74.8142</v>
      </c>
    </row>
    <row r="107">
      <c r="A107" s="8" t="str">
        <f>IFERROR(__xludf.DUMMYFUNCTION("""COMPUTED_VALUE"""),"CA-2014-107811")</f>
        <v>CA-2014-107811</v>
      </c>
      <c r="B107" s="9">
        <f>IFERROR(__xludf.DUMMYFUNCTION("""COMPUTED_VALUE"""),41758.0)</f>
        <v>41758</v>
      </c>
      <c r="C107" s="8" t="str">
        <f>IFERROR(__xludf.DUMMYFUNCTION("""COMPUTED_VALUE"""),"Corporate")</f>
        <v>Corporate</v>
      </c>
      <c r="D107" s="8" t="str">
        <f>IFERROR(__xludf.DUMMYFUNCTION("""COMPUTED_VALUE"""),"Tennessee")</f>
        <v>Tennessee</v>
      </c>
      <c r="E107" s="8" t="str">
        <f>IFERROR(__xludf.DUMMYFUNCTION("""COMPUTED_VALUE"""),"South")</f>
        <v>South</v>
      </c>
      <c r="F107" s="10">
        <f>IFERROR(__xludf.DUMMYFUNCTION("""COMPUTED_VALUE"""),561.584)</f>
        <v>561.584</v>
      </c>
      <c r="G107" s="11">
        <f>IFERROR(__xludf.DUMMYFUNCTION("""COMPUTED_VALUE"""),2.0)</f>
        <v>2</v>
      </c>
      <c r="H107" s="11">
        <f>IFERROR(__xludf.DUMMYFUNCTION("""COMPUTED_VALUE"""),70.198)</f>
        <v>70.198</v>
      </c>
    </row>
    <row r="108">
      <c r="A108" s="8" t="str">
        <f>IFERROR(__xludf.DUMMYFUNCTION("""COMPUTED_VALUE"""),"CA-2014-107818")</f>
        <v>CA-2014-107818</v>
      </c>
      <c r="B108" s="9">
        <f>IFERROR(__xludf.DUMMYFUNCTION("""COMPUTED_VALUE"""),41890.0)</f>
        <v>41890</v>
      </c>
      <c r="C108" s="8" t="str">
        <f>IFERROR(__xludf.DUMMYFUNCTION("""COMPUTED_VALUE"""),"Consumer")</f>
        <v>Consumer</v>
      </c>
      <c r="D108" s="8" t="str">
        <f>IFERROR(__xludf.DUMMYFUNCTION("""COMPUTED_VALUE"""),"Washington")</f>
        <v>Washington</v>
      </c>
      <c r="E108" s="8" t="str">
        <f>IFERROR(__xludf.DUMMYFUNCTION("""COMPUTED_VALUE"""),"West")</f>
        <v>West</v>
      </c>
      <c r="F108" s="10">
        <f>IFERROR(__xludf.DUMMYFUNCTION("""COMPUTED_VALUE"""),5.88)</f>
        <v>5.88</v>
      </c>
      <c r="G108" s="11">
        <f>IFERROR(__xludf.DUMMYFUNCTION("""COMPUTED_VALUE"""),2.0)</f>
        <v>2</v>
      </c>
      <c r="H108" s="11">
        <f>IFERROR(__xludf.DUMMYFUNCTION("""COMPUTED_VALUE"""),2.646)</f>
        <v>2.646</v>
      </c>
    </row>
    <row r="109">
      <c r="A109" s="8" t="str">
        <f>IFERROR(__xludf.DUMMYFUNCTION("""COMPUTED_VALUE"""),"CA-2014-107916")</f>
        <v>CA-2014-107916</v>
      </c>
      <c r="B109" s="9">
        <f>IFERROR(__xludf.DUMMYFUNCTION("""COMPUTED_VALUE"""),41875.0)</f>
        <v>41875</v>
      </c>
      <c r="C109" s="8" t="str">
        <f>IFERROR(__xludf.DUMMYFUNCTION("""COMPUTED_VALUE"""),"Corporate")</f>
        <v>Corporate</v>
      </c>
      <c r="D109" s="8" t="str">
        <f>IFERROR(__xludf.DUMMYFUNCTION("""COMPUTED_VALUE"""),"New York")</f>
        <v>New York</v>
      </c>
      <c r="E109" s="8" t="str">
        <f>IFERROR(__xludf.DUMMYFUNCTION("""COMPUTED_VALUE"""),"East")</f>
        <v>East</v>
      </c>
      <c r="F109" s="10">
        <f>IFERROR(__xludf.DUMMYFUNCTION("""COMPUTED_VALUE"""),13.28)</f>
        <v>13.28</v>
      </c>
      <c r="G109" s="11">
        <f>IFERROR(__xludf.DUMMYFUNCTION("""COMPUTED_VALUE"""),2.0)</f>
        <v>2</v>
      </c>
      <c r="H109" s="11">
        <f>IFERROR(__xludf.DUMMYFUNCTION("""COMPUTED_VALUE"""),6.3744)</f>
        <v>6.3744</v>
      </c>
    </row>
    <row r="110">
      <c r="A110" s="8" t="str">
        <f>IFERROR(__xludf.DUMMYFUNCTION("""COMPUTED_VALUE"""),"CA-2014-108147")</f>
        <v>CA-2014-108147</v>
      </c>
      <c r="B110" s="9">
        <f>IFERROR(__xludf.DUMMYFUNCTION("""COMPUTED_VALUE"""),41798.0)</f>
        <v>41798</v>
      </c>
      <c r="C110" s="8" t="str">
        <f>IFERROR(__xludf.DUMMYFUNCTION("""COMPUTED_VALUE"""),"Consumer")</f>
        <v>Consumer</v>
      </c>
      <c r="D110" s="8" t="str">
        <f>IFERROR(__xludf.DUMMYFUNCTION("""COMPUTED_VALUE"""),"New York")</f>
        <v>New York</v>
      </c>
      <c r="E110" s="8" t="str">
        <f>IFERROR(__xludf.DUMMYFUNCTION("""COMPUTED_VALUE"""),"East")</f>
        <v>East</v>
      </c>
      <c r="F110" s="10">
        <f>IFERROR(__xludf.DUMMYFUNCTION("""COMPUTED_VALUE"""),68.48)</f>
        <v>68.48</v>
      </c>
      <c r="G110" s="11">
        <f>IFERROR(__xludf.DUMMYFUNCTION("""COMPUTED_VALUE"""),2.0)</f>
        <v>2</v>
      </c>
      <c r="H110" s="11">
        <f>IFERROR(__xludf.DUMMYFUNCTION("""COMPUTED_VALUE"""),25.68)</f>
        <v>25.68</v>
      </c>
    </row>
    <row r="111">
      <c r="A111" s="8" t="str">
        <f>IFERROR(__xludf.DUMMYFUNCTION("""COMPUTED_VALUE"""),"CA-2014-108182")</f>
        <v>CA-2014-108182</v>
      </c>
      <c r="B111" s="9">
        <f>IFERROR(__xludf.DUMMYFUNCTION("""COMPUTED_VALUE"""),41676.0)</f>
        <v>41676</v>
      </c>
      <c r="C111" s="8" t="str">
        <f>IFERROR(__xludf.DUMMYFUNCTION("""COMPUTED_VALUE"""),"Consumer")</f>
        <v>Consumer</v>
      </c>
      <c r="D111" s="8" t="str">
        <f>IFERROR(__xludf.DUMMYFUNCTION("""COMPUTED_VALUE"""),"Illinois")</f>
        <v>Illinois</v>
      </c>
      <c r="E111" s="8" t="str">
        <f>IFERROR(__xludf.DUMMYFUNCTION("""COMPUTED_VALUE"""),"Central")</f>
        <v>Central</v>
      </c>
      <c r="F111" s="10">
        <f>IFERROR(__xludf.DUMMYFUNCTION("""COMPUTED_VALUE"""),8.952)</f>
        <v>8.952</v>
      </c>
      <c r="G111" s="11">
        <f>IFERROR(__xludf.DUMMYFUNCTION("""COMPUTED_VALUE"""),2.0)</f>
        <v>2</v>
      </c>
      <c r="H111" s="11">
        <f>IFERROR(__xludf.DUMMYFUNCTION("""COMPUTED_VALUE"""),-14.7708)</f>
        <v>-14.7708</v>
      </c>
    </row>
    <row r="112">
      <c r="A112" s="8" t="str">
        <f>IFERROR(__xludf.DUMMYFUNCTION("""COMPUTED_VALUE"""),"CA-2014-108189")</f>
        <v>CA-2014-108189</v>
      </c>
      <c r="B112" s="9">
        <f>IFERROR(__xludf.DUMMYFUNCTION("""COMPUTED_VALUE"""),41914.0)</f>
        <v>41914</v>
      </c>
      <c r="C112" s="8" t="str">
        <f>IFERROR(__xludf.DUMMYFUNCTION("""COMPUTED_VALUE"""),"Corporate")</f>
        <v>Corporate</v>
      </c>
      <c r="D112" s="8" t="str">
        <f>IFERROR(__xludf.DUMMYFUNCTION("""COMPUTED_VALUE"""),"Arizona")</f>
        <v>Arizona</v>
      </c>
      <c r="E112" s="8" t="str">
        <f>IFERROR(__xludf.DUMMYFUNCTION("""COMPUTED_VALUE"""),"West")</f>
        <v>West</v>
      </c>
      <c r="F112" s="10">
        <f>IFERROR(__xludf.DUMMYFUNCTION("""COMPUTED_VALUE"""),9.408)</f>
        <v>9.408</v>
      </c>
      <c r="G112" s="11">
        <f>IFERROR(__xludf.DUMMYFUNCTION("""COMPUTED_VALUE"""),2.0)</f>
        <v>2</v>
      </c>
      <c r="H112" s="11">
        <f>IFERROR(__xludf.DUMMYFUNCTION("""COMPUTED_VALUE"""),3.4104)</f>
        <v>3.4104</v>
      </c>
    </row>
    <row r="113">
      <c r="A113" s="8" t="str">
        <f>IFERROR(__xludf.DUMMYFUNCTION("""COMPUTED_VALUE"""),"CA-2014-108273")</f>
        <v>CA-2014-108273</v>
      </c>
      <c r="B113" s="9">
        <f>IFERROR(__xludf.DUMMYFUNCTION("""COMPUTED_VALUE"""),41989.0)</f>
        <v>41989</v>
      </c>
      <c r="C113" s="8" t="str">
        <f>IFERROR(__xludf.DUMMYFUNCTION("""COMPUTED_VALUE"""),"Consumer")</f>
        <v>Consumer</v>
      </c>
      <c r="D113" s="8" t="str">
        <f>IFERROR(__xludf.DUMMYFUNCTION("""COMPUTED_VALUE"""),"Texas")</f>
        <v>Texas</v>
      </c>
      <c r="E113" s="8" t="str">
        <f>IFERROR(__xludf.DUMMYFUNCTION("""COMPUTED_VALUE"""),"Central")</f>
        <v>Central</v>
      </c>
      <c r="F113" s="10">
        <f>IFERROR(__xludf.DUMMYFUNCTION("""COMPUTED_VALUE"""),36.288)</f>
        <v>36.288</v>
      </c>
      <c r="G113" s="11">
        <f>IFERROR(__xludf.DUMMYFUNCTION("""COMPUTED_VALUE"""),7.0)</f>
        <v>7</v>
      </c>
      <c r="H113" s="11">
        <f>IFERROR(__xludf.DUMMYFUNCTION("""COMPUTED_VALUE"""),12.7008)</f>
        <v>12.7008</v>
      </c>
    </row>
    <row r="114">
      <c r="A114" s="8" t="str">
        <f>IFERROR(__xludf.DUMMYFUNCTION("""COMPUTED_VALUE"""),"CA-2014-108609")</f>
        <v>CA-2014-108609</v>
      </c>
      <c r="B114" s="9">
        <f>IFERROR(__xludf.DUMMYFUNCTION("""COMPUTED_VALUE"""),41943.0)</f>
        <v>41943</v>
      </c>
      <c r="C114" s="8" t="str">
        <f>IFERROR(__xludf.DUMMYFUNCTION("""COMPUTED_VALUE"""),"Corporate")</f>
        <v>Corporate</v>
      </c>
      <c r="D114" s="8" t="str">
        <f>IFERROR(__xludf.DUMMYFUNCTION("""COMPUTED_VALUE"""),"Ohio")</f>
        <v>Ohio</v>
      </c>
      <c r="E114" s="8" t="str">
        <f>IFERROR(__xludf.DUMMYFUNCTION("""COMPUTED_VALUE"""),"East")</f>
        <v>East</v>
      </c>
      <c r="F114" s="10">
        <f>IFERROR(__xludf.DUMMYFUNCTION("""COMPUTED_VALUE"""),1421.664)</f>
        <v>1421.664</v>
      </c>
      <c r="G114" s="11">
        <f>IFERROR(__xludf.DUMMYFUNCTION("""COMPUTED_VALUE"""),8.0)</f>
        <v>8</v>
      </c>
      <c r="H114" s="11">
        <f>IFERROR(__xludf.DUMMYFUNCTION("""COMPUTED_VALUE"""),-734.5264)</f>
        <v>-734.5264</v>
      </c>
    </row>
    <row r="115">
      <c r="A115" s="8" t="str">
        <f>IFERROR(__xludf.DUMMYFUNCTION("""COMPUTED_VALUE"""),"CA-2014-108707")</f>
        <v>CA-2014-108707</v>
      </c>
      <c r="B115" s="9">
        <f>IFERROR(__xludf.DUMMYFUNCTION("""COMPUTED_VALUE"""),41936.0)</f>
        <v>41936</v>
      </c>
      <c r="C115" s="8" t="str">
        <f>IFERROR(__xludf.DUMMYFUNCTION("""COMPUTED_VALUE"""),"Home Office")</f>
        <v>Home Office</v>
      </c>
      <c r="D115" s="8" t="str">
        <f>IFERROR(__xludf.DUMMYFUNCTION("""COMPUTED_VALUE"""),"Florida")</f>
        <v>Florida</v>
      </c>
      <c r="E115" s="8" t="str">
        <f>IFERROR(__xludf.DUMMYFUNCTION("""COMPUTED_VALUE"""),"South")</f>
        <v>South</v>
      </c>
      <c r="F115" s="10">
        <f>IFERROR(__xludf.DUMMYFUNCTION("""COMPUTED_VALUE"""),10.368)</f>
        <v>10.368</v>
      </c>
      <c r="G115" s="11">
        <f>IFERROR(__xludf.DUMMYFUNCTION("""COMPUTED_VALUE"""),2.0)</f>
        <v>2</v>
      </c>
      <c r="H115" s="11">
        <f>IFERROR(__xludf.DUMMYFUNCTION("""COMPUTED_VALUE"""),3.6288)</f>
        <v>3.6288</v>
      </c>
    </row>
    <row r="116">
      <c r="A116" s="8" t="str">
        <f>IFERROR(__xludf.DUMMYFUNCTION("""COMPUTED_VALUE"""),"CA-2014-108861")</f>
        <v>CA-2014-108861</v>
      </c>
      <c r="B116" s="9">
        <f>IFERROR(__xludf.DUMMYFUNCTION("""COMPUTED_VALUE"""),41787.0)</f>
        <v>41787</v>
      </c>
      <c r="C116" s="8" t="str">
        <f>IFERROR(__xludf.DUMMYFUNCTION("""COMPUTED_VALUE"""),"Consumer")</f>
        <v>Consumer</v>
      </c>
      <c r="D116" s="8" t="str">
        <f>IFERROR(__xludf.DUMMYFUNCTION("""COMPUTED_VALUE"""),"Washington")</f>
        <v>Washington</v>
      </c>
      <c r="E116" s="8" t="str">
        <f>IFERROR(__xludf.DUMMYFUNCTION("""COMPUTED_VALUE"""),"West")</f>
        <v>West</v>
      </c>
      <c r="F116" s="10">
        <f>IFERROR(__xludf.DUMMYFUNCTION("""COMPUTED_VALUE"""),136.96)</f>
        <v>136.96</v>
      </c>
      <c r="G116" s="11">
        <f>IFERROR(__xludf.DUMMYFUNCTION("""COMPUTED_VALUE"""),4.0)</f>
        <v>4</v>
      </c>
      <c r="H116" s="11">
        <f>IFERROR(__xludf.DUMMYFUNCTION("""COMPUTED_VALUE"""),51.36)</f>
        <v>51.36</v>
      </c>
    </row>
    <row r="117">
      <c r="A117" s="8" t="str">
        <f>IFERROR(__xludf.DUMMYFUNCTION("""COMPUTED_VALUE"""),"CA-2014-108903")</f>
        <v>CA-2014-108903</v>
      </c>
      <c r="B117" s="9">
        <f>IFERROR(__xludf.DUMMYFUNCTION("""COMPUTED_VALUE"""),41915.0)</f>
        <v>41915</v>
      </c>
      <c r="C117" s="8" t="str">
        <f>IFERROR(__xludf.DUMMYFUNCTION("""COMPUTED_VALUE"""),"Consumer")</f>
        <v>Consumer</v>
      </c>
      <c r="D117" s="8" t="str">
        <f>IFERROR(__xludf.DUMMYFUNCTION("""COMPUTED_VALUE"""),"Ohio")</f>
        <v>Ohio</v>
      </c>
      <c r="E117" s="8" t="str">
        <f>IFERROR(__xludf.DUMMYFUNCTION("""COMPUTED_VALUE"""),"East")</f>
        <v>East</v>
      </c>
      <c r="F117" s="10">
        <f>IFERROR(__xludf.DUMMYFUNCTION("""COMPUTED_VALUE"""),55.984)</f>
        <v>55.984</v>
      </c>
      <c r="G117" s="11">
        <f>IFERROR(__xludf.DUMMYFUNCTION("""COMPUTED_VALUE"""),2.0)</f>
        <v>2</v>
      </c>
      <c r="H117" s="11">
        <f>IFERROR(__xludf.DUMMYFUNCTION("""COMPUTED_VALUE"""),4.1988)</f>
        <v>4.1988</v>
      </c>
    </row>
    <row r="118">
      <c r="A118" s="8" t="str">
        <f>IFERROR(__xludf.DUMMYFUNCTION("""COMPUTED_VALUE"""),"CA-2014-109043")</f>
        <v>CA-2014-109043</v>
      </c>
      <c r="B118" s="9">
        <f>IFERROR(__xludf.DUMMYFUNCTION("""COMPUTED_VALUE"""),41866.0)</f>
        <v>41866</v>
      </c>
      <c r="C118" s="8" t="str">
        <f>IFERROR(__xludf.DUMMYFUNCTION("""COMPUTED_VALUE"""),"Consumer")</f>
        <v>Consumer</v>
      </c>
      <c r="D118" s="8" t="str">
        <f>IFERROR(__xludf.DUMMYFUNCTION("""COMPUTED_VALUE"""),"Florida")</f>
        <v>Florida</v>
      </c>
      <c r="E118" s="8" t="str">
        <f>IFERROR(__xludf.DUMMYFUNCTION("""COMPUTED_VALUE"""),"South")</f>
        <v>South</v>
      </c>
      <c r="F118" s="10">
        <f>IFERROR(__xludf.DUMMYFUNCTION("""COMPUTED_VALUE"""),91.36)</f>
        <v>91.36</v>
      </c>
      <c r="G118" s="11">
        <f>IFERROR(__xludf.DUMMYFUNCTION("""COMPUTED_VALUE"""),5.0)</f>
        <v>5</v>
      </c>
      <c r="H118" s="11">
        <f>IFERROR(__xludf.DUMMYFUNCTION("""COMPUTED_VALUE"""),29.692)</f>
        <v>29.692</v>
      </c>
    </row>
    <row r="119">
      <c r="A119" s="8" t="str">
        <f>IFERROR(__xludf.DUMMYFUNCTION("""COMPUTED_VALUE"""),"CA-2014-109127")</f>
        <v>CA-2014-109127</v>
      </c>
      <c r="B119" s="9">
        <f>IFERROR(__xludf.DUMMYFUNCTION("""COMPUTED_VALUE"""),41994.0)</f>
        <v>41994</v>
      </c>
      <c r="C119" s="8" t="str">
        <f>IFERROR(__xludf.DUMMYFUNCTION("""COMPUTED_VALUE"""),"Consumer")</f>
        <v>Consumer</v>
      </c>
      <c r="D119" s="8" t="str">
        <f>IFERROR(__xludf.DUMMYFUNCTION("""COMPUTED_VALUE"""),"Delaware")</f>
        <v>Delaware</v>
      </c>
      <c r="E119" s="8" t="str">
        <f>IFERROR(__xludf.DUMMYFUNCTION("""COMPUTED_VALUE"""),"East")</f>
        <v>East</v>
      </c>
      <c r="F119" s="10">
        <f>IFERROR(__xludf.DUMMYFUNCTION("""COMPUTED_VALUE"""),17.28)</f>
        <v>17.28</v>
      </c>
      <c r="G119" s="11">
        <f>IFERROR(__xludf.DUMMYFUNCTION("""COMPUTED_VALUE"""),6.0)</f>
        <v>6</v>
      </c>
      <c r="H119" s="11">
        <f>IFERROR(__xludf.DUMMYFUNCTION("""COMPUTED_VALUE"""),7.9488)</f>
        <v>7.9488</v>
      </c>
    </row>
    <row r="120">
      <c r="A120" s="8" t="str">
        <f>IFERROR(__xludf.DUMMYFUNCTION("""COMPUTED_VALUE"""),"CA-2014-109134")</f>
        <v>CA-2014-109134</v>
      </c>
      <c r="B120" s="9">
        <f>IFERROR(__xludf.DUMMYFUNCTION("""COMPUTED_VALUE"""),41948.0)</f>
        <v>41948</v>
      </c>
      <c r="C120" s="8" t="str">
        <f>IFERROR(__xludf.DUMMYFUNCTION("""COMPUTED_VALUE"""),"Home Office")</f>
        <v>Home Office</v>
      </c>
      <c r="D120" s="8" t="str">
        <f>IFERROR(__xludf.DUMMYFUNCTION("""COMPUTED_VALUE"""),"California")</f>
        <v>California</v>
      </c>
      <c r="E120" s="8" t="str">
        <f>IFERROR(__xludf.DUMMYFUNCTION("""COMPUTED_VALUE"""),"West")</f>
        <v>West</v>
      </c>
      <c r="F120" s="10">
        <f>IFERROR(__xludf.DUMMYFUNCTION("""COMPUTED_VALUE"""),20.04)</f>
        <v>20.04</v>
      </c>
      <c r="G120" s="11">
        <f>IFERROR(__xludf.DUMMYFUNCTION("""COMPUTED_VALUE"""),6.0)</f>
        <v>6</v>
      </c>
      <c r="H120" s="11">
        <f>IFERROR(__xludf.DUMMYFUNCTION("""COMPUTED_VALUE"""),8.8176)</f>
        <v>8.8176</v>
      </c>
    </row>
    <row r="121">
      <c r="A121" s="8" t="str">
        <f>IFERROR(__xludf.DUMMYFUNCTION("""COMPUTED_VALUE"""),"CA-2014-109218")</f>
        <v>CA-2014-109218</v>
      </c>
      <c r="B121" s="9">
        <f>IFERROR(__xludf.DUMMYFUNCTION("""COMPUTED_VALUE"""),41820.0)</f>
        <v>41820</v>
      </c>
      <c r="C121" s="8" t="str">
        <f>IFERROR(__xludf.DUMMYFUNCTION("""COMPUTED_VALUE"""),"Corporate")</f>
        <v>Corporate</v>
      </c>
      <c r="D121" s="8" t="str">
        <f>IFERROR(__xludf.DUMMYFUNCTION("""COMPUTED_VALUE"""),"California")</f>
        <v>California</v>
      </c>
      <c r="E121" s="8" t="str">
        <f>IFERROR(__xludf.DUMMYFUNCTION("""COMPUTED_VALUE"""),"West")</f>
        <v>West</v>
      </c>
      <c r="F121" s="10">
        <f>IFERROR(__xludf.DUMMYFUNCTION("""COMPUTED_VALUE"""),32.4)</f>
        <v>32.4</v>
      </c>
      <c r="G121" s="11">
        <f>IFERROR(__xludf.DUMMYFUNCTION("""COMPUTED_VALUE"""),5.0)</f>
        <v>5</v>
      </c>
      <c r="H121" s="11">
        <f>IFERROR(__xludf.DUMMYFUNCTION("""COMPUTED_VALUE"""),10.368)</f>
        <v>10.368</v>
      </c>
    </row>
    <row r="122">
      <c r="A122" s="8" t="str">
        <f>IFERROR(__xludf.DUMMYFUNCTION("""COMPUTED_VALUE"""),"CA-2014-109232")</f>
        <v>CA-2014-109232</v>
      </c>
      <c r="B122" s="9">
        <f>IFERROR(__xludf.DUMMYFUNCTION("""COMPUTED_VALUE"""),41652.0)</f>
        <v>41652</v>
      </c>
      <c r="C122" s="8" t="str">
        <f>IFERROR(__xludf.DUMMYFUNCTION("""COMPUTED_VALUE"""),"Consumer")</f>
        <v>Consumer</v>
      </c>
      <c r="D122" s="8" t="str">
        <f>IFERROR(__xludf.DUMMYFUNCTION("""COMPUTED_VALUE"""),"South Carolina")</f>
        <v>South Carolina</v>
      </c>
      <c r="E122" s="8" t="str">
        <f>IFERROR(__xludf.DUMMYFUNCTION("""COMPUTED_VALUE"""),"South")</f>
        <v>South</v>
      </c>
      <c r="F122" s="10">
        <f>IFERROR(__xludf.DUMMYFUNCTION("""COMPUTED_VALUE"""),545.94)</f>
        <v>545.94</v>
      </c>
      <c r="G122" s="11">
        <f>IFERROR(__xludf.DUMMYFUNCTION("""COMPUTED_VALUE"""),6.0)</f>
        <v>6</v>
      </c>
      <c r="H122" s="11">
        <f>IFERROR(__xludf.DUMMYFUNCTION("""COMPUTED_VALUE"""),87.3504)</f>
        <v>87.3504</v>
      </c>
    </row>
    <row r="123">
      <c r="A123" s="8" t="str">
        <f>IFERROR(__xludf.DUMMYFUNCTION("""COMPUTED_VALUE"""),"CA-2014-109302")</f>
        <v>CA-2014-109302</v>
      </c>
      <c r="B123" s="9">
        <f>IFERROR(__xludf.DUMMYFUNCTION("""COMPUTED_VALUE"""),41863.0)</f>
        <v>41863</v>
      </c>
      <c r="C123" s="8" t="str">
        <f>IFERROR(__xludf.DUMMYFUNCTION("""COMPUTED_VALUE"""),"Corporate")</f>
        <v>Corporate</v>
      </c>
      <c r="D123" s="8" t="str">
        <f>IFERROR(__xludf.DUMMYFUNCTION("""COMPUTED_VALUE"""),"New Jersey")</f>
        <v>New Jersey</v>
      </c>
      <c r="E123" s="8" t="str">
        <f>IFERROR(__xludf.DUMMYFUNCTION("""COMPUTED_VALUE"""),"East")</f>
        <v>East</v>
      </c>
      <c r="F123" s="10">
        <f>IFERROR(__xludf.DUMMYFUNCTION("""COMPUTED_VALUE"""),196.21)</f>
        <v>196.21</v>
      </c>
      <c r="G123" s="11">
        <f>IFERROR(__xludf.DUMMYFUNCTION("""COMPUTED_VALUE"""),7.0)</f>
        <v>7</v>
      </c>
      <c r="H123" s="11">
        <f>IFERROR(__xludf.DUMMYFUNCTION("""COMPUTED_VALUE"""),98.105)</f>
        <v>98.105</v>
      </c>
    </row>
    <row r="124">
      <c r="A124" s="8" t="str">
        <f>IFERROR(__xludf.DUMMYFUNCTION("""COMPUTED_VALUE"""),"CA-2014-109491")</f>
        <v>CA-2014-109491</v>
      </c>
      <c r="B124" s="9">
        <f>IFERROR(__xludf.DUMMYFUNCTION("""COMPUTED_VALUE"""),41690.0)</f>
        <v>41690</v>
      </c>
      <c r="C124" s="8" t="str">
        <f>IFERROR(__xludf.DUMMYFUNCTION("""COMPUTED_VALUE"""),"Corporate")</f>
        <v>Corporate</v>
      </c>
      <c r="D124" s="8" t="str">
        <f>IFERROR(__xludf.DUMMYFUNCTION("""COMPUTED_VALUE"""),"Indiana")</f>
        <v>Indiana</v>
      </c>
      <c r="E124" s="8" t="str">
        <f>IFERROR(__xludf.DUMMYFUNCTION("""COMPUTED_VALUE"""),"Central")</f>
        <v>Central</v>
      </c>
      <c r="F124" s="10">
        <f>IFERROR(__xludf.DUMMYFUNCTION("""COMPUTED_VALUE"""),62.31)</f>
        <v>62.31</v>
      </c>
      <c r="G124" s="11">
        <f>IFERROR(__xludf.DUMMYFUNCTION("""COMPUTED_VALUE"""),3.0)</f>
        <v>3</v>
      </c>
      <c r="H124" s="11">
        <f>IFERROR(__xludf.DUMMYFUNCTION("""COMPUTED_VALUE"""),22.4316)</f>
        <v>22.4316</v>
      </c>
    </row>
    <row r="125">
      <c r="A125" s="8" t="str">
        <f>IFERROR(__xludf.DUMMYFUNCTION("""COMPUTED_VALUE"""),"CA-2014-109680")</f>
        <v>CA-2014-109680</v>
      </c>
      <c r="B125" s="9">
        <f>IFERROR(__xludf.DUMMYFUNCTION("""COMPUTED_VALUE"""),41918.0)</f>
        <v>41918</v>
      </c>
      <c r="C125" s="8" t="str">
        <f>IFERROR(__xludf.DUMMYFUNCTION("""COMPUTED_VALUE"""),"Corporate")</f>
        <v>Corporate</v>
      </c>
      <c r="D125" s="8" t="str">
        <f>IFERROR(__xludf.DUMMYFUNCTION("""COMPUTED_VALUE"""),"Indiana")</f>
        <v>Indiana</v>
      </c>
      <c r="E125" s="8" t="str">
        <f>IFERROR(__xludf.DUMMYFUNCTION("""COMPUTED_VALUE"""),"Central")</f>
        <v>Central</v>
      </c>
      <c r="F125" s="10">
        <f>IFERROR(__xludf.DUMMYFUNCTION("""COMPUTED_VALUE"""),386.34)</f>
        <v>386.34</v>
      </c>
      <c r="G125" s="11">
        <f>IFERROR(__xludf.DUMMYFUNCTION("""COMPUTED_VALUE"""),2.0)</f>
        <v>2</v>
      </c>
      <c r="H125" s="11">
        <f>IFERROR(__xludf.DUMMYFUNCTION("""COMPUTED_VALUE"""),54.0876)</f>
        <v>54.0876</v>
      </c>
    </row>
    <row r="126">
      <c r="A126" s="8" t="str">
        <f>IFERROR(__xludf.DUMMYFUNCTION("""COMPUTED_VALUE"""),"CA-2014-109855")</f>
        <v>CA-2014-109855</v>
      </c>
      <c r="B126" s="9">
        <f>IFERROR(__xludf.DUMMYFUNCTION("""COMPUTED_VALUE"""),41883.0)</f>
        <v>41883</v>
      </c>
      <c r="C126" s="8" t="str">
        <f>IFERROR(__xludf.DUMMYFUNCTION("""COMPUTED_VALUE"""),"Consumer")</f>
        <v>Consumer</v>
      </c>
      <c r="D126" s="8" t="str">
        <f>IFERROR(__xludf.DUMMYFUNCTION("""COMPUTED_VALUE"""),"New York")</f>
        <v>New York</v>
      </c>
      <c r="E126" s="8" t="str">
        <f>IFERROR(__xludf.DUMMYFUNCTION("""COMPUTED_VALUE"""),"East")</f>
        <v>East</v>
      </c>
      <c r="F126" s="10">
        <f>IFERROR(__xludf.DUMMYFUNCTION("""COMPUTED_VALUE"""),23.744)</f>
        <v>23.744</v>
      </c>
      <c r="G126" s="11">
        <f>IFERROR(__xludf.DUMMYFUNCTION("""COMPUTED_VALUE"""),2.0)</f>
        <v>2</v>
      </c>
      <c r="H126" s="11">
        <f>IFERROR(__xludf.DUMMYFUNCTION("""COMPUTED_VALUE"""),8.3104)</f>
        <v>8.3104</v>
      </c>
    </row>
    <row r="127">
      <c r="A127" s="8" t="str">
        <f>IFERROR(__xludf.DUMMYFUNCTION("""COMPUTED_VALUE"""),"CA-2014-109890")</f>
        <v>CA-2014-109890</v>
      </c>
      <c r="B127" s="9">
        <f>IFERROR(__xludf.DUMMYFUNCTION("""COMPUTED_VALUE"""),41841.0)</f>
        <v>41841</v>
      </c>
      <c r="C127" s="8" t="str">
        <f>IFERROR(__xludf.DUMMYFUNCTION("""COMPUTED_VALUE"""),"Consumer")</f>
        <v>Consumer</v>
      </c>
      <c r="D127" s="8" t="str">
        <f>IFERROR(__xludf.DUMMYFUNCTION("""COMPUTED_VALUE"""),"Nebraska")</f>
        <v>Nebraska</v>
      </c>
      <c r="E127" s="8" t="str">
        <f>IFERROR(__xludf.DUMMYFUNCTION("""COMPUTED_VALUE"""),"Central")</f>
        <v>Central</v>
      </c>
      <c r="F127" s="10">
        <f>IFERROR(__xludf.DUMMYFUNCTION("""COMPUTED_VALUE"""),35.98)</f>
        <v>35.98</v>
      </c>
      <c r="G127" s="11">
        <f>IFERROR(__xludf.DUMMYFUNCTION("""COMPUTED_VALUE"""),2.0)</f>
        <v>2</v>
      </c>
      <c r="H127" s="11">
        <f>IFERROR(__xludf.DUMMYFUNCTION("""COMPUTED_VALUE"""),10.0744)</f>
        <v>10.0744</v>
      </c>
    </row>
    <row r="128">
      <c r="A128" s="8" t="str">
        <f>IFERROR(__xludf.DUMMYFUNCTION("""COMPUTED_VALUE"""),"CA-2014-109897")</f>
        <v>CA-2014-109897</v>
      </c>
      <c r="B128" s="9">
        <f>IFERROR(__xludf.DUMMYFUNCTION("""COMPUTED_VALUE"""),41863.0)</f>
        <v>41863</v>
      </c>
      <c r="C128" s="8" t="str">
        <f>IFERROR(__xludf.DUMMYFUNCTION("""COMPUTED_VALUE"""),"Consumer")</f>
        <v>Consumer</v>
      </c>
      <c r="D128" s="8" t="str">
        <f>IFERROR(__xludf.DUMMYFUNCTION("""COMPUTED_VALUE"""),"California")</f>
        <v>California</v>
      </c>
      <c r="E128" s="8" t="str">
        <f>IFERROR(__xludf.DUMMYFUNCTION("""COMPUTED_VALUE"""),"West")</f>
        <v>West</v>
      </c>
      <c r="F128" s="10">
        <f>IFERROR(__xludf.DUMMYFUNCTION("""COMPUTED_VALUE"""),806.336)</f>
        <v>806.336</v>
      </c>
      <c r="G128" s="11">
        <f>IFERROR(__xludf.DUMMYFUNCTION("""COMPUTED_VALUE"""),8.0)</f>
        <v>8</v>
      </c>
      <c r="H128" s="11">
        <f>IFERROR(__xludf.DUMMYFUNCTION("""COMPUTED_VALUE"""),50.396)</f>
        <v>50.396</v>
      </c>
    </row>
    <row r="129">
      <c r="A129" s="8" t="str">
        <f>IFERROR(__xludf.DUMMYFUNCTION("""COMPUTED_VALUE"""),"CA-2014-109904")</f>
        <v>CA-2014-109904</v>
      </c>
      <c r="B129" s="9">
        <f>IFERROR(__xludf.DUMMYFUNCTION("""COMPUTED_VALUE"""),41834.0)</f>
        <v>41834</v>
      </c>
      <c r="C129" s="8" t="str">
        <f>IFERROR(__xludf.DUMMYFUNCTION("""COMPUTED_VALUE"""),"Corporate")</f>
        <v>Corporate</v>
      </c>
      <c r="D129" s="8" t="str">
        <f>IFERROR(__xludf.DUMMYFUNCTION("""COMPUTED_VALUE"""),"New York")</f>
        <v>New York</v>
      </c>
      <c r="E129" s="8" t="str">
        <f>IFERROR(__xludf.DUMMYFUNCTION("""COMPUTED_VALUE"""),"East")</f>
        <v>East</v>
      </c>
      <c r="F129" s="10">
        <f>IFERROR(__xludf.DUMMYFUNCTION("""COMPUTED_VALUE"""),17.94)</f>
        <v>17.94</v>
      </c>
      <c r="G129" s="11">
        <f>IFERROR(__xludf.DUMMYFUNCTION("""COMPUTED_VALUE"""),3.0)</f>
        <v>3</v>
      </c>
      <c r="H129" s="11">
        <f>IFERROR(__xludf.DUMMYFUNCTION("""COMPUTED_VALUE"""),4.485)</f>
        <v>4.485</v>
      </c>
    </row>
    <row r="130">
      <c r="A130" s="8" t="str">
        <f>IFERROR(__xludf.DUMMYFUNCTION("""COMPUTED_VALUE"""),"CA-2014-109918")</f>
        <v>CA-2014-109918</v>
      </c>
      <c r="B130" s="9">
        <f>IFERROR(__xludf.DUMMYFUNCTION("""COMPUTED_VALUE"""),41889.0)</f>
        <v>41889</v>
      </c>
      <c r="C130" s="8" t="str">
        <f>IFERROR(__xludf.DUMMYFUNCTION("""COMPUTED_VALUE"""),"Corporate")</f>
        <v>Corporate</v>
      </c>
      <c r="D130" s="8" t="str">
        <f>IFERROR(__xludf.DUMMYFUNCTION("""COMPUTED_VALUE"""),"California")</f>
        <v>California</v>
      </c>
      <c r="E130" s="8" t="str">
        <f>IFERROR(__xludf.DUMMYFUNCTION("""COMPUTED_VALUE"""),"West")</f>
        <v>West</v>
      </c>
      <c r="F130" s="10">
        <f>IFERROR(__xludf.DUMMYFUNCTION("""COMPUTED_VALUE"""),27.36)</f>
        <v>27.36</v>
      </c>
      <c r="G130" s="11">
        <f>IFERROR(__xludf.DUMMYFUNCTION("""COMPUTED_VALUE"""),4.0)</f>
        <v>4</v>
      </c>
      <c r="H130" s="11">
        <f>IFERROR(__xludf.DUMMYFUNCTION("""COMPUTED_VALUE"""),7.3872)</f>
        <v>7.3872</v>
      </c>
    </row>
    <row r="131">
      <c r="A131" s="8" t="str">
        <f>IFERROR(__xludf.DUMMYFUNCTION("""COMPUTED_VALUE"""),"CA-2014-109932")</f>
        <v>CA-2014-109932</v>
      </c>
      <c r="B131" s="9">
        <f>IFERROR(__xludf.DUMMYFUNCTION("""COMPUTED_VALUE"""),41982.0)</f>
        <v>41982</v>
      </c>
      <c r="C131" s="8" t="str">
        <f>IFERROR(__xludf.DUMMYFUNCTION("""COMPUTED_VALUE"""),"Corporate")</f>
        <v>Corporate</v>
      </c>
      <c r="D131" s="8" t="str">
        <f>IFERROR(__xludf.DUMMYFUNCTION("""COMPUTED_VALUE"""),"Texas")</f>
        <v>Texas</v>
      </c>
      <c r="E131" s="8" t="str">
        <f>IFERROR(__xludf.DUMMYFUNCTION("""COMPUTED_VALUE"""),"Central")</f>
        <v>Central</v>
      </c>
      <c r="F131" s="10">
        <f>IFERROR(__xludf.DUMMYFUNCTION("""COMPUTED_VALUE"""),10.688)</f>
        <v>10.688</v>
      </c>
      <c r="G131" s="11">
        <f>IFERROR(__xludf.DUMMYFUNCTION("""COMPUTED_VALUE"""),2.0)</f>
        <v>2</v>
      </c>
      <c r="H131" s="11">
        <f>IFERROR(__xludf.DUMMYFUNCTION("""COMPUTED_VALUE"""),3.7408)</f>
        <v>3.7408</v>
      </c>
    </row>
    <row r="132">
      <c r="A132" s="8" t="str">
        <f>IFERROR(__xludf.DUMMYFUNCTION("""COMPUTED_VALUE"""),"CA-2014-110030")</f>
        <v>CA-2014-110030</v>
      </c>
      <c r="B132" s="9">
        <f>IFERROR(__xludf.DUMMYFUNCTION("""COMPUTED_VALUE"""),41979.0)</f>
        <v>41979</v>
      </c>
      <c r="C132" s="8" t="str">
        <f>IFERROR(__xludf.DUMMYFUNCTION("""COMPUTED_VALUE"""),"Consumer")</f>
        <v>Consumer</v>
      </c>
      <c r="D132" s="8" t="str">
        <f>IFERROR(__xludf.DUMMYFUNCTION("""COMPUTED_VALUE"""),"Texas")</f>
        <v>Texas</v>
      </c>
      <c r="E132" s="8" t="str">
        <f>IFERROR(__xludf.DUMMYFUNCTION("""COMPUTED_VALUE"""),"Central")</f>
        <v>Central</v>
      </c>
      <c r="F132" s="10">
        <f>IFERROR(__xludf.DUMMYFUNCTION("""COMPUTED_VALUE"""),23.976)</f>
        <v>23.976</v>
      </c>
      <c r="G132" s="11">
        <f>IFERROR(__xludf.DUMMYFUNCTION("""COMPUTED_VALUE"""),3.0)</f>
        <v>3</v>
      </c>
      <c r="H132" s="11">
        <f>IFERROR(__xludf.DUMMYFUNCTION("""COMPUTED_VALUE"""),-14.3856)</f>
        <v>-14.3856</v>
      </c>
    </row>
    <row r="133">
      <c r="A133" s="8" t="str">
        <f>IFERROR(__xludf.DUMMYFUNCTION("""COMPUTED_VALUE"""),"CA-2014-110065")</f>
        <v>CA-2014-110065</v>
      </c>
      <c r="B133" s="9">
        <f>IFERROR(__xludf.DUMMYFUNCTION("""COMPUTED_VALUE"""),41856.0)</f>
        <v>41856</v>
      </c>
      <c r="C133" s="8" t="str">
        <f>IFERROR(__xludf.DUMMYFUNCTION("""COMPUTED_VALUE"""),"Corporate")</f>
        <v>Corporate</v>
      </c>
      <c r="D133" s="8" t="str">
        <f>IFERROR(__xludf.DUMMYFUNCTION("""COMPUTED_VALUE"""),"New York")</f>
        <v>New York</v>
      </c>
      <c r="E133" s="8" t="str">
        <f>IFERROR(__xludf.DUMMYFUNCTION("""COMPUTED_VALUE"""),"East")</f>
        <v>East</v>
      </c>
      <c r="F133" s="10">
        <f>IFERROR(__xludf.DUMMYFUNCTION("""COMPUTED_VALUE"""),135.99)</f>
        <v>135.99</v>
      </c>
      <c r="G133" s="11">
        <f>IFERROR(__xludf.DUMMYFUNCTION("""COMPUTED_VALUE"""),1.0)</f>
        <v>1</v>
      </c>
      <c r="H133" s="11">
        <f>IFERROR(__xludf.DUMMYFUNCTION("""COMPUTED_VALUE"""),36.7173)</f>
        <v>36.7173</v>
      </c>
    </row>
    <row r="134">
      <c r="A134" s="8" t="str">
        <f>IFERROR(__xludf.DUMMYFUNCTION("""COMPUTED_VALUE"""),"CA-2014-110072")</f>
        <v>CA-2014-110072</v>
      </c>
      <c r="B134" s="9">
        <f>IFERROR(__xludf.DUMMYFUNCTION("""COMPUTED_VALUE"""),41934.0)</f>
        <v>41934</v>
      </c>
      <c r="C134" s="8" t="str">
        <f>IFERROR(__xludf.DUMMYFUNCTION("""COMPUTED_VALUE"""),"Home Office")</f>
        <v>Home Office</v>
      </c>
      <c r="D134" s="8" t="str">
        <f>IFERROR(__xludf.DUMMYFUNCTION("""COMPUTED_VALUE"""),"Ohio")</f>
        <v>Ohio</v>
      </c>
      <c r="E134" s="8" t="str">
        <f>IFERROR(__xludf.DUMMYFUNCTION("""COMPUTED_VALUE"""),"East")</f>
        <v>East</v>
      </c>
      <c r="F134" s="10">
        <f>IFERROR(__xludf.DUMMYFUNCTION("""COMPUTED_VALUE"""),93.888)</f>
        <v>93.888</v>
      </c>
      <c r="G134" s="11">
        <f>IFERROR(__xludf.DUMMYFUNCTION("""COMPUTED_VALUE"""),4.0)</f>
        <v>4</v>
      </c>
      <c r="H134" s="11">
        <f>IFERROR(__xludf.DUMMYFUNCTION("""COMPUTED_VALUE"""),12.9096)</f>
        <v>12.9096</v>
      </c>
    </row>
    <row r="135">
      <c r="A135" s="8" t="str">
        <f>IFERROR(__xludf.DUMMYFUNCTION("""COMPUTED_VALUE"""),"CA-2014-110100")</f>
        <v>CA-2014-110100</v>
      </c>
      <c r="B135" s="9">
        <f>IFERROR(__xludf.DUMMYFUNCTION("""COMPUTED_VALUE"""),41754.0)</f>
        <v>41754</v>
      </c>
      <c r="C135" s="8" t="str">
        <f>IFERROR(__xludf.DUMMYFUNCTION("""COMPUTED_VALUE"""),"Consumer")</f>
        <v>Consumer</v>
      </c>
      <c r="D135" s="8" t="str">
        <f>IFERROR(__xludf.DUMMYFUNCTION("""COMPUTED_VALUE"""),"North Carolina")</f>
        <v>North Carolina</v>
      </c>
      <c r="E135" s="8" t="str">
        <f>IFERROR(__xludf.DUMMYFUNCTION("""COMPUTED_VALUE"""),"South")</f>
        <v>South</v>
      </c>
      <c r="F135" s="10">
        <f>IFERROR(__xludf.DUMMYFUNCTION("""COMPUTED_VALUE"""),302.376)</f>
        <v>302.376</v>
      </c>
      <c r="G135" s="11">
        <f>IFERROR(__xludf.DUMMYFUNCTION("""COMPUTED_VALUE"""),3.0)</f>
        <v>3</v>
      </c>
      <c r="H135" s="11">
        <f>IFERROR(__xludf.DUMMYFUNCTION("""COMPUTED_VALUE"""),37.797)</f>
        <v>37.797</v>
      </c>
    </row>
    <row r="136">
      <c r="A136" s="8" t="str">
        <f>IFERROR(__xludf.DUMMYFUNCTION("""COMPUTED_VALUE"""),"CA-2014-110184")</f>
        <v>CA-2014-110184</v>
      </c>
      <c r="B136" s="9">
        <f>IFERROR(__xludf.DUMMYFUNCTION("""COMPUTED_VALUE"""),41832.0)</f>
        <v>41832</v>
      </c>
      <c r="C136" s="8" t="str">
        <f>IFERROR(__xludf.DUMMYFUNCTION("""COMPUTED_VALUE"""),"Home Office")</f>
        <v>Home Office</v>
      </c>
      <c r="D136" s="8" t="str">
        <f>IFERROR(__xludf.DUMMYFUNCTION("""COMPUTED_VALUE"""),"California")</f>
        <v>California</v>
      </c>
      <c r="E136" s="8" t="str">
        <f>IFERROR(__xludf.DUMMYFUNCTION("""COMPUTED_VALUE"""),"West")</f>
        <v>West</v>
      </c>
      <c r="F136" s="10">
        <f>IFERROR(__xludf.DUMMYFUNCTION("""COMPUTED_VALUE"""),249.75)</f>
        <v>249.75</v>
      </c>
      <c r="G136" s="11">
        <f>IFERROR(__xludf.DUMMYFUNCTION("""COMPUTED_VALUE"""),9.0)</f>
        <v>9</v>
      </c>
      <c r="H136" s="11">
        <f>IFERROR(__xludf.DUMMYFUNCTION("""COMPUTED_VALUE"""),44.955)</f>
        <v>44.955</v>
      </c>
    </row>
    <row r="137">
      <c r="A137" s="8" t="str">
        <f>IFERROR(__xludf.DUMMYFUNCTION("""COMPUTED_VALUE"""),"CA-2014-110219")</f>
        <v>CA-2014-110219</v>
      </c>
      <c r="B137" s="9">
        <f>IFERROR(__xludf.DUMMYFUNCTION("""COMPUTED_VALUE"""),41764.0)</f>
        <v>41764</v>
      </c>
      <c r="C137" s="8" t="str">
        <f>IFERROR(__xludf.DUMMYFUNCTION("""COMPUTED_VALUE"""),"Consumer")</f>
        <v>Consumer</v>
      </c>
      <c r="D137" s="8" t="str">
        <f>IFERROR(__xludf.DUMMYFUNCTION("""COMPUTED_VALUE"""),"Texas")</f>
        <v>Texas</v>
      </c>
      <c r="E137" s="8" t="str">
        <f>IFERROR(__xludf.DUMMYFUNCTION("""COMPUTED_VALUE"""),"Central")</f>
        <v>Central</v>
      </c>
      <c r="F137" s="10">
        <f>IFERROR(__xludf.DUMMYFUNCTION("""COMPUTED_VALUE"""),127.869)</f>
        <v>127.869</v>
      </c>
      <c r="G137" s="11">
        <f>IFERROR(__xludf.DUMMYFUNCTION("""COMPUTED_VALUE"""),3.0)</f>
        <v>3</v>
      </c>
      <c r="H137" s="11">
        <f>IFERROR(__xludf.DUMMYFUNCTION("""COMPUTED_VALUE"""),-9.1335)</f>
        <v>-9.1335</v>
      </c>
    </row>
    <row r="138">
      <c r="A138" s="8" t="str">
        <f>IFERROR(__xludf.DUMMYFUNCTION("""COMPUTED_VALUE"""),"CA-2014-110352")</f>
        <v>CA-2014-110352</v>
      </c>
      <c r="B138" s="9">
        <f>IFERROR(__xludf.DUMMYFUNCTION("""COMPUTED_VALUE"""),41966.0)</f>
        <v>41966</v>
      </c>
      <c r="C138" s="8" t="str">
        <f>IFERROR(__xludf.DUMMYFUNCTION("""COMPUTED_VALUE"""),"Home Office")</f>
        <v>Home Office</v>
      </c>
      <c r="D138" s="8" t="str">
        <f>IFERROR(__xludf.DUMMYFUNCTION("""COMPUTED_VALUE"""),"Texas")</f>
        <v>Texas</v>
      </c>
      <c r="E138" s="8" t="str">
        <f>IFERROR(__xludf.DUMMYFUNCTION("""COMPUTED_VALUE"""),"Central")</f>
        <v>Central</v>
      </c>
      <c r="F138" s="10">
        <f>IFERROR(__xludf.DUMMYFUNCTION("""COMPUTED_VALUE"""),23.68)</f>
        <v>23.68</v>
      </c>
      <c r="G138" s="11">
        <f>IFERROR(__xludf.DUMMYFUNCTION("""COMPUTED_VALUE"""),2.0)</f>
        <v>2</v>
      </c>
      <c r="H138" s="11">
        <f>IFERROR(__xludf.DUMMYFUNCTION("""COMPUTED_VALUE"""),8.88)</f>
        <v>8.88</v>
      </c>
    </row>
    <row r="139">
      <c r="A139" s="8" t="str">
        <f>IFERROR(__xludf.DUMMYFUNCTION("""COMPUTED_VALUE"""),"CA-2014-110408")</f>
        <v>CA-2014-110408</v>
      </c>
      <c r="B139" s="9">
        <f>IFERROR(__xludf.DUMMYFUNCTION("""COMPUTED_VALUE"""),41930.0)</f>
        <v>41930</v>
      </c>
      <c r="C139" s="8" t="str">
        <f>IFERROR(__xludf.DUMMYFUNCTION("""COMPUTED_VALUE"""),"Corporate")</f>
        <v>Corporate</v>
      </c>
      <c r="D139" s="8" t="str">
        <f>IFERROR(__xludf.DUMMYFUNCTION("""COMPUTED_VALUE"""),"Alabama")</f>
        <v>Alabama</v>
      </c>
      <c r="E139" s="8" t="str">
        <f>IFERROR(__xludf.DUMMYFUNCTION("""COMPUTED_VALUE"""),"South")</f>
        <v>South</v>
      </c>
      <c r="F139" s="10">
        <f>IFERROR(__xludf.DUMMYFUNCTION("""COMPUTED_VALUE"""),275.97)</f>
        <v>275.97</v>
      </c>
      <c r="G139" s="11">
        <f>IFERROR(__xludf.DUMMYFUNCTION("""COMPUTED_VALUE"""),3.0)</f>
        <v>3</v>
      </c>
      <c r="H139" s="11">
        <f>IFERROR(__xludf.DUMMYFUNCTION("""COMPUTED_VALUE"""),11.0388)</f>
        <v>11.0388</v>
      </c>
    </row>
    <row r="140">
      <c r="A140" s="8" t="str">
        <f>IFERROR(__xludf.DUMMYFUNCTION("""COMPUTED_VALUE"""),"CA-2014-110422")</f>
        <v>CA-2014-110422</v>
      </c>
      <c r="B140" s="9">
        <f>IFERROR(__xludf.DUMMYFUNCTION("""COMPUTED_VALUE"""),41660.0)</f>
        <v>41660</v>
      </c>
      <c r="C140" s="8" t="str">
        <f>IFERROR(__xludf.DUMMYFUNCTION("""COMPUTED_VALUE"""),"Consumer")</f>
        <v>Consumer</v>
      </c>
      <c r="D140" s="8" t="str">
        <f>IFERROR(__xludf.DUMMYFUNCTION("""COMPUTED_VALUE"""),"Florida")</f>
        <v>Florida</v>
      </c>
      <c r="E140" s="8" t="str">
        <f>IFERROR(__xludf.DUMMYFUNCTION("""COMPUTED_VALUE"""),"South")</f>
        <v>South</v>
      </c>
      <c r="F140" s="10">
        <f>IFERROR(__xludf.DUMMYFUNCTION("""COMPUTED_VALUE"""),25.248)</f>
        <v>25.248</v>
      </c>
      <c r="G140" s="11">
        <f>IFERROR(__xludf.DUMMYFUNCTION("""COMPUTED_VALUE"""),3.0)</f>
        <v>3</v>
      </c>
      <c r="H140" s="11">
        <f>IFERROR(__xludf.DUMMYFUNCTION("""COMPUTED_VALUE"""),4.1028)</f>
        <v>4.1028</v>
      </c>
    </row>
    <row r="141">
      <c r="A141" s="8" t="str">
        <f>IFERROR(__xludf.DUMMYFUNCTION("""COMPUTED_VALUE"""),"CA-2014-110527")</f>
        <v>CA-2014-110527</v>
      </c>
      <c r="B141" s="9">
        <f>IFERROR(__xludf.DUMMYFUNCTION("""COMPUTED_VALUE"""),41860.0)</f>
        <v>41860</v>
      </c>
      <c r="C141" s="8" t="str">
        <f>IFERROR(__xludf.DUMMYFUNCTION("""COMPUTED_VALUE"""),"Home Office")</f>
        <v>Home Office</v>
      </c>
      <c r="D141" s="8" t="str">
        <f>IFERROR(__xludf.DUMMYFUNCTION("""COMPUTED_VALUE"""),"California")</f>
        <v>California</v>
      </c>
      <c r="E141" s="8" t="str">
        <f>IFERROR(__xludf.DUMMYFUNCTION("""COMPUTED_VALUE"""),"West")</f>
        <v>West</v>
      </c>
      <c r="F141" s="10">
        <f>IFERROR(__xludf.DUMMYFUNCTION("""COMPUTED_VALUE"""),20.88)</f>
        <v>20.88</v>
      </c>
      <c r="G141" s="11">
        <f>IFERROR(__xludf.DUMMYFUNCTION("""COMPUTED_VALUE"""),8.0)</f>
        <v>8</v>
      </c>
      <c r="H141" s="11">
        <f>IFERROR(__xludf.DUMMYFUNCTION("""COMPUTED_VALUE"""),9.6048)</f>
        <v>9.6048</v>
      </c>
    </row>
    <row r="142">
      <c r="A142" s="8" t="str">
        <f>IFERROR(__xludf.DUMMYFUNCTION("""COMPUTED_VALUE"""),"CA-2014-110555")</f>
        <v>CA-2014-110555</v>
      </c>
      <c r="B142" s="9">
        <f>IFERROR(__xludf.DUMMYFUNCTION("""COMPUTED_VALUE"""),41740.0)</f>
        <v>41740</v>
      </c>
      <c r="C142" s="8" t="str">
        <f>IFERROR(__xludf.DUMMYFUNCTION("""COMPUTED_VALUE"""),"Consumer")</f>
        <v>Consumer</v>
      </c>
      <c r="D142" s="8" t="str">
        <f>IFERROR(__xludf.DUMMYFUNCTION("""COMPUTED_VALUE"""),"Montana")</f>
        <v>Montana</v>
      </c>
      <c r="E142" s="8" t="str">
        <f>IFERROR(__xludf.DUMMYFUNCTION("""COMPUTED_VALUE"""),"West")</f>
        <v>West</v>
      </c>
      <c r="F142" s="10">
        <f>IFERROR(__xludf.DUMMYFUNCTION("""COMPUTED_VALUE"""),87.08)</f>
        <v>87.08</v>
      </c>
      <c r="G142" s="11">
        <f>IFERROR(__xludf.DUMMYFUNCTION("""COMPUTED_VALUE"""),7.0)</f>
        <v>7</v>
      </c>
      <c r="H142" s="11">
        <f>IFERROR(__xludf.DUMMYFUNCTION("""COMPUTED_VALUE"""),24.3824)</f>
        <v>24.3824</v>
      </c>
    </row>
    <row r="143">
      <c r="A143" s="8" t="str">
        <f>IFERROR(__xludf.DUMMYFUNCTION("""COMPUTED_VALUE"""),"CA-2014-110611")</f>
        <v>CA-2014-110611</v>
      </c>
      <c r="B143" s="9">
        <f>IFERROR(__xludf.DUMMYFUNCTION("""COMPUTED_VALUE"""),41918.0)</f>
        <v>41918</v>
      </c>
      <c r="C143" s="8" t="str">
        <f>IFERROR(__xludf.DUMMYFUNCTION("""COMPUTED_VALUE"""),"Consumer")</f>
        <v>Consumer</v>
      </c>
      <c r="D143" s="8" t="str">
        <f>IFERROR(__xludf.DUMMYFUNCTION("""COMPUTED_VALUE"""),"Pennsylvania")</f>
        <v>Pennsylvania</v>
      </c>
      <c r="E143" s="8" t="str">
        <f>IFERROR(__xludf.DUMMYFUNCTION("""COMPUTED_VALUE"""),"East")</f>
        <v>East</v>
      </c>
      <c r="F143" s="10">
        <f>IFERROR(__xludf.DUMMYFUNCTION("""COMPUTED_VALUE"""),83.92)</f>
        <v>83.92</v>
      </c>
      <c r="G143" s="11">
        <f>IFERROR(__xludf.DUMMYFUNCTION("""COMPUTED_VALUE"""),5.0)</f>
        <v>5</v>
      </c>
      <c r="H143" s="11">
        <f>IFERROR(__xludf.DUMMYFUNCTION("""COMPUTED_VALUE"""),-13.637)</f>
        <v>-13.637</v>
      </c>
    </row>
    <row r="144">
      <c r="A144" s="8" t="str">
        <f>IFERROR(__xludf.DUMMYFUNCTION("""COMPUTED_VALUE"""),"CA-2014-110639")</f>
        <v>CA-2014-110639</v>
      </c>
      <c r="B144" s="9">
        <f>IFERROR(__xludf.DUMMYFUNCTION("""COMPUTED_VALUE"""),41874.0)</f>
        <v>41874</v>
      </c>
      <c r="C144" s="8" t="str">
        <f>IFERROR(__xludf.DUMMYFUNCTION("""COMPUTED_VALUE"""),"Consumer")</f>
        <v>Consumer</v>
      </c>
      <c r="D144" s="8" t="str">
        <f>IFERROR(__xludf.DUMMYFUNCTION("""COMPUTED_VALUE"""),"New York")</f>
        <v>New York</v>
      </c>
      <c r="E144" s="8" t="str">
        <f>IFERROR(__xludf.DUMMYFUNCTION("""COMPUTED_VALUE"""),"East")</f>
        <v>East</v>
      </c>
      <c r="F144" s="10">
        <f>IFERROR(__xludf.DUMMYFUNCTION("""COMPUTED_VALUE"""),25.92)</f>
        <v>25.92</v>
      </c>
      <c r="G144" s="11">
        <f>IFERROR(__xludf.DUMMYFUNCTION("""COMPUTED_VALUE"""),4.0)</f>
        <v>4</v>
      </c>
      <c r="H144" s="11">
        <f>IFERROR(__xludf.DUMMYFUNCTION("""COMPUTED_VALUE"""),12.4416)</f>
        <v>12.4416</v>
      </c>
    </row>
    <row r="145">
      <c r="A145" s="8" t="str">
        <f>IFERROR(__xludf.DUMMYFUNCTION("""COMPUTED_VALUE"""),"CA-2014-110786")</f>
        <v>CA-2014-110786</v>
      </c>
      <c r="B145" s="9">
        <f>IFERROR(__xludf.DUMMYFUNCTION("""COMPUTED_VALUE"""),42002.0)</f>
        <v>42002</v>
      </c>
      <c r="C145" s="8" t="str">
        <f>IFERROR(__xludf.DUMMYFUNCTION("""COMPUTED_VALUE"""),"Corporate")</f>
        <v>Corporate</v>
      </c>
      <c r="D145" s="8" t="str">
        <f>IFERROR(__xludf.DUMMYFUNCTION("""COMPUTED_VALUE"""),"California")</f>
        <v>California</v>
      </c>
      <c r="E145" s="8" t="str">
        <f>IFERROR(__xludf.DUMMYFUNCTION("""COMPUTED_VALUE"""),"West")</f>
        <v>West</v>
      </c>
      <c r="F145" s="10">
        <f>IFERROR(__xludf.DUMMYFUNCTION("""COMPUTED_VALUE"""),24.9)</f>
        <v>24.9</v>
      </c>
      <c r="G145" s="11">
        <f>IFERROR(__xludf.DUMMYFUNCTION("""COMPUTED_VALUE"""),5.0)</f>
        <v>5</v>
      </c>
      <c r="H145" s="11">
        <f>IFERROR(__xludf.DUMMYFUNCTION("""COMPUTED_VALUE"""),8.217)</f>
        <v>8.217</v>
      </c>
    </row>
    <row r="146">
      <c r="A146" s="8" t="str">
        <f>IFERROR(__xludf.DUMMYFUNCTION("""COMPUTED_VALUE"""),"CA-2014-110849")</f>
        <v>CA-2014-110849</v>
      </c>
      <c r="B146" s="9">
        <f>IFERROR(__xludf.DUMMYFUNCTION("""COMPUTED_VALUE"""),41747.0)</f>
        <v>41747</v>
      </c>
      <c r="C146" s="8" t="str">
        <f>IFERROR(__xludf.DUMMYFUNCTION("""COMPUTED_VALUE"""),"Consumer")</f>
        <v>Consumer</v>
      </c>
      <c r="D146" s="8" t="str">
        <f>IFERROR(__xludf.DUMMYFUNCTION("""COMPUTED_VALUE"""),"California")</f>
        <v>California</v>
      </c>
      <c r="E146" s="8" t="str">
        <f>IFERROR(__xludf.DUMMYFUNCTION("""COMPUTED_VALUE"""),"West")</f>
        <v>West</v>
      </c>
      <c r="F146" s="10">
        <f>IFERROR(__xludf.DUMMYFUNCTION("""COMPUTED_VALUE"""),287.968)</f>
        <v>287.968</v>
      </c>
      <c r="G146" s="11">
        <f>IFERROR(__xludf.DUMMYFUNCTION("""COMPUTED_VALUE"""),4.0)</f>
        <v>4</v>
      </c>
      <c r="H146" s="11">
        <f>IFERROR(__xludf.DUMMYFUNCTION("""COMPUTED_VALUE"""),97.1892)</f>
        <v>97.1892</v>
      </c>
    </row>
    <row r="147">
      <c r="A147" s="8" t="str">
        <f>IFERROR(__xludf.DUMMYFUNCTION("""COMPUTED_VALUE"""),"CA-2014-111003")</f>
        <v>CA-2014-111003</v>
      </c>
      <c r="B147" s="9">
        <f>IFERROR(__xludf.DUMMYFUNCTION("""COMPUTED_VALUE"""),41791.0)</f>
        <v>41791</v>
      </c>
      <c r="C147" s="8" t="str">
        <f>IFERROR(__xludf.DUMMYFUNCTION("""COMPUTED_VALUE"""),"Home Office")</f>
        <v>Home Office</v>
      </c>
      <c r="D147" s="8" t="str">
        <f>IFERROR(__xludf.DUMMYFUNCTION("""COMPUTED_VALUE"""),"New Jersey")</f>
        <v>New Jersey</v>
      </c>
      <c r="E147" s="8" t="str">
        <f>IFERROR(__xludf.DUMMYFUNCTION("""COMPUTED_VALUE"""),"East")</f>
        <v>East</v>
      </c>
      <c r="F147" s="10">
        <f>IFERROR(__xludf.DUMMYFUNCTION("""COMPUTED_VALUE"""),45.48)</f>
        <v>45.48</v>
      </c>
      <c r="G147" s="11">
        <f>IFERROR(__xludf.DUMMYFUNCTION("""COMPUTED_VALUE"""),3.0)</f>
        <v>3</v>
      </c>
      <c r="H147" s="11">
        <f>IFERROR(__xludf.DUMMYFUNCTION("""COMPUTED_VALUE"""),20.9208)</f>
        <v>20.9208</v>
      </c>
    </row>
    <row r="148">
      <c r="A148" s="8" t="str">
        <f>IFERROR(__xludf.DUMMYFUNCTION("""COMPUTED_VALUE"""),"CA-2014-111059")</f>
        <v>CA-2014-111059</v>
      </c>
      <c r="B148" s="9">
        <f>IFERROR(__xludf.DUMMYFUNCTION("""COMPUTED_VALUE"""),41673.0)</f>
        <v>41673</v>
      </c>
      <c r="C148" s="8" t="str">
        <f>IFERROR(__xludf.DUMMYFUNCTION("""COMPUTED_VALUE"""),"Consumer")</f>
        <v>Consumer</v>
      </c>
      <c r="D148" s="8" t="str">
        <f>IFERROR(__xludf.DUMMYFUNCTION("""COMPUTED_VALUE"""),"Washington")</f>
        <v>Washington</v>
      </c>
      <c r="E148" s="8" t="str">
        <f>IFERROR(__xludf.DUMMYFUNCTION("""COMPUTED_VALUE"""),"West")</f>
        <v>West</v>
      </c>
      <c r="F148" s="10">
        <f>IFERROR(__xludf.DUMMYFUNCTION("""COMPUTED_VALUE"""),83.84)</f>
        <v>83.84</v>
      </c>
      <c r="G148" s="11">
        <f>IFERROR(__xludf.DUMMYFUNCTION("""COMPUTED_VALUE"""),2.0)</f>
        <v>2</v>
      </c>
      <c r="H148" s="11">
        <f>IFERROR(__xludf.DUMMYFUNCTION("""COMPUTED_VALUE"""),27.248)</f>
        <v>27.248</v>
      </c>
    </row>
    <row r="149">
      <c r="A149" s="8" t="str">
        <f>IFERROR(__xludf.DUMMYFUNCTION("""COMPUTED_VALUE"""),"CA-2014-111150")</f>
        <v>CA-2014-111150</v>
      </c>
      <c r="B149" s="9">
        <f>IFERROR(__xludf.DUMMYFUNCTION("""COMPUTED_VALUE"""),42004.0)</f>
        <v>42004</v>
      </c>
      <c r="C149" s="8" t="str">
        <f>IFERROR(__xludf.DUMMYFUNCTION("""COMPUTED_VALUE"""),"Corporate")</f>
        <v>Corporate</v>
      </c>
      <c r="D149" s="8" t="str">
        <f>IFERROR(__xludf.DUMMYFUNCTION("""COMPUTED_VALUE"""),"Missouri")</f>
        <v>Missouri</v>
      </c>
      <c r="E149" s="8" t="str">
        <f>IFERROR(__xludf.DUMMYFUNCTION("""COMPUTED_VALUE"""),"Central")</f>
        <v>Central</v>
      </c>
      <c r="F149" s="10">
        <f>IFERROR(__xludf.DUMMYFUNCTION("""COMPUTED_VALUE"""),29.68)</f>
        <v>29.68</v>
      </c>
      <c r="G149" s="11">
        <f>IFERROR(__xludf.DUMMYFUNCTION("""COMPUTED_VALUE"""),7.0)</f>
        <v>7</v>
      </c>
      <c r="H149" s="11">
        <f>IFERROR(__xludf.DUMMYFUNCTION("""COMPUTED_VALUE"""),11.5752)</f>
        <v>11.5752</v>
      </c>
    </row>
    <row r="150">
      <c r="A150" s="8" t="str">
        <f>IFERROR(__xludf.DUMMYFUNCTION("""COMPUTED_VALUE"""),"CA-2014-111157")</f>
        <v>CA-2014-111157</v>
      </c>
      <c r="B150" s="9">
        <f>IFERROR(__xludf.DUMMYFUNCTION("""COMPUTED_VALUE"""),41700.0)</f>
        <v>41700</v>
      </c>
      <c r="C150" s="8" t="str">
        <f>IFERROR(__xludf.DUMMYFUNCTION("""COMPUTED_VALUE"""),"Corporate")</f>
        <v>Corporate</v>
      </c>
      <c r="D150" s="8" t="str">
        <f>IFERROR(__xludf.DUMMYFUNCTION("""COMPUTED_VALUE"""),"Pennsylvania")</f>
        <v>Pennsylvania</v>
      </c>
      <c r="E150" s="8" t="str">
        <f>IFERROR(__xludf.DUMMYFUNCTION("""COMPUTED_VALUE"""),"East")</f>
        <v>East</v>
      </c>
      <c r="F150" s="10">
        <f>IFERROR(__xludf.DUMMYFUNCTION("""COMPUTED_VALUE"""),3.424)</f>
        <v>3.424</v>
      </c>
      <c r="G150" s="11">
        <f>IFERROR(__xludf.DUMMYFUNCTION("""COMPUTED_VALUE"""),1.0)</f>
        <v>1</v>
      </c>
      <c r="H150" s="11">
        <f>IFERROR(__xludf.DUMMYFUNCTION("""COMPUTED_VALUE"""),1.07)</f>
        <v>1.07</v>
      </c>
    </row>
    <row r="151">
      <c r="A151" s="8" t="str">
        <f>IFERROR(__xludf.DUMMYFUNCTION("""COMPUTED_VALUE"""),"CA-2014-111192")</f>
        <v>CA-2014-111192</v>
      </c>
      <c r="B151" s="9">
        <f>IFERROR(__xludf.DUMMYFUNCTION("""COMPUTED_VALUE"""),41850.0)</f>
        <v>41850</v>
      </c>
      <c r="C151" s="8" t="str">
        <f>IFERROR(__xludf.DUMMYFUNCTION("""COMPUTED_VALUE"""),"Corporate")</f>
        <v>Corporate</v>
      </c>
      <c r="D151" s="8" t="str">
        <f>IFERROR(__xludf.DUMMYFUNCTION("""COMPUTED_VALUE"""),"Washington")</f>
        <v>Washington</v>
      </c>
      <c r="E151" s="8" t="str">
        <f>IFERROR(__xludf.DUMMYFUNCTION("""COMPUTED_VALUE"""),"West")</f>
        <v>West</v>
      </c>
      <c r="F151" s="10">
        <f>IFERROR(__xludf.DUMMYFUNCTION("""COMPUTED_VALUE"""),1367.84)</f>
        <v>1367.84</v>
      </c>
      <c r="G151" s="11">
        <f>IFERROR(__xludf.DUMMYFUNCTION("""COMPUTED_VALUE"""),8.0)</f>
        <v>8</v>
      </c>
      <c r="H151" s="11">
        <f>IFERROR(__xludf.DUMMYFUNCTION("""COMPUTED_VALUE"""),259.8896)</f>
        <v>259.8896</v>
      </c>
    </row>
    <row r="152">
      <c r="A152" s="8" t="str">
        <f>IFERROR(__xludf.DUMMYFUNCTION("""COMPUTED_VALUE"""),"CA-2014-111360")</f>
        <v>CA-2014-111360</v>
      </c>
      <c r="B152" s="9">
        <f>IFERROR(__xludf.DUMMYFUNCTION("""COMPUTED_VALUE"""),41967.0)</f>
        <v>41967</v>
      </c>
      <c r="C152" s="8" t="str">
        <f>IFERROR(__xludf.DUMMYFUNCTION("""COMPUTED_VALUE"""),"Home Office")</f>
        <v>Home Office</v>
      </c>
      <c r="D152" s="8" t="str">
        <f>IFERROR(__xludf.DUMMYFUNCTION("""COMPUTED_VALUE"""),"Ohio")</f>
        <v>Ohio</v>
      </c>
      <c r="E152" s="8" t="str">
        <f>IFERROR(__xludf.DUMMYFUNCTION("""COMPUTED_VALUE"""),"East")</f>
        <v>East</v>
      </c>
      <c r="F152" s="10">
        <f>IFERROR(__xludf.DUMMYFUNCTION("""COMPUTED_VALUE"""),5.742)</f>
        <v>5.742</v>
      </c>
      <c r="G152" s="11">
        <f>IFERROR(__xludf.DUMMYFUNCTION("""COMPUTED_VALUE"""),3.0)</f>
        <v>3</v>
      </c>
      <c r="H152" s="11">
        <f>IFERROR(__xludf.DUMMYFUNCTION("""COMPUTED_VALUE"""),-4.5936)</f>
        <v>-4.5936</v>
      </c>
    </row>
    <row r="153">
      <c r="A153" s="8" t="str">
        <f>IFERROR(__xludf.DUMMYFUNCTION("""COMPUTED_VALUE"""),"CA-2014-111451")</f>
        <v>CA-2014-111451</v>
      </c>
      <c r="B153" s="9">
        <f>IFERROR(__xludf.DUMMYFUNCTION("""COMPUTED_VALUE"""),41999.0)</f>
        <v>41999</v>
      </c>
      <c r="C153" s="8" t="str">
        <f>IFERROR(__xludf.DUMMYFUNCTION("""COMPUTED_VALUE"""),"Corporate")</f>
        <v>Corporate</v>
      </c>
      <c r="D153" s="8" t="str">
        <f>IFERROR(__xludf.DUMMYFUNCTION("""COMPUTED_VALUE"""),"Colorado")</f>
        <v>Colorado</v>
      </c>
      <c r="E153" s="8" t="str">
        <f>IFERROR(__xludf.DUMMYFUNCTION("""COMPUTED_VALUE"""),"West")</f>
        <v>West</v>
      </c>
      <c r="F153" s="10">
        <f>IFERROR(__xludf.DUMMYFUNCTION("""COMPUTED_VALUE"""),300.416)</f>
        <v>300.416</v>
      </c>
      <c r="G153" s="11">
        <f>IFERROR(__xludf.DUMMYFUNCTION("""COMPUTED_VALUE"""),8.0)</f>
        <v>8</v>
      </c>
      <c r="H153" s="11">
        <f>IFERROR(__xludf.DUMMYFUNCTION("""COMPUTED_VALUE"""),78.8592)</f>
        <v>78.8592</v>
      </c>
    </row>
    <row r="154">
      <c r="A154" s="8" t="str">
        <f>IFERROR(__xludf.DUMMYFUNCTION("""COMPUTED_VALUE"""),"CA-2014-111500")</f>
        <v>CA-2014-111500</v>
      </c>
      <c r="B154" s="9">
        <f>IFERROR(__xludf.DUMMYFUNCTION("""COMPUTED_VALUE"""),41868.0)</f>
        <v>41868</v>
      </c>
      <c r="C154" s="8" t="str">
        <f>IFERROR(__xludf.DUMMYFUNCTION("""COMPUTED_VALUE"""),"Corporate")</f>
        <v>Corporate</v>
      </c>
      <c r="D154" s="8" t="str">
        <f>IFERROR(__xludf.DUMMYFUNCTION("""COMPUTED_VALUE"""),"Arkansas")</f>
        <v>Arkansas</v>
      </c>
      <c r="E154" s="8" t="str">
        <f>IFERROR(__xludf.DUMMYFUNCTION("""COMPUTED_VALUE"""),"South")</f>
        <v>South</v>
      </c>
      <c r="F154" s="10">
        <f>IFERROR(__xludf.DUMMYFUNCTION("""COMPUTED_VALUE"""),114.2)</f>
        <v>114.2</v>
      </c>
      <c r="G154" s="11">
        <f>IFERROR(__xludf.DUMMYFUNCTION("""COMPUTED_VALUE"""),5.0)</f>
        <v>5</v>
      </c>
      <c r="H154" s="11">
        <f>IFERROR(__xludf.DUMMYFUNCTION("""COMPUTED_VALUE"""),52.532)</f>
        <v>52.532</v>
      </c>
    </row>
    <row r="155">
      <c r="A155" s="8" t="str">
        <f>IFERROR(__xludf.DUMMYFUNCTION("""COMPUTED_VALUE"""),"CA-2014-111773")</f>
        <v>CA-2014-111773</v>
      </c>
      <c r="B155" s="9">
        <f>IFERROR(__xludf.DUMMYFUNCTION("""COMPUTED_VALUE"""),41819.0)</f>
        <v>41819</v>
      </c>
      <c r="C155" s="8" t="str">
        <f>IFERROR(__xludf.DUMMYFUNCTION("""COMPUTED_VALUE"""),"Consumer")</f>
        <v>Consumer</v>
      </c>
      <c r="D155" s="8" t="str">
        <f>IFERROR(__xludf.DUMMYFUNCTION("""COMPUTED_VALUE"""),"New York")</f>
        <v>New York</v>
      </c>
      <c r="E155" s="8" t="str">
        <f>IFERROR(__xludf.DUMMYFUNCTION("""COMPUTED_VALUE"""),"East")</f>
        <v>East</v>
      </c>
      <c r="F155" s="10">
        <f>IFERROR(__xludf.DUMMYFUNCTION("""COMPUTED_VALUE"""),13.92)</f>
        <v>13.92</v>
      </c>
      <c r="G155" s="11">
        <f>IFERROR(__xludf.DUMMYFUNCTION("""COMPUTED_VALUE"""),3.0)</f>
        <v>3</v>
      </c>
      <c r="H155" s="11">
        <f>IFERROR(__xludf.DUMMYFUNCTION("""COMPUTED_VALUE"""),4.872)</f>
        <v>4.872</v>
      </c>
    </row>
    <row r="156">
      <c r="A156" s="8" t="str">
        <f>IFERROR(__xludf.DUMMYFUNCTION("""COMPUTED_VALUE"""),"CA-2014-111857")</f>
        <v>CA-2014-111857</v>
      </c>
      <c r="B156" s="9">
        <f>IFERROR(__xludf.DUMMYFUNCTION("""COMPUTED_VALUE"""),41752.0)</f>
        <v>41752</v>
      </c>
      <c r="C156" s="8" t="str">
        <f>IFERROR(__xludf.DUMMYFUNCTION("""COMPUTED_VALUE"""),"Home Office")</f>
        <v>Home Office</v>
      </c>
      <c r="D156" s="8" t="str">
        <f>IFERROR(__xludf.DUMMYFUNCTION("""COMPUTED_VALUE"""),"California")</f>
        <v>California</v>
      </c>
      <c r="E156" s="8" t="str">
        <f>IFERROR(__xludf.DUMMYFUNCTION("""COMPUTED_VALUE"""),"West")</f>
        <v>West</v>
      </c>
      <c r="F156" s="10">
        <f>IFERROR(__xludf.DUMMYFUNCTION("""COMPUTED_VALUE"""),48.91)</f>
        <v>48.91</v>
      </c>
      <c r="G156" s="11">
        <f>IFERROR(__xludf.DUMMYFUNCTION("""COMPUTED_VALUE"""),1.0)</f>
        <v>1</v>
      </c>
      <c r="H156" s="11">
        <f>IFERROR(__xludf.DUMMYFUNCTION("""COMPUTED_VALUE"""),22.9877)</f>
        <v>22.9877</v>
      </c>
    </row>
    <row r="157">
      <c r="A157" s="8" t="str">
        <f>IFERROR(__xludf.DUMMYFUNCTION("""COMPUTED_VALUE"""),"CA-2014-111871")</f>
        <v>CA-2014-111871</v>
      </c>
      <c r="B157" s="9">
        <f>IFERROR(__xludf.DUMMYFUNCTION("""COMPUTED_VALUE"""),41716.0)</f>
        <v>41716</v>
      </c>
      <c r="C157" s="8" t="str">
        <f>IFERROR(__xludf.DUMMYFUNCTION("""COMPUTED_VALUE"""),"Home Office")</f>
        <v>Home Office</v>
      </c>
      <c r="D157" s="8" t="str">
        <f>IFERROR(__xludf.DUMMYFUNCTION("""COMPUTED_VALUE"""),"California")</f>
        <v>California</v>
      </c>
      <c r="E157" s="8" t="str">
        <f>IFERROR(__xludf.DUMMYFUNCTION("""COMPUTED_VALUE"""),"West")</f>
        <v>West</v>
      </c>
      <c r="F157" s="10">
        <f>IFERROR(__xludf.DUMMYFUNCTION("""COMPUTED_VALUE"""),1198.33)</f>
        <v>1198.33</v>
      </c>
      <c r="G157" s="11">
        <f>IFERROR(__xludf.DUMMYFUNCTION("""COMPUTED_VALUE"""),10.0)</f>
        <v>10</v>
      </c>
      <c r="H157" s="11">
        <f>IFERROR(__xludf.DUMMYFUNCTION("""COMPUTED_VALUE"""),70.49)</f>
        <v>70.49</v>
      </c>
    </row>
    <row r="158">
      <c r="A158" s="8" t="str">
        <f>IFERROR(__xludf.DUMMYFUNCTION("""COMPUTED_VALUE"""),"CA-2014-111899")</f>
        <v>CA-2014-111899</v>
      </c>
      <c r="B158" s="9">
        <f>IFERROR(__xludf.DUMMYFUNCTION("""COMPUTED_VALUE"""),41763.0)</f>
        <v>41763</v>
      </c>
      <c r="C158" s="8" t="str">
        <f>IFERROR(__xludf.DUMMYFUNCTION("""COMPUTED_VALUE"""),"Consumer")</f>
        <v>Consumer</v>
      </c>
      <c r="D158" s="8" t="str">
        <f>IFERROR(__xludf.DUMMYFUNCTION("""COMPUTED_VALUE"""),"Texas")</f>
        <v>Texas</v>
      </c>
      <c r="E158" s="8" t="str">
        <f>IFERROR(__xludf.DUMMYFUNCTION("""COMPUTED_VALUE"""),"Central")</f>
        <v>Central</v>
      </c>
      <c r="F158" s="10">
        <f>IFERROR(__xludf.DUMMYFUNCTION("""COMPUTED_VALUE"""),37.84)</f>
        <v>37.84</v>
      </c>
      <c r="G158" s="11">
        <f>IFERROR(__xludf.DUMMYFUNCTION("""COMPUTED_VALUE"""),2.0)</f>
        <v>2</v>
      </c>
      <c r="H158" s="11">
        <f>IFERROR(__xludf.DUMMYFUNCTION("""COMPUTED_VALUE"""),2.838)</f>
        <v>2.838</v>
      </c>
    </row>
    <row r="159">
      <c r="A159" s="8" t="str">
        <f>IFERROR(__xludf.DUMMYFUNCTION("""COMPUTED_VALUE"""),"CA-2014-111934")</f>
        <v>CA-2014-111934</v>
      </c>
      <c r="B159" s="9">
        <f>IFERROR(__xludf.DUMMYFUNCTION("""COMPUTED_VALUE"""),41764.0)</f>
        <v>41764</v>
      </c>
      <c r="C159" s="8" t="str">
        <f>IFERROR(__xludf.DUMMYFUNCTION("""COMPUTED_VALUE"""),"Corporate")</f>
        <v>Corporate</v>
      </c>
      <c r="D159" s="8" t="str">
        <f>IFERROR(__xludf.DUMMYFUNCTION("""COMPUTED_VALUE"""),"Virginia")</f>
        <v>Virginia</v>
      </c>
      <c r="E159" s="8" t="str">
        <f>IFERROR(__xludf.DUMMYFUNCTION("""COMPUTED_VALUE"""),"South")</f>
        <v>South</v>
      </c>
      <c r="F159" s="10">
        <f>IFERROR(__xludf.DUMMYFUNCTION("""COMPUTED_VALUE"""),11.88)</f>
        <v>11.88</v>
      </c>
      <c r="G159" s="11">
        <f>IFERROR(__xludf.DUMMYFUNCTION("""COMPUTED_VALUE"""),2.0)</f>
        <v>2</v>
      </c>
      <c r="H159" s="11">
        <f>IFERROR(__xludf.DUMMYFUNCTION("""COMPUTED_VALUE"""),5.346)</f>
        <v>5.346</v>
      </c>
    </row>
    <row r="160">
      <c r="A160" s="8" t="str">
        <f>IFERROR(__xludf.DUMMYFUNCTION("""COMPUTED_VALUE"""),"CA-2014-111962")</f>
        <v>CA-2014-111962</v>
      </c>
      <c r="B160" s="9">
        <f>IFERROR(__xludf.DUMMYFUNCTION("""COMPUTED_VALUE"""),41911.0)</f>
        <v>41911</v>
      </c>
      <c r="C160" s="8" t="str">
        <f>IFERROR(__xludf.DUMMYFUNCTION("""COMPUTED_VALUE"""),"Consumer")</f>
        <v>Consumer</v>
      </c>
      <c r="D160" s="8" t="str">
        <f>IFERROR(__xludf.DUMMYFUNCTION("""COMPUTED_VALUE"""),"Washington")</f>
        <v>Washington</v>
      </c>
      <c r="E160" s="8" t="str">
        <f>IFERROR(__xludf.DUMMYFUNCTION("""COMPUTED_VALUE"""),"West")</f>
        <v>West</v>
      </c>
      <c r="F160" s="10">
        <f>IFERROR(__xludf.DUMMYFUNCTION("""COMPUTED_VALUE"""),10.048)</f>
        <v>10.048</v>
      </c>
      <c r="G160" s="11">
        <f>IFERROR(__xludf.DUMMYFUNCTION("""COMPUTED_VALUE"""),2.0)</f>
        <v>2</v>
      </c>
      <c r="H160" s="11">
        <f>IFERROR(__xludf.DUMMYFUNCTION("""COMPUTED_VALUE"""),3.14)</f>
        <v>3.14</v>
      </c>
    </row>
    <row r="161">
      <c r="A161" s="8" t="str">
        <f>IFERROR(__xludf.DUMMYFUNCTION("""COMPUTED_VALUE"""),"CA-2014-112158")</f>
        <v>CA-2014-112158</v>
      </c>
      <c r="B161" s="9">
        <f>IFERROR(__xludf.DUMMYFUNCTION("""COMPUTED_VALUE"""),41975.0)</f>
        <v>41975</v>
      </c>
      <c r="C161" s="8" t="str">
        <f>IFERROR(__xludf.DUMMYFUNCTION("""COMPUTED_VALUE"""),"Consumer")</f>
        <v>Consumer</v>
      </c>
      <c r="D161" s="8" t="str">
        <f>IFERROR(__xludf.DUMMYFUNCTION("""COMPUTED_VALUE"""),"New York")</f>
        <v>New York</v>
      </c>
      <c r="E161" s="8" t="str">
        <f>IFERROR(__xludf.DUMMYFUNCTION("""COMPUTED_VALUE"""),"East")</f>
        <v>East</v>
      </c>
      <c r="F161" s="10">
        <f>IFERROR(__xludf.DUMMYFUNCTION("""COMPUTED_VALUE"""),119.96)</f>
        <v>119.96</v>
      </c>
      <c r="G161" s="11">
        <f>IFERROR(__xludf.DUMMYFUNCTION("""COMPUTED_VALUE"""),4.0)</f>
        <v>4</v>
      </c>
      <c r="H161" s="11">
        <f>IFERROR(__xludf.DUMMYFUNCTION("""COMPUTED_VALUE"""),52.7824)</f>
        <v>52.7824</v>
      </c>
    </row>
    <row r="162">
      <c r="A162" s="8" t="str">
        <f>IFERROR(__xludf.DUMMYFUNCTION("""COMPUTED_VALUE"""),"CA-2014-112291")</f>
        <v>CA-2014-112291</v>
      </c>
      <c r="B162" s="9">
        <f>IFERROR(__xludf.DUMMYFUNCTION("""COMPUTED_VALUE"""),41732.0)</f>
        <v>41732</v>
      </c>
      <c r="C162" s="8" t="str">
        <f>IFERROR(__xludf.DUMMYFUNCTION("""COMPUTED_VALUE"""),"Corporate")</f>
        <v>Corporate</v>
      </c>
      <c r="D162" s="8" t="str">
        <f>IFERROR(__xludf.DUMMYFUNCTION("""COMPUTED_VALUE"""),"California")</f>
        <v>California</v>
      </c>
      <c r="E162" s="8" t="str">
        <f>IFERROR(__xludf.DUMMYFUNCTION("""COMPUTED_VALUE"""),"West")</f>
        <v>West</v>
      </c>
      <c r="F162" s="10">
        <f>IFERROR(__xludf.DUMMYFUNCTION("""COMPUTED_VALUE"""),11.16)</f>
        <v>11.16</v>
      </c>
      <c r="G162" s="11">
        <f>IFERROR(__xludf.DUMMYFUNCTION("""COMPUTED_VALUE"""),2.0)</f>
        <v>2</v>
      </c>
      <c r="H162" s="11">
        <f>IFERROR(__xludf.DUMMYFUNCTION("""COMPUTED_VALUE"""),5.58)</f>
        <v>5.58</v>
      </c>
    </row>
    <row r="163">
      <c r="A163" s="8" t="str">
        <f>IFERROR(__xludf.DUMMYFUNCTION("""COMPUTED_VALUE"""),"CA-2014-112326")</f>
        <v>CA-2014-112326</v>
      </c>
      <c r="B163" s="9">
        <f>IFERROR(__xludf.DUMMYFUNCTION("""COMPUTED_VALUE"""),41643.0)</f>
        <v>41643</v>
      </c>
      <c r="C163" s="8" t="str">
        <f>IFERROR(__xludf.DUMMYFUNCTION("""COMPUTED_VALUE"""),"Home Office")</f>
        <v>Home Office</v>
      </c>
      <c r="D163" s="8" t="str">
        <f>IFERROR(__xludf.DUMMYFUNCTION("""COMPUTED_VALUE"""),"Illinois")</f>
        <v>Illinois</v>
      </c>
      <c r="E163" s="8" t="str">
        <f>IFERROR(__xludf.DUMMYFUNCTION("""COMPUTED_VALUE"""),"Central")</f>
        <v>Central</v>
      </c>
      <c r="F163" s="10">
        <f>IFERROR(__xludf.DUMMYFUNCTION("""COMPUTED_VALUE"""),11.784)</f>
        <v>11.784</v>
      </c>
      <c r="G163" s="11">
        <f>IFERROR(__xludf.DUMMYFUNCTION("""COMPUTED_VALUE"""),3.0)</f>
        <v>3</v>
      </c>
      <c r="H163" s="11">
        <f>IFERROR(__xludf.DUMMYFUNCTION("""COMPUTED_VALUE"""),4.2717)</f>
        <v>4.2717</v>
      </c>
    </row>
    <row r="164">
      <c r="A164" s="8" t="str">
        <f>IFERROR(__xludf.DUMMYFUNCTION("""COMPUTED_VALUE"""),"CA-2014-112403")</f>
        <v>CA-2014-112403</v>
      </c>
      <c r="B164" s="9">
        <f>IFERROR(__xludf.DUMMYFUNCTION("""COMPUTED_VALUE"""),41729.0)</f>
        <v>41729</v>
      </c>
      <c r="C164" s="8" t="str">
        <f>IFERROR(__xludf.DUMMYFUNCTION("""COMPUTED_VALUE"""),"Consumer")</f>
        <v>Consumer</v>
      </c>
      <c r="D164" s="8" t="str">
        <f>IFERROR(__xludf.DUMMYFUNCTION("""COMPUTED_VALUE"""),"Pennsylvania")</f>
        <v>Pennsylvania</v>
      </c>
      <c r="E164" s="8" t="str">
        <f>IFERROR(__xludf.DUMMYFUNCTION("""COMPUTED_VALUE"""),"East")</f>
        <v>East</v>
      </c>
      <c r="F164" s="10">
        <f>IFERROR(__xludf.DUMMYFUNCTION("""COMPUTED_VALUE"""),0.852)</f>
        <v>0.852</v>
      </c>
      <c r="G164" s="11">
        <f>IFERROR(__xludf.DUMMYFUNCTION("""COMPUTED_VALUE"""),1.0)</f>
        <v>1</v>
      </c>
      <c r="H164" s="11">
        <f>IFERROR(__xludf.DUMMYFUNCTION("""COMPUTED_VALUE"""),-0.5964)</f>
        <v>-0.5964</v>
      </c>
    </row>
    <row r="165">
      <c r="A165" s="8" t="str">
        <f>IFERROR(__xludf.DUMMYFUNCTION("""COMPUTED_VALUE"""),"CA-2014-112718")</f>
        <v>CA-2014-112718</v>
      </c>
      <c r="B165" s="9">
        <f>IFERROR(__xludf.DUMMYFUNCTION("""COMPUTED_VALUE"""),41989.0)</f>
        <v>41989</v>
      </c>
      <c r="C165" s="8" t="str">
        <f>IFERROR(__xludf.DUMMYFUNCTION("""COMPUTED_VALUE"""),"Corporate")</f>
        <v>Corporate</v>
      </c>
      <c r="D165" s="8" t="str">
        <f>IFERROR(__xludf.DUMMYFUNCTION("""COMPUTED_VALUE"""),"Florida")</f>
        <v>Florida</v>
      </c>
      <c r="E165" s="8" t="str">
        <f>IFERROR(__xludf.DUMMYFUNCTION("""COMPUTED_VALUE"""),"South")</f>
        <v>South</v>
      </c>
      <c r="F165" s="10">
        <f>IFERROR(__xludf.DUMMYFUNCTION("""COMPUTED_VALUE"""),1.167)</f>
        <v>1.167</v>
      </c>
      <c r="G165" s="11">
        <f>IFERROR(__xludf.DUMMYFUNCTION("""COMPUTED_VALUE"""),1.0)</f>
        <v>1</v>
      </c>
      <c r="H165" s="11">
        <f>IFERROR(__xludf.DUMMYFUNCTION("""COMPUTED_VALUE"""),-0.8558)</f>
        <v>-0.8558</v>
      </c>
    </row>
    <row r="166">
      <c r="A166" s="8" t="str">
        <f>IFERROR(__xludf.DUMMYFUNCTION("""COMPUTED_VALUE"""),"CA-2014-112837")</f>
        <v>CA-2014-112837</v>
      </c>
      <c r="B166" s="9">
        <f>IFERROR(__xludf.DUMMYFUNCTION("""COMPUTED_VALUE"""),41893.0)</f>
        <v>41893</v>
      </c>
      <c r="C166" s="8" t="str">
        <f>IFERROR(__xludf.DUMMYFUNCTION("""COMPUTED_VALUE"""),"Consumer")</f>
        <v>Consumer</v>
      </c>
      <c r="D166" s="8" t="str">
        <f>IFERROR(__xludf.DUMMYFUNCTION("""COMPUTED_VALUE"""),"California")</f>
        <v>California</v>
      </c>
      <c r="E166" s="8" t="str">
        <f>IFERROR(__xludf.DUMMYFUNCTION("""COMPUTED_VALUE"""),"West")</f>
        <v>West</v>
      </c>
      <c r="F166" s="10">
        <f>IFERROR(__xludf.DUMMYFUNCTION("""COMPUTED_VALUE"""),127.95)</f>
        <v>127.95</v>
      </c>
      <c r="G166" s="11">
        <f>IFERROR(__xludf.DUMMYFUNCTION("""COMPUTED_VALUE"""),3.0)</f>
        <v>3</v>
      </c>
      <c r="H166" s="11">
        <f>IFERROR(__xludf.DUMMYFUNCTION("""COMPUTED_VALUE"""),21.7515)</f>
        <v>21.7515</v>
      </c>
    </row>
    <row r="167">
      <c r="A167" s="8" t="str">
        <f>IFERROR(__xludf.DUMMYFUNCTION("""COMPUTED_VALUE"""),"CA-2014-112851")</f>
        <v>CA-2014-112851</v>
      </c>
      <c r="B167" s="9">
        <f>IFERROR(__xludf.DUMMYFUNCTION("""COMPUTED_VALUE"""),41899.0)</f>
        <v>41899</v>
      </c>
      <c r="C167" s="8" t="str">
        <f>IFERROR(__xludf.DUMMYFUNCTION("""COMPUTED_VALUE"""),"Consumer")</f>
        <v>Consumer</v>
      </c>
      <c r="D167" s="8" t="str">
        <f>IFERROR(__xludf.DUMMYFUNCTION("""COMPUTED_VALUE"""),"California")</f>
        <v>California</v>
      </c>
      <c r="E167" s="8" t="str">
        <f>IFERROR(__xludf.DUMMYFUNCTION("""COMPUTED_VALUE"""),"West")</f>
        <v>West</v>
      </c>
      <c r="F167" s="10">
        <f>IFERROR(__xludf.DUMMYFUNCTION("""COMPUTED_VALUE"""),182.94)</f>
        <v>182.94</v>
      </c>
      <c r="G167" s="11">
        <f>IFERROR(__xludf.DUMMYFUNCTION("""COMPUTED_VALUE"""),3.0)</f>
        <v>3</v>
      </c>
      <c r="H167" s="11">
        <f>IFERROR(__xludf.DUMMYFUNCTION("""COMPUTED_VALUE"""),85.9818)</f>
        <v>85.9818</v>
      </c>
    </row>
    <row r="168">
      <c r="A168" s="8" t="str">
        <f>IFERROR(__xludf.DUMMYFUNCTION("""COMPUTED_VALUE"""),"CA-2014-113047")</f>
        <v>CA-2014-113047</v>
      </c>
      <c r="B168" s="9">
        <f>IFERROR(__xludf.DUMMYFUNCTION("""COMPUTED_VALUE"""),41936.0)</f>
        <v>41936</v>
      </c>
      <c r="C168" s="8" t="str">
        <f>IFERROR(__xludf.DUMMYFUNCTION("""COMPUTED_VALUE"""),"Consumer")</f>
        <v>Consumer</v>
      </c>
      <c r="D168" s="8" t="str">
        <f>IFERROR(__xludf.DUMMYFUNCTION("""COMPUTED_VALUE"""),"South Carolina")</f>
        <v>South Carolina</v>
      </c>
      <c r="E168" s="8" t="str">
        <f>IFERROR(__xludf.DUMMYFUNCTION("""COMPUTED_VALUE"""),"South")</f>
        <v>South</v>
      </c>
      <c r="F168" s="10">
        <f>IFERROR(__xludf.DUMMYFUNCTION("""COMPUTED_VALUE"""),11.85)</f>
        <v>11.85</v>
      </c>
      <c r="G168" s="11">
        <f>IFERROR(__xludf.DUMMYFUNCTION("""COMPUTED_VALUE"""),3.0)</f>
        <v>3</v>
      </c>
      <c r="H168" s="11">
        <f>IFERROR(__xludf.DUMMYFUNCTION("""COMPUTED_VALUE"""),3.792)</f>
        <v>3.792</v>
      </c>
    </row>
    <row r="169">
      <c r="A169" s="8" t="str">
        <f>IFERROR(__xludf.DUMMYFUNCTION("""COMPUTED_VALUE"""),"CA-2014-113166")</f>
        <v>CA-2014-113166</v>
      </c>
      <c r="B169" s="9">
        <f>IFERROR(__xludf.DUMMYFUNCTION("""COMPUTED_VALUE"""),41997.0)</f>
        <v>41997</v>
      </c>
      <c r="C169" s="8" t="str">
        <f>IFERROR(__xludf.DUMMYFUNCTION("""COMPUTED_VALUE"""),"Consumer")</f>
        <v>Consumer</v>
      </c>
      <c r="D169" s="8" t="str">
        <f>IFERROR(__xludf.DUMMYFUNCTION("""COMPUTED_VALUE"""),"Florida")</f>
        <v>Florida</v>
      </c>
      <c r="E169" s="8" t="str">
        <f>IFERROR(__xludf.DUMMYFUNCTION("""COMPUTED_VALUE"""),"South")</f>
        <v>South</v>
      </c>
      <c r="F169" s="10">
        <f>IFERROR(__xludf.DUMMYFUNCTION("""COMPUTED_VALUE"""),9.568)</f>
        <v>9.568</v>
      </c>
      <c r="G169" s="11">
        <f>IFERROR(__xludf.DUMMYFUNCTION("""COMPUTED_VALUE"""),2.0)</f>
        <v>2</v>
      </c>
      <c r="H169" s="11">
        <f>IFERROR(__xludf.DUMMYFUNCTION("""COMPUTED_VALUE"""),3.4684)</f>
        <v>3.4684</v>
      </c>
    </row>
    <row r="170">
      <c r="A170" s="8" t="str">
        <f>IFERROR(__xludf.DUMMYFUNCTION("""COMPUTED_VALUE"""),"CA-2014-113257")</f>
        <v>CA-2014-113257</v>
      </c>
      <c r="B170" s="9">
        <f>IFERROR(__xludf.DUMMYFUNCTION("""COMPUTED_VALUE"""),41989.0)</f>
        <v>41989</v>
      </c>
      <c r="C170" s="8" t="str">
        <f>IFERROR(__xludf.DUMMYFUNCTION("""COMPUTED_VALUE"""),"Consumer")</f>
        <v>Consumer</v>
      </c>
      <c r="D170" s="8" t="str">
        <f>IFERROR(__xludf.DUMMYFUNCTION("""COMPUTED_VALUE"""),"Texas")</f>
        <v>Texas</v>
      </c>
      <c r="E170" s="8" t="str">
        <f>IFERROR(__xludf.DUMMYFUNCTION("""COMPUTED_VALUE"""),"Central")</f>
        <v>Central</v>
      </c>
      <c r="F170" s="10">
        <f>IFERROR(__xludf.DUMMYFUNCTION("""COMPUTED_VALUE"""),319.968)</f>
        <v>319.968</v>
      </c>
      <c r="G170" s="11">
        <f>IFERROR(__xludf.DUMMYFUNCTION("""COMPUTED_VALUE"""),4.0)</f>
        <v>4</v>
      </c>
      <c r="H170" s="11">
        <f>IFERROR(__xludf.DUMMYFUNCTION("""COMPUTED_VALUE"""),95.9904)</f>
        <v>95.9904</v>
      </c>
    </row>
    <row r="171">
      <c r="A171" s="8" t="str">
        <f>IFERROR(__xludf.DUMMYFUNCTION("""COMPUTED_VALUE"""),"CA-2014-113271")</f>
        <v>CA-2014-113271</v>
      </c>
      <c r="B171" s="9">
        <f>IFERROR(__xludf.DUMMYFUNCTION("""COMPUTED_VALUE"""),41829.0)</f>
        <v>41829</v>
      </c>
      <c r="C171" s="8" t="str">
        <f>IFERROR(__xludf.DUMMYFUNCTION("""COMPUTED_VALUE"""),"Home Office")</f>
        <v>Home Office</v>
      </c>
      <c r="D171" s="8" t="str">
        <f>IFERROR(__xludf.DUMMYFUNCTION("""COMPUTED_VALUE"""),"California")</f>
        <v>California</v>
      </c>
      <c r="E171" s="8" t="str">
        <f>IFERROR(__xludf.DUMMYFUNCTION("""COMPUTED_VALUE"""),"West")</f>
        <v>West</v>
      </c>
      <c r="F171" s="10">
        <f>IFERROR(__xludf.DUMMYFUNCTION("""COMPUTED_VALUE"""),14.304)</f>
        <v>14.304</v>
      </c>
      <c r="G171" s="11">
        <f>IFERROR(__xludf.DUMMYFUNCTION("""COMPUTED_VALUE"""),6.0)</f>
        <v>6</v>
      </c>
      <c r="H171" s="11">
        <f>IFERROR(__xludf.DUMMYFUNCTION("""COMPUTED_VALUE"""),4.6488)</f>
        <v>4.6488</v>
      </c>
    </row>
    <row r="172">
      <c r="A172" s="8" t="str">
        <f>IFERROR(__xludf.DUMMYFUNCTION("""COMPUTED_VALUE"""),"CA-2014-113320")</f>
        <v>CA-2014-113320</v>
      </c>
      <c r="B172" s="9">
        <f>IFERROR(__xludf.DUMMYFUNCTION("""COMPUTED_VALUE"""),41985.0)</f>
        <v>41985</v>
      </c>
      <c r="C172" s="8" t="str">
        <f>IFERROR(__xludf.DUMMYFUNCTION("""COMPUTED_VALUE"""),"Consumer")</f>
        <v>Consumer</v>
      </c>
      <c r="D172" s="8" t="str">
        <f>IFERROR(__xludf.DUMMYFUNCTION("""COMPUTED_VALUE"""),"California")</f>
        <v>California</v>
      </c>
      <c r="E172" s="8" t="str">
        <f>IFERROR(__xludf.DUMMYFUNCTION("""COMPUTED_VALUE"""),"West")</f>
        <v>West</v>
      </c>
      <c r="F172" s="10">
        <f>IFERROR(__xludf.DUMMYFUNCTION("""COMPUTED_VALUE"""),12.54)</f>
        <v>12.54</v>
      </c>
      <c r="G172" s="11">
        <f>IFERROR(__xludf.DUMMYFUNCTION("""COMPUTED_VALUE"""),3.0)</f>
        <v>3</v>
      </c>
      <c r="H172" s="11">
        <f>IFERROR(__xludf.DUMMYFUNCTION("""COMPUTED_VALUE"""),4.5144)</f>
        <v>4.5144</v>
      </c>
    </row>
    <row r="173">
      <c r="A173" s="8" t="str">
        <f>IFERROR(__xludf.DUMMYFUNCTION("""COMPUTED_VALUE"""),"CA-2014-113362")</f>
        <v>CA-2014-113362</v>
      </c>
      <c r="B173" s="9">
        <f>IFERROR(__xludf.DUMMYFUNCTION("""COMPUTED_VALUE"""),41896.0)</f>
        <v>41896</v>
      </c>
      <c r="C173" s="8" t="str">
        <f>IFERROR(__xludf.DUMMYFUNCTION("""COMPUTED_VALUE"""),"Consumer")</f>
        <v>Consumer</v>
      </c>
      <c r="D173" s="8" t="str">
        <f>IFERROR(__xludf.DUMMYFUNCTION("""COMPUTED_VALUE"""),"New York")</f>
        <v>New York</v>
      </c>
      <c r="E173" s="8" t="str">
        <f>IFERROR(__xludf.DUMMYFUNCTION("""COMPUTED_VALUE"""),"East")</f>
        <v>East</v>
      </c>
      <c r="F173" s="10">
        <f>IFERROR(__xludf.DUMMYFUNCTION("""COMPUTED_VALUE"""),449.15)</f>
        <v>449.15</v>
      </c>
      <c r="G173" s="11">
        <f>IFERROR(__xludf.DUMMYFUNCTION("""COMPUTED_VALUE"""),5.0)</f>
        <v>5</v>
      </c>
      <c r="H173" s="11">
        <f>IFERROR(__xludf.DUMMYFUNCTION("""COMPUTED_VALUE"""),8.983)</f>
        <v>8.983</v>
      </c>
    </row>
    <row r="174">
      <c r="A174" s="8" t="str">
        <f>IFERROR(__xludf.DUMMYFUNCTION("""COMPUTED_VALUE"""),"CA-2014-113383")</f>
        <v>CA-2014-113383</v>
      </c>
      <c r="B174" s="9">
        <f>IFERROR(__xludf.DUMMYFUNCTION("""COMPUTED_VALUE"""),41892.0)</f>
        <v>41892</v>
      </c>
      <c r="C174" s="8" t="str">
        <f>IFERROR(__xludf.DUMMYFUNCTION("""COMPUTED_VALUE"""),"Consumer")</f>
        <v>Consumer</v>
      </c>
      <c r="D174" s="8" t="str">
        <f>IFERROR(__xludf.DUMMYFUNCTION("""COMPUTED_VALUE"""),"New Jersey")</f>
        <v>New Jersey</v>
      </c>
      <c r="E174" s="8" t="str">
        <f>IFERROR(__xludf.DUMMYFUNCTION("""COMPUTED_VALUE"""),"East")</f>
        <v>East</v>
      </c>
      <c r="F174" s="10">
        <f>IFERROR(__xludf.DUMMYFUNCTION("""COMPUTED_VALUE"""),81.92)</f>
        <v>81.92</v>
      </c>
      <c r="G174" s="11">
        <f>IFERROR(__xludf.DUMMYFUNCTION("""COMPUTED_VALUE"""),4.0)</f>
        <v>4</v>
      </c>
      <c r="H174" s="11">
        <f>IFERROR(__xludf.DUMMYFUNCTION("""COMPUTED_VALUE"""),22.1184)</f>
        <v>22.1184</v>
      </c>
    </row>
    <row r="175">
      <c r="A175" s="8" t="str">
        <f>IFERROR(__xludf.DUMMYFUNCTION("""COMPUTED_VALUE"""),"CA-2014-113579")</f>
        <v>CA-2014-113579</v>
      </c>
      <c r="B175" s="9">
        <f>IFERROR(__xludf.DUMMYFUNCTION("""COMPUTED_VALUE"""),41986.0)</f>
        <v>41986</v>
      </c>
      <c r="C175" s="8" t="str">
        <f>IFERROR(__xludf.DUMMYFUNCTION("""COMPUTED_VALUE"""),"Consumer")</f>
        <v>Consumer</v>
      </c>
      <c r="D175" s="8" t="str">
        <f>IFERROR(__xludf.DUMMYFUNCTION("""COMPUTED_VALUE"""),"California")</f>
        <v>California</v>
      </c>
      <c r="E175" s="8" t="str">
        <f>IFERROR(__xludf.DUMMYFUNCTION("""COMPUTED_VALUE"""),"West")</f>
        <v>West</v>
      </c>
      <c r="F175" s="10">
        <f>IFERROR(__xludf.DUMMYFUNCTION("""COMPUTED_VALUE"""),90.24)</f>
        <v>90.24</v>
      </c>
      <c r="G175" s="11">
        <f>IFERROR(__xludf.DUMMYFUNCTION("""COMPUTED_VALUE"""),6.0)</f>
        <v>6</v>
      </c>
      <c r="H175" s="11">
        <f>IFERROR(__xludf.DUMMYFUNCTION("""COMPUTED_VALUE"""),41.5104)</f>
        <v>41.5104</v>
      </c>
    </row>
    <row r="176">
      <c r="A176" s="8" t="str">
        <f>IFERROR(__xludf.DUMMYFUNCTION("""COMPUTED_VALUE"""),"CA-2014-113768")</f>
        <v>CA-2014-113768</v>
      </c>
      <c r="B176" s="9">
        <f>IFERROR(__xludf.DUMMYFUNCTION("""COMPUTED_VALUE"""),41772.0)</f>
        <v>41772</v>
      </c>
      <c r="C176" s="8" t="str">
        <f>IFERROR(__xludf.DUMMYFUNCTION("""COMPUTED_VALUE"""),"Corporate")</f>
        <v>Corporate</v>
      </c>
      <c r="D176" s="8" t="str">
        <f>IFERROR(__xludf.DUMMYFUNCTION("""COMPUTED_VALUE"""),"California")</f>
        <v>California</v>
      </c>
      <c r="E176" s="8" t="str">
        <f>IFERROR(__xludf.DUMMYFUNCTION("""COMPUTED_VALUE"""),"West")</f>
        <v>West</v>
      </c>
      <c r="F176" s="10">
        <f>IFERROR(__xludf.DUMMYFUNCTION("""COMPUTED_VALUE"""),279.456)</f>
        <v>279.456</v>
      </c>
      <c r="G176" s="11">
        <f>IFERROR(__xludf.DUMMYFUNCTION("""COMPUTED_VALUE"""),6.0)</f>
        <v>6</v>
      </c>
      <c r="H176" s="11">
        <f>IFERROR(__xludf.DUMMYFUNCTION("""COMPUTED_VALUE"""),20.9592)</f>
        <v>20.9592</v>
      </c>
    </row>
    <row r="177">
      <c r="A177" s="8" t="str">
        <f>IFERROR(__xludf.DUMMYFUNCTION("""COMPUTED_VALUE"""),"CA-2014-113859")</f>
        <v>CA-2014-113859</v>
      </c>
      <c r="B177" s="9">
        <f>IFERROR(__xludf.DUMMYFUNCTION("""COMPUTED_VALUE"""),41895.0)</f>
        <v>41895</v>
      </c>
      <c r="C177" s="8" t="str">
        <f>IFERROR(__xludf.DUMMYFUNCTION("""COMPUTED_VALUE"""),"Home Office")</f>
        <v>Home Office</v>
      </c>
      <c r="D177" s="8" t="str">
        <f>IFERROR(__xludf.DUMMYFUNCTION("""COMPUTED_VALUE"""),"Texas")</f>
        <v>Texas</v>
      </c>
      <c r="E177" s="8" t="str">
        <f>IFERROR(__xludf.DUMMYFUNCTION("""COMPUTED_VALUE"""),"Central")</f>
        <v>Central</v>
      </c>
      <c r="F177" s="10">
        <f>IFERROR(__xludf.DUMMYFUNCTION("""COMPUTED_VALUE"""),340.116)</f>
        <v>340.116</v>
      </c>
      <c r="G177" s="11">
        <f>IFERROR(__xludf.DUMMYFUNCTION("""COMPUTED_VALUE"""),6.0)</f>
        <v>6</v>
      </c>
      <c r="H177" s="11">
        <f>IFERROR(__xludf.DUMMYFUNCTION("""COMPUTED_VALUE"""),-9.7176)</f>
        <v>-9.7176</v>
      </c>
    </row>
    <row r="178">
      <c r="A178" s="8" t="str">
        <f>IFERROR(__xludf.DUMMYFUNCTION("""COMPUTED_VALUE"""),"CA-2014-113880")</f>
        <v>CA-2014-113880</v>
      </c>
      <c r="B178" s="9">
        <f>IFERROR(__xludf.DUMMYFUNCTION("""COMPUTED_VALUE"""),41699.0)</f>
        <v>41699</v>
      </c>
      <c r="C178" s="8" t="str">
        <f>IFERROR(__xludf.DUMMYFUNCTION("""COMPUTED_VALUE"""),"Home Office")</f>
        <v>Home Office</v>
      </c>
      <c r="D178" s="8" t="str">
        <f>IFERROR(__xludf.DUMMYFUNCTION("""COMPUTED_VALUE"""),"Illinois")</f>
        <v>Illinois</v>
      </c>
      <c r="E178" s="8" t="str">
        <f>IFERROR(__xludf.DUMMYFUNCTION("""COMPUTED_VALUE"""),"Central")</f>
        <v>Central</v>
      </c>
      <c r="F178" s="10">
        <f>IFERROR(__xludf.DUMMYFUNCTION("""COMPUTED_VALUE"""),634.116)</f>
        <v>634.116</v>
      </c>
      <c r="G178" s="11">
        <f>IFERROR(__xludf.DUMMYFUNCTION("""COMPUTED_VALUE"""),6.0)</f>
        <v>6</v>
      </c>
      <c r="H178" s="11">
        <f>IFERROR(__xludf.DUMMYFUNCTION("""COMPUTED_VALUE"""),-172.1172)</f>
        <v>-172.1172</v>
      </c>
    </row>
    <row r="179">
      <c r="A179" s="8" t="str">
        <f>IFERROR(__xludf.DUMMYFUNCTION("""COMPUTED_VALUE"""),"CA-2014-113887")</f>
        <v>CA-2014-113887</v>
      </c>
      <c r="B179" s="9">
        <f>IFERROR(__xludf.DUMMYFUNCTION("""COMPUTED_VALUE"""),41734.0)</f>
        <v>41734</v>
      </c>
      <c r="C179" s="8" t="str">
        <f>IFERROR(__xludf.DUMMYFUNCTION("""COMPUTED_VALUE"""),"Home Office")</f>
        <v>Home Office</v>
      </c>
      <c r="D179" s="8" t="str">
        <f>IFERROR(__xludf.DUMMYFUNCTION("""COMPUTED_VALUE"""),"New York")</f>
        <v>New York</v>
      </c>
      <c r="E179" s="8" t="str">
        <f>IFERROR(__xludf.DUMMYFUNCTION("""COMPUTED_VALUE"""),"East")</f>
        <v>East</v>
      </c>
      <c r="F179" s="10">
        <f>IFERROR(__xludf.DUMMYFUNCTION("""COMPUTED_VALUE"""),55.48)</f>
        <v>55.48</v>
      </c>
      <c r="G179" s="11">
        <f>IFERROR(__xludf.DUMMYFUNCTION("""COMPUTED_VALUE"""),1.0)</f>
        <v>1</v>
      </c>
      <c r="H179" s="11">
        <f>IFERROR(__xludf.DUMMYFUNCTION("""COMPUTED_VALUE"""),26.6304)</f>
        <v>26.6304</v>
      </c>
    </row>
    <row r="180">
      <c r="A180" s="8" t="str">
        <f>IFERROR(__xludf.DUMMYFUNCTION("""COMPUTED_VALUE"""),"CA-2014-113929")</f>
        <v>CA-2014-113929</v>
      </c>
      <c r="B180" s="9">
        <f>IFERROR(__xludf.DUMMYFUNCTION("""COMPUTED_VALUE"""),41806.0)</f>
        <v>41806</v>
      </c>
      <c r="C180" s="8" t="str">
        <f>IFERROR(__xludf.DUMMYFUNCTION("""COMPUTED_VALUE"""),"Consumer")</f>
        <v>Consumer</v>
      </c>
      <c r="D180" s="8" t="str">
        <f>IFERROR(__xludf.DUMMYFUNCTION("""COMPUTED_VALUE"""),"New York")</f>
        <v>New York</v>
      </c>
      <c r="E180" s="8" t="str">
        <f>IFERROR(__xludf.DUMMYFUNCTION("""COMPUTED_VALUE"""),"East")</f>
        <v>East</v>
      </c>
      <c r="F180" s="10">
        <f>IFERROR(__xludf.DUMMYFUNCTION("""COMPUTED_VALUE"""),41.4)</f>
        <v>41.4</v>
      </c>
      <c r="G180" s="11">
        <f>IFERROR(__xludf.DUMMYFUNCTION("""COMPUTED_VALUE"""),5.0)</f>
        <v>5</v>
      </c>
      <c r="H180" s="11">
        <f>IFERROR(__xludf.DUMMYFUNCTION("""COMPUTED_VALUE"""),19.458)</f>
        <v>19.458</v>
      </c>
    </row>
    <row r="181">
      <c r="A181" s="8" t="str">
        <f>IFERROR(__xludf.DUMMYFUNCTION("""COMPUTED_VALUE"""),"CA-2014-113964")</f>
        <v>CA-2014-113964</v>
      </c>
      <c r="B181" s="9">
        <f>IFERROR(__xludf.DUMMYFUNCTION("""COMPUTED_VALUE"""),41905.0)</f>
        <v>41905</v>
      </c>
      <c r="C181" s="8" t="str">
        <f>IFERROR(__xludf.DUMMYFUNCTION("""COMPUTED_VALUE"""),"Home Office")</f>
        <v>Home Office</v>
      </c>
      <c r="D181" s="8" t="str">
        <f>IFERROR(__xludf.DUMMYFUNCTION("""COMPUTED_VALUE"""),"New York")</f>
        <v>New York</v>
      </c>
      <c r="E181" s="8" t="str">
        <f>IFERROR(__xludf.DUMMYFUNCTION("""COMPUTED_VALUE"""),"East")</f>
        <v>East</v>
      </c>
      <c r="F181" s="10">
        <f>IFERROR(__xludf.DUMMYFUNCTION("""COMPUTED_VALUE"""),18.464)</f>
        <v>18.464</v>
      </c>
      <c r="G181" s="11">
        <f>IFERROR(__xludf.DUMMYFUNCTION("""COMPUTED_VALUE"""),4.0)</f>
        <v>4</v>
      </c>
      <c r="H181" s="11">
        <f>IFERROR(__xludf.DUMMYFUNCTION("""COMPUTED_VALUE"""),6.924)</f>
        <v>6.924</v>
      </c>
    </row>
    <row r="182">
      <c r="A182" s="8" t="str">
        <f>IFERROR(__xludf.DUMMYFUNCTION("""COMPUTED_VALUE"""),"CA-2014-114125")</f>
        <v>CA-2014-114125</v>
      </c>
      <c r="B182" s="9">
        <f>IFERROR(__xludf.DUMMYFUNCTION("""COMPUTED_VALUE"""),41829.0)</f>
        <v>41829</v>
      </c>
      <c r="C182" s="8" t="str">
        <f>IFERROR(__xludf.DUMMYFUNCTION("""COMPUTED_VALUE"""),"Home Office")</f>
        <v>Home Office</v>
      </c>
      <c r="D182" s="8" t="str">
        <f>IFERROR(__xludf.DUMMYFUNCTION("""COMPUTED_VALUE"""),"California")</f>
        <v>California</v>
      </c>
      <c r="E182" s="8" t="str">
        <f>IFERROR(__xludf.DUMMYFUNCTION("""COMPUTED_VALUE"""),"West")</f>
        <v>West</v>
      </c>
      <c r="F182" s="10">
        <f>IFERROR(__xludf.DUMMYFUNCTION("""COMPUTED_VALUE"""),2.88)</f>
        <v>2.88</v>
      </c>
      <c r="G182" s="11">
        <f>IFERROR(__xludf.DUMMYFUNCTION("""COMPUTED_VALUE"""),1.0)</f>
        <v>1</v>
      </c>
      <c r="H182" s="11">
        <f>IFERROR(__xludf.DUMMYFUNCTION("""COMPUTED_VALUE"""),1.4112)</f>
        <v>1.4112</v>
      </c>
    </row>
    <row r="183">
      <c r="A183" s="8" t="str">
        <f>IFERROR(__xludf.DUMMYFUNCTION("""COMPUTED_VALUE"""),"CA-2014-114181")</f>
        <v>CA-2014-114181</v>
      </c>
      <c r="B183" s="9">
        <f>IFERROR(__xludf.DUMMYFUNCTION("""COMPUTED_VALUE"""),41769.0)</f>
        <v>41769</v>
      </c>
      <c r="C183" s="8" t="str">
        <f>IFERROR(__xludf.DUMMYFUNCTION("""COMPUTED_VALUE"""),"Consumer")</f>
        <v>Consumer</v>
      </c>
      <c r="D183" s="8" t="str">
        <f>IFERROR(__xludf.DUMMYFUNCTION("""COMPUTED_VALUE"""),"Pennsylvania")</f>
        <v>Pennsylvania</v>
      </c>
      <c r="E183" s="8" t="str">
        <f>IFERROR(__xludf.DUMMYFUNCTION("""COMPUTED_VALUE"""),"East")</f>
        <v>East</v>
      </c>
      <c r="F183" s="10">
        <f>IFERROR(__xludf.DUMMYFUNCTION("""COMPUTED_VALUE"""),349.965)</f>
        <v>349.965</v>
      </c>
      <c r="G183" s="11">
        <f>IFERROR(__xludf.DUMMYFUNCTION("""COMPUTED_VALUE"""),7.0)</f>
        <v>7</v>
      </c>
      <c r="H183" s="11">
        <f>IFERROR(__xludf.DUMMYFUNCTION("""COMPUTED_VALUE"""),-216.9783)</f>
        <v>-216.9783</v>
      </c>
    </row>
    <row r="184">
      <c r="A184" s="8" t="str">
        <f>IFERROR(__xludf.DUMMYFUNCTION("""COMPUTED_VALUE"""),"CA-2014-114195")</f>
        <v>CA-2014-114195</v>
      </c>
      <c r="B184" s="9">
        <f>IFERROR(__xludf.DUMMYFUNCTION("""COMPUTED_VALUE"""),41944.0)</f>
        <v>41944</v>
      </c>
      <c r="C184" s="8" t="str">
        <f>IFERROR(__xludf.DUMMYFUNCTION("""COMPUTED_VALUE"""),"Corporate")</f>
        <v>Corporate</v>
      </c>
      <c r="D184" s="8" t="str">
        <f>IFERROR(__xludf.DUMMYFUNCTION("""COMPUTED_VALUE"""),"Ohio")</f>
        <v>Ohio</v>
      </c>
      <c r="E184" s="8" t="str">
        <f>IFERROR(__xludf.DUMMYFUNCTION("""COMPUTED_VALUE"""),"East")</f>
        <v>East</v>
      </c>
      <c r="F184" s="10">
        <f>IFERROR(__xludf.DUMMYFUNCTION("""COMPUTED_VALUE"""),68.704)</f>
        <v>68.704</v>
      </c>
      <c r="G184" s="11">
        <f>IFERROR(__xludf.DUMMYFUNCTION("""COMPUTED_VALUE"""),2.0)</f>
        <v>2</v>
      </c>
      <c r="H184" s="11">
        <f>IFERROR(__xludf.DUMMYFUNCTION("""COMPUTED_VALUE"""),16.3172)</f>
        <v>16.3172</v>
      </c>
    </row>
    <row r="185">
      <c r="A185" s="8" t="str">
        <f>IFERROR(__xludf.DUMMYFUNCTION("""COMPUTED_VALUE"""),"CA-2014-114251")</f>
        <v>CA-2014-114251</v>
      </c>
      <c r="B185" s="9">
        <f>IFERROR(__xludf.DUMMYFUNCTION("""COMPUTED_VALUE"""),41948.0)</f>
        <v>41948</v>
      </c>
      <c r="C185" s="8" t="str">
        <f>IFERROR(__xludf.DUMMYFUNCTION("""COMPUTED_VALUE"""),"Consumer")</f>
        <v>Consumer</v>
      </c>
      <c r="D185" s="8" t="str">
        <f>IFERROR(__xludf.DUMMYFUNCTION("""COMPUTED_VALUE"""),"Pennsylvania")</f>
        <v>Pennsylvania</v>
      </c>
      <c r="E185" s="8" t="str">
        <f>IFERROR(__xludf.DUMMYFUNCTION("""COMPUTED_VALUE"""),"East")</f>
        <v>East</v>
      </c>
      <c r="F185" s="10">
        <f>IFERROR(__xludf.DUMMYFUNCTION("""COMPUTED_VALUE"""),273.568)</f>
        <v>273.568</v>
      </c>
      <c r="G185" s="11">
        <f>IFERROR(__xludf.DUMMYFUNCTION("""COMPUTED_VALUE"""),2.0)</f>
        <v>2</v>
      </c>
      <c r="H185" s="11">
        <f>IFERROR(__xludf.DUMMYFUNCTION("""COMPUTED_VALUE"""),-34.196)</f>
        <v>-34.196</v>
      </c>
    </row>
    <row r="186">
      <c r="A186" s="8" t="str">
        <f>IFERROR(__xludf.DUMMYFUNCTION("""COMPUTED_VALUE"""),"CA-2014-114314")</f>
        <v>CA-2014-114314</v>
      </c>
      <c r="B186" s="9">
        <f>IFERROR(__xludf.DUMMYFUNCTION("""COMPUTED_VALUE"""),41923.0)</f>
        <v>41923</v>
      </c>
      <c r="C186" s="8" t="str">
        <f>IFERROR(__xludf.DUMMYFUNCTION("""COMPUTED_VALUE"""),"Corporate")</f>
        <v>Corporate</v>
      </c>
      <c r="D186" s="8" t="str">
        <f>IFERROR(__xludf.DUMMYFUNCTION("""COMPUTED_VALUE"""),"Arkansas")</f>
        <v>Arkansas</v>
      </c>
      <c r="E186" s="8" t="str">
        <f>IFERROR(__xludf.DUMMYFUNCTION("""COMPUTED_VALUE"""),"South")</f>
        <v>South</v>
      </c>
      <c r="F186" s="10">
        <f>IFERROR(__xludf.DUMMYFUNCTION("""COMPUTED_VALUE"""),7.31)</f>
        <v>7.31</v>
      </c>
      <c r="G186" s="11">
        <f>IFERROR(__xludf.DUMMYFUNCTION("""COMPUTED_VALUE"""),1.0)</f>
        <v>1</v>
      </c>
      <c r="H186" s="11">
        <f>IFERROR(__xludf.DUMMYFUNCTION("""COMPUTED_VALUE"""),3.4357)</f>
        <v>3.4357</v>
      </c>
    </row>
    <row r="187">
      <c r="A187" s="8" t="str">
        <f>IFERROR(__xludf.DUMMYFUNCTION("""COMPUTED_VALUE"""),"CA-2014-114321")</f>
        <v>CA-2014-114321</v>
      </c>
      <c r="B187" s="9">
        <f>IFERROR(__xludf.DUMMYFUNCTION("""COMPUTED_VALUE"""),41871.0)</f>
        <v>41871</v>
      </c>
      <c r="C187" s="8" t="str">
        <f>IFERROR(__xludf.DUMMYFUNCTION("""COMPUTED_VALUE"""),"Corporate")</f>
        <v>Corporate</v>
      </c>
      <c r="D187" s="8" t="str">
        <f>IFERROR(__xludf.DUMMYFUNCTION("""COMPUTED_VALUE"""),"Virginia")</f>
        <v>Virginia</v>
      </c>
      <c r="E187" s="8" t="str">
        <f>IFERROR(__xludf.DUMMYFUNCTION("""COMPUTED_VALUE"""),"South")</f>
        <v>South</v>
      </c>
      <c r="F187" s="10">
        <f>IFERROR(__xludf.DUMMYFUNCTION("""COMPUTED_VALUE"""),500.24)</f>
        <v>500.24</v>
      </c>
      <c r="G187" s="11">
        <f>IFERROR(__xludf.DUMMYFUNCTION("""COMPUTED_VALUE"""),13.0)</f>
        <v>13</v>
      </c>
      <c r="H187" s="11">
        <f>IFERROR(__xludf.DUMMYFUNCTION("""COMPUTED_VALUE"""),145.0696)</f>
        <v>145.0696</v>
      </c>
    </row>
    <row r="188">
      <c r="A188" s="8" t="str">
        <f>IFERROR(__xludf.DUMMYFUNCTION("""COMPUTED_VALUE"""),"CA-2014-114335")</f>
        <v>CA-2014-114335</v>
      </c>
      <c r="B188" s="9">
        <f>IFERROR(__xludf.DUMMYFUNCTION("""COMPUTED_VALUE"""),41910.0)</f>
        <v>41910</v>
      </c>
      <c r="C188" s="8" t="str">
        <f>IFERROR(__xludf.DUMMYFUNCTION("""COMPUTED_VALUE"""),"Consumer")</f>
        <v>Consumer</v>
      </c>
      <c r="D188" s="8" t="str">
        <f>IFERROR(__xludf.DUMMYFUNCTION("""COMPUTED_VALUE"""),"Florida")</f>
        <v>Florida</v>
      </c>
      <c r="E188" s="8" t="str">
        <f>IFERROR(__xludf.DUMMYFUNCTION("""COMPUTED_VALUE"""),"South")</f>
        <v>South</v>
      </c>
      <c r="F188" s="10">
        <f>IFERROR(__xludf.DUMMYFUNCTION("""COMPUTED_VALUE"""),337.088)</f>
        <v>337.088</v>
      </c>
      <c r="G188" s="11">
        <f>IFERROR(__xludf.DUMMYFUNCTION("""COMPUTED_VALUE"""),4.0)</f>
        <v>4</v>
      </c>
      <c r="H188" s="11">
        <f>IFERROR(__xludf.DUMMYFUNCTION("""COMPUTED_VALUE"""),16.8544)</f>
        <v>16.8544</v>
      </c>
    </row>
    <row r="189">
      <c r="A189" s="8" t="str">
        <f>IFERROR(__xludf.DUMMYFUNCTION("""COMPUTED_VALUE"""),"CA-2014-114433")</f>
        <v>CA-2014-114433</v>
      </c>
      <c r="B189" s="9">
        <f>IFERROR(__xludf.DUMMYFUNCTION("""COMPUTED_VALUE"""),41772.0)</f>
        <v>41772</v>
      </c>
      <c r="C189" s="8" t="str">
        <f>IFERROR(__xludf.DUMMYFUNCTION("""COMPUTED_VALUE"""),"Consumer")</f>
        <v>Consumer</v>
      </c>
      <c r="D189" s="8" t="str">
        <f>IFERROR(__xludf.DUMMYFUNCTION("""COMPUTED_VALUE"""),"California")</f>
        <v>California</v>
      </c>
      <c r="E189" s="8" t="str">
        <f>IFERROR(__xludf.DUMMYFUNCTION("""COMPUTED_VALUE"""),"West")</f>
        <v>West</v>
      </c>
      <c r="F189" s="10">
        <f>IFERROR(__xludf.DUMMYFUNCTION("""COMPUTED_VALUE"""),149.97)</f>
        <v>149.97</v>
      </c>
      <c r="G189" s="11">
        <f>IFERROR(__xludf.DUMMYFUNCTION("""COMPUTED_VALUE"""),3.0)</f>
        <v>3</v>
      </c>
      <c r="H189" s="11">
        <f>IFERROR(__xludf.DUMMYFUNCTION("""COMPUTED_VALUE"""),52.4895)</f>
        <v>52.4895</v>
      </c>
    </row>
    <row r="190">
      <c r="A190" s="8" t="str">
        <f>IFERROR(__xludf.DUMMYFUNCTION("""COMPUTED_VALUE"""),"CA-2014-114510")</f>
        <v>CA-2014-114510</v>
      </c>
      <c r="B190" s="9">
        <f>IFERROR(__xludf.DUMMYFUNCTION("""COMPUTED_VALUE"""),41712.0)</f>
        <v>41712</v>
      </c>
      <c r="C190" s="8" t="str">
        <f>IFERROR(__xludf.DUMMYFUNCTION("""COMPUTED_VALUE"""),"Consumer")</f>
        <v>Consumer</v>
      </c>
      <c r="D190" s="8" t="str">
        <f>IFERROR(__xludf.DUMMYFUNCTION("""COMPUTED_VALUE"""),"Utah")</f>
        <v>Utah</v>
      </c>
      <c r="E190" s="8" t="str">
        <f>IFERROR(__xludf.DUMMYFUNCTION("""COMPUTED_VALUE"""),"West")</f>
        <v>West</v>
      </c>
      <c r="F190" s="10">
        <f>IFERROR(__xludf.DUMMYFUNCTION("""COMPUTED_VALUE"""),33.088)</f>
        <v>33.088</v>
      </c>
      <c r="G190" s="11">
        <f>IFERROR(__xludf.DUMMYFUNCTION("""COMPUTED_VALUE"""),4.0)</f>
        <v>4</v>
      </c>
      <c r="H190" s="11">
        <f>IFERROR(__xludf.DUMMYFUNCTION("""COMPUTED_VALUE"""),11.1672)</f>
        <v>11.1672</v>
      </c>
    </row>
    <row r="191">
      <c r="A191" s="8" t="str">
        <f>IFERROR(__xludf.DUMMYFUNCTION("""COMPUTED_VALUE"""),"CA-2014-114517")</f>
        <v>CA-2014-114517</v>
      </c>
      <c r="B191" s="9">
        <f>IFERROR(__xludf.DUMMYFUNCTION("""COMPUTED_VALUE"""),41996.0)</f>
        <v>41996</v>
      </c>
      <c r="C191" s="8" t="str">
        <f>IFERROR(__xludf.DUMMYFUNCTION("""COMPUTED_VALUE"""),"Corporate")</f>
        <v>Corporate</v>
      </c>
      <c r="D191" s="8" t="str">
        <f>IFERROR(__xludf.DUMMYFUNCTION("""COMPUTED_VALUE"""),"New York")</f>
        <v>New York</v>
      </c>
      <c r="E191" s="8" t="str">
        <f>IFERROR(__xludf.DUMMYFUNCTION("""COMPUTED_VALUE"""),"East")</f>
        <v>East</v>
      </c>
      <c r="F191" s="10">
        <f>IFERROR(__xludf.DUMMYFUNCTION("""COMPUTED_VALUE"""),53.316)</f>
        <v>53.316</v>
      </c>
      <c r="G191" s="11">
        <f>IFERROR(__xludf.DUMMYFUNCTION("""COMPUTED_VALUE"""),2.0)</f>
        <v>2</v>
      </c>
      <c r="H191" s="11">
        <f>IFERROR(__xludf.DUMMYFUNCTION("""COMPUTED_VALUE"""),-19.5492)</f>
        <v>-19.5492</v>
      </c>
    </row>
    <row r="192">
      <c r="A192" s="8" t="str">
        <f>IFERROR(__xludf.DUMMYFUNCTION("""COMPUTED_VALUE"""),"CA-2014-114643")</f>
        <v>CA-2014-114643</v>
      </c>
      <c r="B192" s="9">
        <f>IFERROR(__xludf.DUMMYFUNCTION("""COMPUTED_VALUE"""),41803.0)</f>
        <v>41803</v>
      </c>
      <c r="C192" s="8" t="str">
        <f>IFERROR(__xludf.DUMMYFUNCTION("""COMPUTED_VALUE"""),"Corporate")</f>
        <v>Corporate</v>
      </c>
      <c r="D192" s="8" t="str">
        <f>IFERROR(__xludf.DUMMYFUNCTION("""COMPUTED_VALUE"""),"California")</f>
        <v>California</v>
      </c>
      <c r="E192" s="8" t="str">
        <f>IFERROR(__xludf.DUMMYFUNCTION("""COMPUTED_VALUE"""),"West")</f>
        <v>West</v>
      </c>
      <c r="F192" s="10">
        <f>IFERROR(__xludf.DUMMYFUNCTION("""COMPUTED_VALUE"""),14.52)</f>
        <v>14.52</v>
      </c>
      <c r="G192" s="11">
        <f>IFERROR(__xludf.DUMMYFUNCTION("""COMPUTED_VALUE"""),3.0)</f>
        <v>3</v>
      </c>
      <c r="H192" s="11">
        <f>IFERROR(__xludf.DUMMYFUNCTION("""COMPUTED_VALUE"""),4.7916)</f>
        <v>4.7916</v>
      </c>
    </row>
    <row r="193">
      <c r="A193" s="8" t="str">
        <f>IFERROR(__xludf.DUMMYFUNCTION("""COMPUTED_VALUE"""),"CA-2014-114790")</f>
        <v>CA-2014-114790</v>
      </c>
      <c r="B193" s="9">
        <f>IFERROR(__xludf.DUMMYFUNCTION("""COMPUTED_VALUE"""),41709.0)</f>
        <v>41709</v>
      </c>
      <c r="C193" s="8" t="str">
        <f>IFERROR(__xludf.DUMMYFUNCTION("""COMPUTED_VALUE"""),"Corporate")</f>
        <v>Corporate</v>
      </c>
      <c r="D193" s="8" t="str">
        <f>IFERROR(__xludf.DUMMYFUNCTION("""COMPUTED_VALUE"""),"Kentucky")</f>
        <v>Kentucky</v>
      </c>
      <c r="E193" s="8" t="str">
        <f>IFERROR(__xludf.DUMMYFUNCTION("""COMPUTED_VALUE"""),"South")</f>
        <v>South</v>
      </c>
      <c r="F193" s="10">
        <f>IFERROR(__xludf.DUMMYFUNCTION("""COMPUTED_VALUE"""),146.76)</f>
        <v>146.76</v>
      </c>
      <c r="G193" s="11">
        <f>IFERROR(__xludf.DUMMYFUNCTION("""COMPUTED_VALUE"""),3.0)</f>
        <v>3</v>
      </c>
      <c r="H193" s="11">
        <f>IFERROR(__xludf.DUMMYFUNCTION("""COMPUTED_VALUE"""),38.1576)</f>
        <v>38.1576</v>
      </c>
    </row>
    <row r="194">
      <c r="A194" s="8" t="str">
        <f>IFERROR(__xludf.DUMMYFUNCTION("""COMPUTED_VALUE"""),"CA-2014-115049")</f>
        <v>CA-2014-115049</v>
      </c>
      <c r="B194" s="9">
        <f>IFERROR(__xludf.DUMMYFUNCTION("""COMPUTED_VALUE"""),41908.0)</f>
        <v>41908</v>
      </c>
      <c r="C194" s="8" t="str">
        <f>IFERROR(__xludf.DUMMYFUNCTION("""COMPUTED_VALUE"""),"Consumer")</f>
        <v>Consumer</v>
      </c>
      <c r="D194" s="8" t="str">
        <f>IFERROR(__xludf.DUMMYFUNCTION("""COMPUTED_VALUE"""),"Illinois")</f>
        <v>Illinois</v>
      </c>
      <c r="E194" s="8" t="str">
        <f>IFERROR(__xludf.DUMMYFUNCTION("""COMPUTED_VALUE"""),"Central")</f>
        <v>Central</v>
      </c>
      <c r="F194" s="10">
        <f>IFERROR(__xludf.DUMMYFUNCTION("""COMPUTED_VALUE"""),153.824)</f>
        <v>153.824</v>
      </c>
      <c r="G194" s="11">
        <f>IFERROR(__xludf.DUMMYFUNCTION("""COMPUTED_VALUE"""),11.0)</f>
        <v>11</v>
      </c>
      <c r="H194" s="11">
        <f>IFERROR(__xludf.DUMMYFUNCTION("""COMPUTED_VALUE"""),38.456)</f>
        <v>38.456</v>
      </c>
    </row>
    <row r="195">
      <c r="A195" s="8" t="str">
        <f>IFERROR(__xludf.DUMMYFUNCTION("""COMPUTED_VALUE"""),"CA-2014-115056")</f>
        <v>CA-2014-115056</v>
      </c>
      <c r="B195" s="9">
        <f>IFERROR(__xludf.DUMMYFUNCTION("""COMPUTED_VALUE"""),41761.0)</f>
        <v>41761</v>
      </c>
      <c r="C195" s="8" t="str">
        <f>IFERROR(__xludf.DUMMYFUNCTION("""COMPUTED_VALUE"""),"Consumer")</f>
        <v>Consumer</v>
      </c>
      <c r="D195" s="8" t="str">
        <f>IFERROR(__xludf.DUMMYFUNCTION("""COMPUTED_VALUE"""),"Ohio")</f>
        <v>Ohio</v>
      </c>
      <c r="E195" s="8" t="str">
        <f>IFERROR(__xludf.DUMMYFUNCTION("""COMPUTED_VALUE"""),"East")</f>
        <v>East</v>
      </c>
      <c r="F195" s="10">
        <f>IFERROR(__xludf.DUMMYFUNCTION("""COMPUTED_VALUE"""),26.136)</f>
        <v>26.136</v>
      </c>
      <c r="G195" s="11">
        <f>IFERROR(__xludf.DUMMYFUNCTION("""COMPUTED_VALUE"""),3.0)</f>
        <v>3</v>
      </c>
      <c r="H195" s="11">
        <f>IFERROR(__xludf.DUMMYFUNCTION("""COMPUTED_VALUE"""),1.9602)</f>
        <v>1.9602</v>
      </c>
    </row>
    <row r="196">
      <c r="A196" s="8" t="str">
        <f>IFERROR(__xludf.DUMMYFUNCTION("""COMPUTED_VALUE"""),"CA-2014-115084")</f>
        <v>CA-2014-115084</v>
      </c>
      <c r="B196" s="9">
        <f>IFERROR(__xludf.DUMMYFUNCTION("""COMPUTED_VALUE"""),41930.0)</f>
        <v>41930</v>
      </c>
      <c r="C196" s="8" t="str">
        <f>IFERROR(__xludf.DUMMYFUNCTION("""COMPUTED_VALUE"""),"Corporate")</f>
        <v>Corporate</v>
      </c>
      <c r="D196" s="8" t="str">
        <f>IFERROR(__xludf.DUMMYFUNCTION("""COMPUTED_VALUE"""),"Arkansas")</f>
        <v>Arkansas</v>
      </c>
      <c r="E196" s="8" t="str">
        <f>IFERROR(__xludf.DUMMYFUNCTION("""COMPUTED_VALUE"""),"South")</f>
        <v>South</v>
      </c>
      <c r="F196" s="10">
        <f>IFERROR(__xludf.DUMMYFUNCTION("""COMPUTED_VALUE"""),605.34)</f>
        <v>605.34</v>
      </c>
      <c r="G196" s="11">
        <f>IFERROR(__xludf.DUMMYFUNCTION("""COMPUTED_VALUE"""),6.0)</f>
        <v>6</v>
      </c>
      <c r="H196" s="11">
        <f>IFERROR(__xludf.DUMMYFUNCTION("""COMPUTED_VALUE"""),145.2816)</f>
        <v>145.2816</v>
      </c>
    </row>
    <row r="197">
      <c r="A197" s="8" t="str">
        <f>IFERROR(__xludf.DUMMYFUNCTION("""COMPUTED_VALUE"""),"CA-2014-115133")</f>
        <v>CA-2014-115133</v>
      </c>
      <c r="B197" s="9">
        <f>IFERROR(__xludf.DUMMYFUNCTION("""COMPUTED_VALUE"""),41908.0)</f>
        <v>41908</v>
      </c>
      <c r="C197" s="8" t="str">
        <f>IFERROR(__xludf.DUMMYFUNCTION("""COMPUTED_VALUE"""),"Home Office")</f>
        <v>Home Office</v>
      </c>
      <c r="D197" s="8" t="str">
        <f>IFERROR(__xludf.DUMMYFUNCTION("""COMPUTED_VALUE"""),"Ohio")</f>
        <v>Ohio</v>
      </c>
      <c r="E197" s="8" t="str">
        <f>IFERROR(__xludf.DUMMYFUNCTION("""COMPUTED_VALUE"""),"East")</f>
        <v>East</v>
      </c>
      <c r="F197" s="10">
        <f>IFERROR(__xludf.DUMMYFUNCTION("""COMPUTED_VALUE"""),16.704)</f>
        <v>16.704</v>
      </c>
      <c r="G197" s="11">
        <f>IFERROR(__xludf.DUMMYFUNCTION("""COMPUTED_VALUE"""),6.0)</f>
        <v>6</v>
      </c>
      <c r="H197" s="11">
        <f>IFERROR(__xludf.DUMMYFUNCTION("""COMPUTED_VALUE"""),1.2528)</f>
        <v>1.2528</v>
      </c>
    </row>
    <row r="198">
      <c r="A198" s="8" t="str">
        <f>IFERROR(__xludf.DUMMYFUNCTION("""COMPUTED_VALUE"""),"CA-2014-115161")</f>
        <v>CA-2014-115161</v>
      </c>
      <c r="B198" s="9">
        <f>IFERROR(__xludf.DUMMYFUNCTION("""COMPUTED_VALUE"""),41670.0)</f>
        <v>41670</v>
      </c>
      <c r="C198" s="8" t="str">
        <f>IFERROR(__xludf.DUMMYFUNCTION("""COMPUTED_VALUE"""),"Consumer")</f>
        <v>Consumer</v>
      </c>
      <c r="D198" s="8" t="str">
        <f>IFERROR(__xludf.DUMMYFUNCTION("""COMPUTED_VALUE"""),"California")</f>
        <v>California</v>
      </c>
      <c r="E198" s="8" t="str">
        <f>IFERROR(__xludf.DUMMYFUNCTION("""COMPUTED_VALUE"""),"West")</f>
        <v>West</v>
      </c>
      <c r="F198" s="10">
        <f>IFERROR(__xludf.DUMMYFUNCTION("""COMPUTED_VALUE"""),290.666)</f>
        <v>290.666</v>
      </c>
      <c r="G198" s="11">
        <f>IFERROR(__xludf.DUMMYFUNCTION("""COMPUTED_VALUE"""),2.0)</f>
        <v>2</v>
      </c>
      <c r="H198" s="11">
        <f>IFERROR(__xludf.DUMMYFUNCTION("""COMPUTED_VALUE"""),3.4196)</f>
        <v>3.4196</v>
      </c>
    </row>
    <row r="199">
      <c r="A199" s="8" t="str">
        <f>IFERROR(__xludf.DUMMYFUNCTION("""COMPUTED_VALUE"""),"CA-2014-115259")</f>
        <v>CA-2014-115259</v>
      </c>
      <c r="B199" s="9">
        <f>IFERROR(__xludf.DUMMYFUNCTION("""COMPUTED_VALUE"""),41876.0)</f>
        <v>41876</v>
      </c>
      <c r="C199" s="8" t="str">
        <f>IFERROR(__xludf.DUMMYFUNCTION("""COMPUTED_VALUE"""),"Consumer")</f>
        <v>Consumer</v>
      </c>
      <c r="D199" s="8" t="str">
        <f>IFERROR(__xludf.DUMMYFUNCTION("""COMPUTED_VALUE"""),"Ohio")</f>
        <v>Ohio</v>
      </c>
      <c r="E199" s="8" t="str">
        <f>IFERROR(__xludf.DUMMYFUNCTION("""COMPUTED_VALUE"""),"East")</f>
        <v>East</v>
      </c>
      <c r="F199" s="10">
        <f>IFERROR(__xludf.DUMMYFUNCTION("""COMPUTED_VALUE"""),40.096)</f>
        <v>40.096</v>
      </c>
      <c r="G199" s="11">
        <f>IFERROR(__xludf.DUMMYFUNCTION("""COMPUTED_VALUE"""),14.0)</f>
        <v>14</v>
      </c>
      <c r="H199" s="11">
        <f>IFERROR(__xludf.DUMMYFUNCTION("""COMPUTED_VALUE"""),14.5348)</f>
        <v>14.5348</v>
      </c>
    </row>
    <row r="200">
      <c r="A200" s="8" t="str">
        <f>IFERROR(__xludf.DUMMYFUNCTION("""COMPUTED_VALUE"""),"CA-2014-115336")</f>
        <v>CA-2014-115336</v>
      </c>
      <c r="B200" s="9">
        <f>IFERROR(__xludf.DUMMYFUNCTION("""COMPUTED_VALUE"""),41961.0)</f>
        <v>41961</v>
      </c>
      <c r="C200" s="8" t="str">
        <f>IFERROR(__xludf.DUMMYFUNCTION("""COMPUTED_VALUE"""),"Corporate")</f>
        <v>Corporate</v>
      </c>
      <c r="D200" s="8" t="str">
        <f>IFERROR(__xludf.DUMMYFUNCTION("""COMPUTED_VALUE"""),"Illinois")</f>
        <v>Illinois</v>
      </c>
      <c r="E200" s="8" t="str">
        <f>IFERROR(__xludf.DUMMYFUNCTION("""COMPUTED_VALUE"""),"Central")</f>
        <v>Central</v>
      </c>
      <c r="F200" s="10">
        <f>IFERROR(__xludf.DUMMYFUNCTION("""COMPUTED_VALUE"""),14.48)</f>
        <v>14.48</v>
      </c>
      <c r="G200" s="11">
        <f>IFERROR(__xludf.DUMMYFUNCTION("""COMPUTED_VALUE"""),5.0)</f>
        <v>5</v>
      </c>
      <c r="H200" s="11">
        <f>IFERROR(__xludf.DUMMYFUNCTION("""COMPUTED_VALUE"""),-23.892)</f>
        <v>-23.892</v>
      </c>
    </row>
    <row r="201">
      <c r="A201" s="8" t="str">
        <f>IFERROR(__xludf.DUMMYFUNCTION("""COMPUTED_VALUE"""),"CA-2014-115357")</f>
        <v>CA-2014-115357</v>
      </c>
      <c r="B201" s="9">
        <f>IFERROR(__xludf.DUMMYFUNCTION("""COMPUTED_VALUE"""),41857.0)</f>
        <v>41857</v>
      </c>
      <c r="C201" s="8" t="str">
        <f>IFERROR(__xludf.DUMMYFUNCTION("""COMPUTED_VALUE"""),"Consumer")</f>
        <v>Consumer</v>
      </c>
      <c r="D201" s="8" t="str">
        <f>IFERROR(__xludf.DUMMYFUNCTION("""COMPUTED_VALUE"""),"South Carolina")</f>
        <v>South Carolina</v>
      </c>
      <c r="E201" s="8" t="str">
        <f>IFERROR(__xludf.DUMMYFUNCTION("""COMPUTED_VALUE"""),"South")</f>
        <v>South</v>
      </c>
      <c r="F201" s="10">
        <f>IFERROR(__xludf.DUMMYFUNCTION("""COMPUTED_VALUE"""),62.91)</f>
        <v>62.91</v>
      </c>
      <c r="G201" s="11">
        <f>IFERROR(__xludf.DUMMYFUNCTION("""COMPUTED_VALUE"""),3.0)</f>
        <v>3</v>
      </c>
      <c r="H201" s="11">
        <f>IFERROR(__xludf.DUMMYFUNCTION("""COMPUTED_VALUE"""),22.6476)</f>
        <v>22.6476</v>
      </c>
    </row>
    <row r="202">
      <c r="A202" s="8" t="str">
        <f>IFERROR(__xludf.DUMMYFUNCTION("""COMPUTED_VALUE"""),"CA-2014-115791")</f>
        <v>CA-2014-115791</v>
      </c>
      <c r="B202" s="9">
        <f>IFERROR(__xludf.DUMMYFUNCTION("""COMPUTED_VALUE"""),41655.0)</f>
        <v>41655</v>
      </c>
      <c r="C202" s="8" t="str">
        <f>IFERROR(__xludf.DUMMYFUNCTION("""COMPUTED_VALUE"""),"Consumer")</f>
        <v>Consumer</v>
      </c>
      <c r="D202" s="8" t="str">
        <f>IFERROR(__xludf.DUMMYFUNCTION("""COMPUTED_VALUE"""),"Pennsylvania")</f>
        <v>Pennsylvania</v>
      </c>
      <c r="E202" s="8" t="str">
        <f>IFERROR(__xludf.DUMMYFUNCTION("""COMPUTED_VALUE"""),"East")</f>
        <v>East</v>
      </c>
      <c r="F202" s="10">
        <f>IFERROR(__xludf.DUMMYFUNCTION("""COMPUTED_VALUE"""),127.104)</f>
        <v>127.104</v>
      </c>
      <c r="G202" s="11">
        <f>IFERROR(__xludf.DUMMYFUNCTION("""COMPUTED_VALUE"""),6.0)</f>
        <v>6</v>
      </c>
      <c r="H202" s="11">
        <f>IFERROR(__xludf.DUMMYFUNCTION("""COMPUTED_VALUE"""),28.5984)</f>
        <v>28.5984</v>
      </c>
    </row>
    <row r="203">
      <c r="A203" s="8" t="str">
        <f>IFERROR(__xludf.DUMMYFUNCTION("""COMPUTED_VALUE"""),"CA-2014-115812")</f>
        <v>CA-2014-115812</v>
      </c>
      <c r="B203" s="9">
        <f>IFERROR(__xludf.DUMMYFUNCTION("""COMPUTED_VALUE"""),41799.0)</f>
        <v>41799</v>
      </c>
      <c r="C203" s="8" t="str">
        <f>IFERROR(__xludf.DUMMYFUNCTION("""COMPUTED_VALUE"""),"Consumer")</f>
        <v>Consumer</v>
      </c>
      <c r="D203" s="8" t="str">
        <f>IFERROR(__xludf.DUMMYFUNCTION("""COMPUTED_VALUE"""),"California")</f>
        <v>California</v>
      </c>
      <c r="E203" s="8" t="str">
        <f>IFERROR(__xludf.DUMMYFUNCTION("""COMPUTED_VALUE"""),"West")</f>
        <v>West</v>
      </c>
      <c r="F203" s="10">
        <f>IFERROR(__xludf.DUMMYFUNCTION("""COMPUTED_VALUE"""),48.86)</f>
        <v>48.86</v>
      </c>
      <c r="G203" s="11">
        <f>IFERROR(__xludf.DUMMYFUNCTION("""COMPUTED_VALUE"""),7.0)</f>
        <v>7</v>
      </c>
      <c r="H203" s="11">
        <f>IFERROR(__xludf.DUMMYFUNCTION("""COMPUTED_VALUE"""),14.1694)</f>
        <v>14.1694</v>
      </c>
    </row>
    <row r="204">
      <c r="A204" s="8" t="str">
        <f>IFERROR(__xludf.DUMMYFUNCTION("""COMPUTED_VALUE"""),"CA-2014-115889")</f>
        <v>CA-2014-115889</v>
      </c>
      <c r="B204" s="9">
        <f>IFERROR(__xludf.DUMMYFUNCTION("""COMPUTED_VALUE"""),41945.0)</f>
        <v>41945</v>
      </c>
      <c r="C204" s="8" t="str">
        <f>IFERROR(__xludf.DUMMYFUNCTION("""COMPUTED_VALUE"""),"Consumer")</f>
        <v>Consumer</v>
      </c>
      <c r="D204" s="8" t="str">
        <f>IFERROR(__xludf.DUMMYFUNCTION("""COMPUTED_VALUE"""),"California")</f>
        <v>California</v>
      </c>
      <c r="E204" s="8" t="str">
        <f>IFERROR(__xludf.DUMMYFUNCTION("""COMPUTED_VALUE"""),"West")</f>
        <v>West</v>
      </c>
      <c r="F204" s="10">
        <f>IFERROR(__xludf.DUMMYFUNCTION("""COMPUTED_VALUE"""),46.384)</f>
        <v>46.384</v>
      </c>
      <c r="G204" s="11">
        <f>IFERROR(__xludf.DUMMYFUNCTION("""COMPUTED_VALUE"""),2.0)</f>
        <v>2</v>
      </c>
      <c r="H204" s="11">
        <f>IFERROR(__xludf.DUMMYFUNCTION("""COMPUTED_VALUE"""),5.2182)</f>
        <v>5.2182</v>
      </c>
    </row>
    <row r="205">
      <c r="A205" s="8" t="str">
        <f>IFERROR(__xludf.DUMMYFUNCTION("""COMPUTED_VALUE"""),"CA-2014-115973")</f>
        <v>CA-2014-115973</v>
      </c>
      <c r="B205" s="9">
        <f>IFERROR(__xludf.DUMMYFUNCTION("""COMPUTED_VALUE"""),41967.0)</f>
        <v>41967</v>
      </c>
      <c r="C205" s="8" t="str">
        <f>IFERROR(__xludf.DUMMYFUNCTION("""COMPUTED_VALUE"""),"Consumer")</f>
        <v>Consumer</v>
      </c>
      <c r="D205" s="8" t="str">
        <f>IFERROR(__xludf.DUMMYFUNCTION("""COMPUTED_VALUE"""),"Ohio")</f>
        <v>Ohio</v>
      </c>
      <c r="E205" s="8" t="str">
        <f>IFERROR(__xludf.DUMMYFUNCTION("""COMPUTED_VALUE"""),"East")</f>
        <v>East</v>
      </c>
      <c r="F205" s="10">
        <f>IFERROR(__xludf.DUMMYFUNCTION("""COMPUTED_VALUE"""),2.624)</f>
        <v>2.624</v>
      </c>
      <c r="G205" s="11">
        <f>IFERROR(__xludf.DUMMYFUNCTION("""COMPUTED_VALUE"""),1.0)</f>
        <v>1</v>
      </c>
      <c r="H205" s="11">
        <f>IFERROR(__xludf.DUMMYFUNCTION("""COMPUTED_VALUE"""),0.4264)</f>
        <v>0.4264</v>
      </c>
    </row>
    <row r="206">
      <c r="A206" s="8" t="str">
        <f>IFERROR(__xludf.DUMMYFUNCTION("""COMPUTED_VALUE"""),"CA-2014-115980")</f>
        <v>CA-2014-115980</v>
      </c>
      <c r="B206" s="9">
        <f>IFERROR(__xludf.DUMMYFUNCTION("""COMPUTED_VALUE"""),41835.0)</f>
        <v>41835</v>
      </c>
      <c r="C206" s="8" t="str">
        <f>IFERROR(__xludf.DUMMYFUNCTION("""COMPUTED_VALUE"""),"Corporate")</f>
        <v>Corporate</v>
      </c>
      <c r="D206" s="8" t="str">
        <f>IFERROR(__xludf.DUMMYFUNCTION("""COMPUTED_VALUE"""),"South Dakota")</f>
        <v>South Dakota</v>
      </c>
      <c r="E206" s="8" t="str">
        <f>IFERROR(__xludf.DUMMYFUNCTION("""COMPUTED_VALUE"""),"Central")</f>
        <v>Central</v>
      </c>
      <c r="F206" s="10">
        <f>IFERROR(__xludf.DUMMYFUNCTION("""COMPUTED_VALUE"""),2.97)</f>
        <v>2.97</v>
      </c>
      <c r="G206" s="11">
        <f>IFERROR(__xludf.DUMMYFUNCTION("""COMPUTED_VALUE"""),3.0)</f>
        <v>3</v>
      </c>
      <c r="H206" s="11">
        <f>IFERROR(__xludf.DUMMYFUNCTION("""COMPUTED_VALUE"""),1.3068)</f>
        <v>1.3068</v>
      </c>
    </row>
    <row r="207">
      <c r="A207" s="8" t="str">
        <f>IFERROR(__xludf.DUMMYFUNCTION("""COMPUTED_VALUE"""),"CA-2014-116190")</f>
        <v>CA-2014-116190</v>
      </c>
      <c r="B207" s="9">
        <f>IFERROR(__xludf.DUMMYFUNCTION("""COMPUTED_VALUE"""),41846.0)</f>
        <v>41846</v>
      </c>
      <c r="C207" s="8" t="str">
        <f>IFERROR(__xludf.DUMMYFUNCTION("""COMPUTED_VALUE"""),"Consumer")</f>
        <v>Consumer</v>
      </c>
      <c r="D207" s="8" t="str">
        <f>IFERROR(__xludf.DUMMYFUNCTION("""COMPUTED_VALUE"""),"Georgia")</f>
        <v>Georgia</v>
      </c>
      <c r="E207" s="8" t="str">
        <f>IFERROR(__xludf.DUMMYFUNCTION("""COMPUTED_VALUE"""),"South")</f>
        <v>South</v>
      </c>
      <c r="F207" s="10">
        <f>IFERROR(__xludf.DUMMYFUNCTION("""COMPUTED_VALUE"""),67.88)</f>
        <v>67.88</v>
      </c>
      <c r="G207" s="11">
        <f>IFERROR(__xludf.DUMMYFUNCTION("""COMPUTED_VALUE"""),2.0)</f>
        <v>2</v>
      </c>
      <c r="H207" s="11">
        <f>IFERROR(__xludf.DUMMYFUNCTION("""COMPUTED_VALUE"""),18.3276)</f>
        <v>18.3276</v>
      </c>
    </row>
    <row r="208">
      <c r="A208" s="8" t="str">
        <f>IFERROR(__xludf.DUMMYFUNCTION("""COMPUTED_VALUE"""),"CA-2014-116239")</f>
        <v>CA-2014-116239</v>
      </c>
      <c r="B208" s="9">
        <f>IFERROR(__xludf.DUMMYFUNCTION("""COMPUTED_VALUE"""),41702.0)</f>
        <v>41702</v>
      </c>
      <c r="C208" s="8" t="str">
        <f>IFERROR(__xludf.DUMMYFUNCTION("""COMPUTED_VALUE"""),"Consumer")</f>
        <v>Consumer</v>
      </c>
      <c r="D208" s="8" t="str">
        <f>IFERROR(__xludf.DUMMYFUNCTION("""COMPUTED_VALUE"""),"South Carolina")</f>
        <v>South Carolina</v>
      </c>
      <c r="E208" s="8" t="str">
        <f>IFERROR(__xludf.DUMMYFUNCTION("""COMPUTED_VALUE"""),"South")</f>
        <v>South</v>
      </c>
      <c r="F208" s="10">
        <f>IFERROR(__xludf.DUMMYFUNCTION("""COMPUTED_VALUE"""),354.9)</f>
        <v>354.9</v>
      </c>
      <c r="G208" s="11">
        <f>IFERROR(__xludf.DUMMYFUNCTION("""COMPUTED_VALUE"""),5.0)</f>
        <v>5</v>
      </c>
      <c r="H208" s="11">
        <f>IFERROR(__xludf.DUMMYFUNCTION("""COMPUTED_VALUE"""),17.745)</f>
        <v>17.745</v>
      </c>
    </row>
    <row r="209">
      <c r="A209" s="8" t="str">
        <f>IFERROR(__xludf.DUMMYFUNCTION("""COMPUTED_VALUE"""),"CA-2014-116246")</f>
        <v>CA-2014-116246</v>
      </c>
      <c r="B209" s="9">
        <f>IFERROR(__xludf.DUMMYFUNCTION("""COMPUTED_VALUE"""),41894.0)</f>
        <v>41894</v>
      </c>
      <c r="C209" s="8" t="str">
        <f>IFERROR(__xludf.DUMMYFUNCTION("""COMPUTED_VALUE"""),"Consumer")</f>
        <v>Consumer</v>
      </c>
      <c r="D209" s="8" t="str">
        <f>IFERROR(__xludf.DUMMYFUNCTION("""COMPUTED_VALUE"""),"New York")</f>
        <v>New York</v>
      </c>
      <c r="E209" s="8" t="str">
        <f>IFERROR(__xludf.DUMMYFUNCTION("""COMPUTED_VALUE"""),"East")</f>
        <v>East</v>
      </c>
      <c r="F209" s="10">
        <f>IFERROR(__xludf.DUMMYFUNCTION("""COMPUTED_VALUE"""),3785.292)</f>
        <v>3785.292</v>
      </c>
      <c r="G209" s="11">
        <f>IFERROR(__xludf.DUMMYFUNCTION("""COMPUTED_VALUE"""),6.0)</f>
        <v>6</v>
      </c>
      <c r="H209" s="11">
        <f>IFERROR(__xludf.DUMMYFUNCTION("""COMPUTED_VALUE"""),420.588)</f>
        <v>420.588</v>
      </c>
    </row>
    <row r="210">
      <c r="A210" s="8" t="str">
        <f>IFERROR(__xludf.DUMMYFUNCTION("""COMPUTED_VALUE"""),"CA-2014-116407")</f>
        <v>CA-2014-116407</v>
      </c>
      <c r="B210" s="9">
        <f>IFERROR(__xludf.DUMMYFUNCTION("""COMPUTED_VALUE"""),41958.0)</f>
        <v>41958</v>
      </c>
      <c r="C210" s="8" t="str">
        <f>IFERROR(__xludf.DUMMYFUNCTION("""COMPUTED_VALUE"""),"Consumer")</f>
        <v>Consumer</v>
      </c>
      <c r="D210" s="8" t="str">
        <f>IFERROR(__xludf.DUMMYFUNCTION("""COMPUTED_VALUE"""),"Tennessee")</f>
        <v>Tennessee</v>
      </c>
      <c r="E210" s="8" t="str">
        <f>IFERROR(__xludf.DUMMYFUNCTION("""COMPUTED_VALUE"""),"South")</f>
        <v>South</v>
      </c>
      <c r="F210" s="10">
        <f>IFERROR(__xludf.DUMMYFUNCTION("""COMPUTED_VALUE"""),4.224)</f>
        <v>4.224</v>
      </c>
      <c r="G210" s="11">
        <f>IFERROR(__xludf.DUMMYFUNCTION("""COMPUTED_VALUE"""),3.0)</f>
        <v>3</v>
      </c>
      <c r="H210" s="11">
        <f>IFERROR(__xludf.DUMMYFUNCTION("""COMPUTED_VALUE"""),0.4752)</f>
        <v>0.4752</v>
      </c>
    </row>
    <row r="211">
      <c r="A211" s="8" t="str">
        <f>IFERROR(__xludf.DUMMYFUNCTION("""COMPUTED_VALUE"""),"CA-2014-116568")</f>
        <v>CA-2014-116568</v>
      </c>
      <c r="B211" s="9">
        <f>IFERROR(__xludf.DUMMYFUNCTION("""COMPUTED_VALUE"""),41987.0)</f>
        <v>41987</v>
      </c>
      <c r="C211" s="8" t="str">
        <f>IFERROR(__xludf.DUMMYFUNCTION("""COMPUTED_VALUE"""),"Consumer")</f>
        <v>Consumer</v>
      </c>
      <c r="D211" s="8" t="str">
        <f>IFERROR(__xludf.DUMMYFUNCTION("""COMPUTED_VALUE"""),"Florida")</f>
        <v>Florida</v>
      </c>
      <c r="E211" s="8" t="str">
        <f>IFERROR(__xludf.DUMMYFUNCTION("""COMPUTED_VALUE"""),"South")</f>
        <v>South</v>
      </c>
      <c r="F211" s="10">
        <f>IFERROR(__xludf.DUMMYFUNCTION("""COMPUTED_VALUE"""),186.304)</f>
        <v>186.304</v>
      </c>
      <c r="G211" s="11">
        <f>IFERROR(__xludf.DUMMYFUNCTION("""COMPUTED_VALUE"""),4.0)</f>
        <v>4</v>
      </c>
      <c r="H211" s="11">
        <f>IFERROR(__xludf.DUMMYFUNCTION("""COMPUTED_VALUE"""),13.9728)</f>
        <v>13.9728</v>
      </c>
    </row>
    <row r="212">
      <c r="A212" s="8" t="str">
        <f>IFERROR(__xludf.DUMMYFUNCTION("""COMPUTED_VALUE"""),"CA-2014-116666")</f>
        <v>CA-2014-116666</v>
      </c>
      <c r="B212" s="9">
        <f>IFERROR(__xludf.DUMMYFUNCTION("""COMPUTED_VALUE"""),41767.0)</f>
        <v>41767</v>
      </c>
      <c r="C212" s="8" t="str">
        <f>IFERROR(__xludf.DUMMYFUNCTION("""COMPUTED_VALUE"""),"Consumer")</f>
        <v>Consumer</v>
      </c>
      <c r="D212" s="8" t="str">
        <f>IFERROR(__xludf.DUMMYFUNCTION("""COMPUTED_VALUE"""),"Pennsylvania")</f>
        <v>Pennsylvania</v>
      </c>
      <c r="E212" s="8" t="str">
        <f>IFERROR(__xludf.DUMMYFUNCTION("""COMPUTED_VALUE"""),"East")</f>
        <v>East</v>
      </c>
      <c r="F212" s="10">
        <f>IFERROR(__xludf.DUMMYFUNCTION("""COMPUTED_VALUE"""),1799.97)</f>
        <v>1799.97</v>
      </c>
      <c r="G212" s="11">
        <f>IFERROR(__xludf.DUMMYFUNCTION("""COMPUTED_VALUE"""),5.0)</f>
        <v>5</v>
      </c>
      <c r="H212" s="11">
        <f>IFERROR(__xludf.DUMMYFUNCTION("""COMPUTED_VALUE"""),239.996)</f>
        <v>239.996</v>
      </c>
    </row>
    <row r="213">
      <c r="A213" s="8" t="str">
        <f>IFERROR(__xludf.DUMMYFUNCTION("""COMPUTED_VALUE"""),"CA-2014-116673")</f>
        <v>CA-2014-116673</v>
      </c>
      <c r="B213" s="9">
        <f>IFERROR(__xludf.DUMMYFUNCTION("""COMPUTED_VALUE"""),41988.0)</f>
        <v>41988</v>
      </c>
      <c r="C213" s="8" t="str">
        <f>IFERROR(__xludf.DUMMYFUNCTION("""COMPUTED_VALUE"""),"Consumer")</f>
        <v>Consumer</v>
      </c>
      <c r="D213" s="8" t="str">
        <f>IFERROR(__xludf.DUMMYFUNCTION("""COMPUTED_VALUE"""),"California")</f>
        <v>California</v>
      </c>
      <c r="E213" s="8" t="str">
        <f>IFERROR(__xludf.DUMMYFUNCTION("""COMPUTED_VALUE"""),"West")</f>
        <v>West</v>
      </c>
      <c r="F213" s="10">
        <f>IFERROR(__xludf.DUMMYFUNCTION("""COMPUTED_VALUE"""),6.16)</f>
        <v>6.16</v>
      </c>
      <c r="G213" s="11">
        <f>IFERROR(__xludf.DUMMYFUNCTION("""COMPUTED_VALUE"""),2.0)</f>
        <v>2</v>
      </c>
      <c r="H213" s="11">
        <f>IFERROR(__xludf.DUMMYFUNCTION("""COMPUTED_VALUE"""),1.9712)</f>
        <v>1.9712</v>
      </c>
    </row>
    <row r="214">
      <c r="A214" s="8" t="str">
        <f>IFERROR(__xludf.DUMMYFUNCTION("""COMPUTED_VALUE"""),"CA-2014-116757")</f>
        <v>CA-2014-116757</v>
      </c>
      <c r="B214" s="9">
        <f>IFERROR(__xludf.DUMMYFUNCTION("""COMPUTED_VALUE"""),41820.0)</f>
        <v>41820</v>
      </c>
      <c r="C214" s="8" t="str">
        <f>IFERROR(__xludf.DUMMYFUNCTION("""COMPUTED_VALUE"""),"Corporate")</f>
        <v>Corporate</v>
      </c>
      <c r="D214" s="8" t="str">
        <f>IFERROR(__xludf.DUMMYFUNCTION("""COMPUTED_VALUE"""),"Texas")</f>
        <v>Texas</v>
      </c>
      <c r="E214" s="8" t="str">
        <f>IFERROR(__xludf.DUMMYFUNCTION("""COMPUTED_VALUE"""),"Central")</f>
        <v>Central</v>
      </c>
      <c r="F214" s="10">
        <f>IFERROR(__xludf.DUMMYFUNCTION("""COMPUTED_VALUE"""),25.92)</f>
        <v>25.92</v>
      </c>
      <c r="G214" s="11">
        <f>IFERROR(__xludf.DUMMYFUNCTION("""COMPUTED_VALUE"""),5.0)</f>
        <v>5</v>
      </c>
      <c r="H214" s="11">
        <f>IFERROR(__xludf.DUMMYFUNCTION("""COMPUTED_VALUE"""),9.072)</f>
        <v>9.072</v>
      </c>
    </row>
    <row r="215">
      <c r="A215" s="8" t="str">
        <f>IFERROR(__xludf.DUMMYFUNCTION("""COMPUTED_VALUE"""),"CA-2014-116785")</f>
        <v>CA-2014-116785</v>
      </c>
      <c r="B215" s="9">
        <f>IFERROR(__xludf.DUMMYFUNCTION("""COMPUTED_VALUE"""),41755.0)</f>
        <v>41755</v>
      </c>
      <c r="C215" s="8" t="str">
        <f>IFERROR(__xludf.DUMMYFUNCTION("""COMPUTED_VALUE"""),"Home Office")</f>
        <v>Home Office</v>
      </c>
      <c r="D215" s="8" t="str">
        <f>IFERROR(__xludf.DUMMYFUNCTION("""COMPUTED_VALUE"""),"California")</f>
        <v>California</v>
      </c>
      <c r="E215" s="8" t="str">
        <f>IFERROR(__xludf.DUMMYFUNCTION("""COMPUTED_VALUE"""),"West")</f>
        <v>West</v>
      </c>
      <c r="F215" s="10">
        <f>IFERROR(__xludf.DUMMYFUNCTION("""COMPUTED_VALUE"""),21.4)</f>
        <v>21.4</v>
      </c>
      <c r="G215" s="11">
        <f>IFERROR(__xludf.DUMMYFUNCTION("""COMPUTED_VALUE"""),5.0)</f>
        <v>5</v>
      </c>
      <c r="H215" s="11">
        <f>IFERROR(__xludf.DUMMYFUNCTION("""COMPUTED_VALUE"""),6.206)</f>
        <v>6.206</v>
      </c>
    </row>
    <row r="216">
      <c r="A216" s="8" t="str">
        <f>IFERROR(__xludf.DUMMYFUNCTION("""COMPUTED_VALUE"""),"CA-2014-116834")</f>
        <v>CA-2014-116834</v>
      </c>
      <c r="B216" s="9">
        <f>IFERROR(__xludf.DUMMYFUNCTION("""COMPUTED_VALUE"""),41923.0)</f>
        <v>41923</v>
      </c>
      <c r="C216" s="8" t="str">
        <f>IFERROR(__xludf.DUMMYFUNCTION("""COMPUTED_VALUE"""),"Home Office")</f>
        <v>Home Office</v>
      </c>
      <c r="D216" s="8" t="str">
        <f>IFERROR(__xludf.DUMMYFUNCTION("""COMPUTED_VALUE"""),"Washington")</f>
        <v>Washington</v>
      </c>
      <c r="E216" s="8" t="str">
        <f>IFERROR(__xludf.DUMMYFUNCTION("""COMPUTED_VALUE"""),"West")</f>
        <v>West</v>
      </c>
      <c r="F216" s="10">
        <f>IFERROR(__xludf.DUMMYFUNCTION("""COMPUTED_VALUE"""),63.47)</f>
        <v>63.47</v>
      </c>
      <c r="G216" s="11">
        <f>IFERROR(__xludf.DUMMYFUNCTION("""COMPUTED_VALUE"""),11.0)</f>
        <v>11</v>
      </c>
      <c r="H216" s="11">
        <f>IFERROR(__xludf.DUMMYFUNCTION("""COMPUTED_VALUE"""),19.041)</f>
        <v>19.041</v>
      </c>
    </row>
    <row r="217">
      <c r="A217" s="8" t="str">
        <f>IFERROR(__xludf.DUMMYFUNCTION("""COMPUTED_VALUE"""),"CA-2014-116904")</f>
        <v>CA-2014-116904</v>
      </c>
      <c r="B217" s="9">
        <f>IFERROR(__xludf.DUMMYFUNCTION("""COMPUTED_VALUE"""),41905.0)</f>
        <v>41905</v>
      </c>
      <c r="C217" s="8" t="str">
        <f>IFERROR(__xludf.DUMMYFUNCTION("""COMPUTED_VALUE"""),"Consumer")</f>
        <v>Consumer</v>
      </c>
      <c r="D217" s="8" t="str">
        <f>IFERROR(__xludf.DUMMYFUNCTION("""COMPUTED_VALUE"""),"Minnesota")</f>
        <v>Minnesota</v>
      </c>
      <c r="E217" s="8" t="str">
        <f>IFERROR(__xludf.DUMMYFUNCTION("""COMPUTED_VALUE"""),"Central")</f>
        <v>Central</v>
      </c>
      <c r="F217" s="10">
        <f>IFERROR(__xludf.DUMMYFUNCTION("""COMPUTED_VALUE"""),32.4)</f>
        <v>32.4</v>
      </c>
      <c r="G217" s="11">
        <f>IFERROR(__xludf.DUMMYFUNCTION("""COMPUTED_VALUE"""),5.0)</f>
        <v>5</v>
      </c>
      <c r="H217" s="11">
        <f>IFERROR(__xludf.DUMMYFUNCTION("""COMPUTED_VALUE"""),15.552)</f>
        <v>15.552</v>
      </c>
    </row>
    <row r="218">
      <c r="A218" s="8" t="str">
        <f>IFERROR(__xludf.DUMMYFUNCTION("""COMPUTED_VALUE"""),"CA-2014-116932")</f>
        <v>CA-2014-116932</v>
      </c>
      <c r="B218" s="9">
        <f>IFERROR(__xludf.DUMMYFUNCTION("""COMPUTED_VALUE"""),41841.0)</f>
        <v>41841</v>
      </c>
      <c r="C218" s="8" t="str">
        <f>IFERROR(__xludf.DUMMYFUNCTION("""COMPUTED_VALUE"""),"Corporate")</f>
        <v>Corporate</v>
      </c>
      <c r="D218" s="8" t="str">
        <f>IFERROR(__xludf.DUMMYFUNCTION("""COMPUTED_VALUE"""),"California")</f>
        <v>California</v>
      </c>
      <c r="E218" s="8" t="str">
        <f>IFERROR(__xludf.DUMMYFUNCTION("""COMPUTED_VALUE"""),"West")</f>
        <v>West</v>
      </c>
      <c r="F218" s="10">
        <f>IFERROR(__xludf.DUMMYFUNCTION("""COMPUTED_VALUE"""),99.2)</f>
        <v>99.2</v>
      </c>
      <c r="G218" s="11">
        <f>IFERROR(__xludf.DUMMYFUNCTION("""COMPUTED_VALUE"""),5.0)</f>
        <v>5</v>
      </c>
      <c r="H218" s="11">
        <f>IFERROR(__xludf.DUMMYFUNCTION("""COMPUTED_VALUE"""),25.792)</f>
        <v>25.792</v>
      </c>
    </row>
    <row r="219">
      <c r="A219" s="8" t="str">
        <f>IFERROR(__xludf.DUMMYFUNCTION("""COMPUTED_VALUE"""),"CA-2014-117016")</f>
        <v>CA-2014-117016</v>
      </c>
      <c r="B219" s="9">
        <f>IFERROR(__xludf.DUMMYFUNCTION("""COMPUTED_VALUE"""),41702.0)</f>
        <v>41702</v>
      </c>
      <c r="C219" s="8" t="str">
        <f>IFERROR(__xludf.DUMMYFUNCTION("""COMPUTED_VALUE"""),"Consumer")</f>
        <v>Consumer</v>
      </c>
      <c r="D219" s="8" t="str">
        <f>IFERROR(__xludf.DUMMYFUNCTION("""COMPUTED_VALUE"""),"Florida")</f>
        <v>Florida</v>
      </c>
      <c r="E219" s="8" t="str">
        <f>IFERROR(__xludf.DUMMYFUNCTION("""COMPUTED_VALUE"""),"South")</f>
        <v>South</v>
      </c>
      <c r="F219" s="10">
        <f>IFERROR(__xludf.DUMMYFUNCTION("""COMPUTED_VALUE"""),15.552)</f>
        <v>15.552</v>
      </c>
      <c r="G219" s="11">
        <f>IFERROR(__xludf.DUMMYFUNCTION("""COMPUTED_VALUE"""),3.0)</f>
        <v>3</v>
      </c>
      <c r="H219" s="11">
        <f>IFERROR(__xludf.DUMMYFUNCTION("""COMPUTED_VALUE"""),2.3328)</f>
        <v>2.3328</v>
      </c>
    </row>
    <row r="220">
      <c r="A220" s="8" t="str">
        <f>IFERROR(__xludf.DUMMYFUNCTION("""COMPUTED_VALUE"""),"CA-2014-117317")</f>
        <v>CA-2014-117317</v>
      </c>
      <c r="B220" s="9">
        <f>IFERROR(__xludf.DUMMYFUNCTION("""COMPUTED_VALUE"""),41931.0)</f>
        <v>41931</v>
      </c>
      <c r="C220" s="8" t="str">
        <f>IFERROR(__xludf.DUMMYFUNCTION("""COMPUTED_VALUE"""),"Consumer")</f>
        <v>Consumer</v>
      </c>
      <c r="D220" s="8" t="str">
        <f>IFERROR(__xludf.DUMMYFUNCTION("""COMPUTED_VALUE"""),"California")</f>
        <v>California</v>
      </c>
      <c r="E220" s="8" t="str">
        <f>IFERROR(__xludf.DUMMYFUNCTION("""COMPUTED_VALUE"""),"West")</f>
        <v>West</v>
      </c>
      <c r="F220" s="10">
        <f>IFERROR(__xludf.DUMMYFUNCTION("""COMPUTED_VALUE"""),13.44)</f>
        <v>13.44</v>
      </c>
      <c r="G220" s="11">
        <f>IFERROR(__xludf.DUMMYFUNCTION("""COMPUTED_VALUE"""),3.0)</f>
        <v>3</v>
      </c>
      <c r="H220" s="11">
        <f>IFERROR(__xludf.DUMMYFUNCTION("""COMPUTED_VALUE"""),6.5856)</f>
        <v>6.5856</v>
      </c>
    </row>
    <row r="221">
      <c r="A221" s="8" t="str">
        <f>IFERROR(__xludf.DUMMYFUNCTION("""COMPUTED_VALUE"""),"CA-2014-117345")</f>
        <v>CA-2014-117345</v>
      </c>
      <c r="B221" s="9">
        <f>IFERROR(__xludf.DUMMYFUNCTION("""COMPUTED_VALUE"""),41852.0)</f>
        <v>41852</v>
      </c>
      <c r="C221" s="8" t="str">
        <f>IFERROR(__xludf.DUMMYFUNCTION("""COMPUTED_VALUE"""),"Corporate")</f>
        <v>Corporate</v>
      </c>
      <c r="D221" s="8" t="str">
        <f>IFERROR(__xludf.DUMMYFUNCTION("""COMPUTED_VALUE"""),"North Carolina")</f>
        <v>North Carolina</v>
      </c>
      <c r="E221" s="8" t="str">
        <f>IFERROR(__xludf.DUMMYFUNCTION("""COMPUTED_VALUE"""),"South")</f>
        <v>South</v>
      </c>
      <c r="F221" s="10">
        <f>IFERROR(__xludf.DUMMYFUNCTION("""COMPUTED_VALUE"""),17.544)</f>
        <v>17.544</v>
      </c>
      <c r="G221" s="11">
        <f>IFERROR(__xludf.DUMMYFUNCTION("""COMPUTED_VALUE"""),3.0)</f>
        <v>3</v>
      </c>
      <c r="H221" s="11">
        <f>IFERROR(__xludf.DUMMYFUNCTION("""COMPUTED_VALUE"""),5.9211)</f>
        <v>5.9211</v>
      </c>
    </row>
    <row r="222">
      <c r="A222" s="8" t="str">
        <f>IFERROR(__xludf.DUMMYFUNCTION("""COMPUTED_VALUE"""),"CA-2014-117429")</f>
        <v>CA-2014-117429</v>
      </c>
      <c r="B222" s="9">
        <f>IFERROR(__xludf.DUMMYFUNCTION("""COMPUTED_VALUE"""),41919.0)</f>
        <v>41919</v>
      </c>
      <c r="C222" s="8" t="str">
        <f>IFERROR(__xludf.DUMMYFUNCTION("""COMPUTED_VALUE"""),"Home Office")</f>
        <v>Home Office</v>
      </c>
      <c r="D222" s="8" t="str">
        <f>IFERROR(__xludf.DUMMYFUNCTION("""COMPUTED_VALUE"""),"Pennsylvania")</f>
        <v>Pennsylvania</v>
      </c>
      <c r="E222" s="8" t="str">
        <f>IFERROR(__xludf.DUMMYFUNCTION("""COMPUTED_VALUE"""),"East")</f>
        <v>East</v>
      </c>
      <c r="F222" s="10">
        <f>IFERROR(__xludf.DUMMYFUNCTION("""COMPUTED_VALUE"""),129.92)</f>
        <v>129.92</v>
      </c>
      <c r="G222" s="11">
        <f>IFERROR(__xludf.DUMMYFUNCTION("""COMPUTED_VALUE"""),5.0)</f>
        <v>5</v>
      </c>
      <c r="H222" s="11">
        <f>IFERROR(__xludf.DUMMYFUNCTION("""COMPUTED_VALUE"""),21.112)</f>
        <v>21.112</v>
      </c>
    </row>
    <row r="223">
      <c r="A223" s="8" t="str">
        <f>IFERROR(__xludf.DUMMYFUNCTION("""COMPUTED_VALUE"""),"CA-2014-117464")</f>
        <v>CA-2014-117464</v>
      </c>
      <c r="B223" s="9">
        <f>IFERROR(__xludf.DUMMYFUNCTION("""COMPUTED_VALUE"""),41842.0)</f>
        <v>41842</v>
      </c>
      <c r="C223" s="8" t="str">
        <f>IFERROR(__xludf.DUMMYFUNCTION("""COMPUTED_VALUE"""),"Consumer")</f>
        <v>Consumer</v>
      </c>
      <c r="D223" s="8" t="str">
        <f>IFERROR(__xludf.DUMMYFUNCTION("""COMPUTED_VALUE"""),"California")</f>
        <v>California</v>
      </c>
      <c r="E223" s="8" t="str">
        <f>IFERROR(__xludf.DUMMYFUNCTION("""COMPUTED_VALUE"""),"West")</f>
        <v>West</v>
      </c>
      <c r="F223" s="10">
        <f>IFERROR(__xludf.DUMMYFUNCTION("""COMPUTED_VALUE"""),11.52)</f>
        <v>11.52</v>
      </c>
      <c r="G223" s="11">
        <f>IFERROR(__xludf.DUMMYFUNCTION("""COMPUTED_VALUE"""),4.0)</f>
        <v>4</v>
      </c>
      <c r="H223" s="11">
        <f>IFERROR(__xludf.DUMMYFUNCTION("""COMPUTED_VALUE"""),3.2256)</f>
        <v>3.2256</v>
      </c>
    </row>
    <row r="224">
      <c r="A224" s="8" t="str">
        <f>IFERROR(__xludf.DUMMYFUNCTION("""COMPUTED_VALUE"""),"CA-2014-117478")</f>
        <v>CA-2014-117478</v>
      </c>
      <c r="B224" s="9">
        <f>IFERROR(__xludf.DUMMYFUNCTION("""COMPUTED_VALUE"""),41903.0)</f>
        <v>41903</v>
      </c>
      <c r="C224" s="8" t="str">
        <f>IFERROR(__xludf.DUMMYFUNCTION("""COMPUTED_VALUE"""),"Consumer")</f>
        <v>Consumer</v>
      </c>
      <c r="D224" s="8" t="str">
        <f>IFERROR(__xludf.DUMMYFUNCTION("""COMPUTED_VALUE"""),"Pennsylvania")</f>
        <v>Pennsylvania</v>
      </c>
      <c r="E224" s="8" t="str">
        <f>IFERROR(__xludf.DUMMYFUNCTION("""COMPUTED_VALUE"""),"East")</f>
        <v>East</v>
      </c>
      <c r="F224" s="10">
        <f>IFERROR(__xludf.DUMMYFUNCTION("""COMPUTED_VALUE"""),6.57)</f>
        <v>6.57</v>
      </c>
      <c r="G224" s="11">
        <f>IFERROR(__xludf.DUMMYFUNCTION("""COMPUTED_VALUE"""),3.0)</f>
        <v>3</v>
      </c>
      <c r="H224" s="11">
        <f>IFERROR(__xludf.DUMMYFUNCTION("""COMPUTED_VALUE"""),-5.037)</f>
        <v>-5.037</v>
      </c>
    </row>
    <row r="225">
      <c r="A225" s="8" t="str">
        <f>IFERROR(__xludf.DUMMYFUNCTION("""COMPUTED_VALUE"""),"CA-2014-117639")</f>
        <v>CA-2014-117639</v>
      </c>
      <c r="B225" s="9">
        <f>IFERROR(__xludf.DUMMYFUNCTION("""COMPUTED_VALUE"""),41780.0)</f>
        <v>41780</v>
      </c>
      <c r="C225" s="8" t="str">
        <f>IFERROR(__xludf.DUMMYFUNCTION("""COMPUTED_VALUE"""),"Corporate")</f>
        <v>Corporate</v>
      </c>
      <c r="D225" s="8" t="str">
        <f>IFERROR(__xludf.DUMMYFUNCTION("""COMPUTED_VALUE"""),"Virginia")</f>
        <v>Virginia</v>
      </c>
      <c r="E225" s="8" t="str">
        <f>IFERROR(__xludf.DUMMYFUNCTION("""COMPUTED_VALUE"""),"South")</f>
        <v>South</v>
      </c>
      <c r="F225" s="10">
        <f>IFERROR(__xludf.DUMMYFUNCTION("""COMPUTED_VALUE"""),2715.93)</f>
        <v>2715.93</v>
      </c>
      <c r="G225" s="11">
        <f>IFERROR(__xludf.DUMMYFUNCTION("""COMPUTED_VALUE"""),7.0)</f>
        <v>7</v>
      </c>
      <c r="H225" s="11">
        <f>IFERROR(__xludf.DUMMYFUNCTION("""COMPUTED_VALUE"""),1276.4871)</f>
        <v>1276.4871</v>
      </c>
    </row>
    <row r="226">
      <c r="A226" s="8" t="str">
        <f>IFERROR(__xludf.DUMMYFUNCTION("""COMPUTED_VALUE"""),"CA-2014-117709")</f>
        <v>CA-2014-117709</v>
      </c>
      <c r="B226" s="9">
        <f>IFERROR(__xludf.DUMMYFUNCTION("""COMPUTED_VALUE"""),41763.0)</f>
        <v>41763</v>
      </c>
      <c r="C226" s="8" t="str">
        <f>IFERROR(__xludf.DUMMYFUNCTION("""COMPUTED_VALUE"""),"Consumer")</f>
        <v>Consumer</v>
      </c>
      <c r="D226" s="8" t="str">
        <f>IFERROR(__xludf.DUMMYFUNCTION("""COMPUTED_VALUE"""),"Michigan")</f>
        <v>Michigan</v>
      </c>
      <c r="E226" s="8" t="str">
        <f>IFERROR(__xludf.DUMMYFUNCTION("""COMPUTED_VALUE"""),"Central")</f>
        <v>Central</v>
      </c>
      <c r="F226" s="10">
        <f>IFERROR(__xludf.DUMMYFUNCTION("""COMPUTED_VALUE"""),46.8)</f>
        <v>46.8</v>
      </c>
      <c r="G226" s="11">
        <f>IFERROR(__xludf.DUMMYFUNCTION("""COMPUTED_VALUE"""),4.0)</f>
        <v>4</v>
      </c>
      <c r="H226" s="11">
        <f>IFERROR(__xludf.DUMMYFUNCTION("""COMPUTED_VALUE"""),21.06)</f>
        <v>21.06</v>
      </c>
    </row>
    <row r="227">
      <c r="A227" s="8" t="str">
        <f>IFERROR(__xludf.DUMMYFUNCTION("""COMPUTED_VALUE"""),"CA-2014-117765")</f>
        <v>CA-2014-117765</v>
      </c>
      <c r="B227" s="9">
        <f>IFERROR(__xludf.DUMMYFUNCTION("""COMPUTED_VALUE"""),41889.0)</f>
        <v>41889</v>
      </c>
      <c r="C227" s="8" t="str">
        <f>IFERROR(__xludf.DUMMYFUNCTION("""COMPUTED_VALUE"""),"Home Office")</f>
        <v>Home Office</v>
      </c>
      <c r="D227" s="8" t="str">
        <f>IFERROR(__xludf.DUMMYFUNCTION("""COMPUTED_VALUE"""),"Oklahoma")</f>
        <v>Oklahoma</v>
      </c>
      <c r="E227" s="8" t="str">
        <f>IFERROR(__xludf.DUMMYFUNCTION("""COMPUTED_VALUE"""),"Central")</f>
        <v>Central</v>
      </c>
      <c r="F227" s="10">
        <f>IFERROR(__xludf.DUMMYFUNCTION("""COMPUTED_VALUE"""),429.9)</f>
        <v>429.9</v>
      </c>
      <c r="G227" s="11">
        <f>IFERROR(__xludf.DUMMYFUNCTION("""COMPUTED_VALUE"""),5.0)</f>
        <v>5</v>
      </c>
      <c r="H227" s="11">
        <f>IFERROR(__xludf.DUMMYFUNCTION("""COMPUTED_VALUE"""),111.774)</f>
        <v>111.774</v>
      </c>
    </row>
    <row r="228">
      <c r="A228" s="8" t="str">
        <f>IFERROR(__xludf.DUMMYFUNCTION("""COMPUTED_VALUE"""),"CA-2014-118192")</f>
        <v>CA-2014-118192</v>
      </c>
      <c r="B228" s="9">
        <f>IFERROR(__xludf.DUMMYFUNCTION("""COMPUTED_VALUE"""),41652.0)</f>
        <v>41652</v>
      </c>
      <c r="C228" s="8" t="str">
        <f>IFERROR(__xludf.DUMMYFUNCTION("""COMPUTED_VALUE"""),"Consumer")</f>
        <v>Consumer</v>
      </c>
      <c r="D228" s="8" t="str">
        <f>IFERROR(__xludf.DUMMYFUNCTION("""COMPUTED_VALUE"""),"Ohio")</f>
        <v>Ohio</v>
      </c>
      <c r="E228" s="8" t="str">
        <f>IFERROR(__xludf.DUMMYFUNCTION("""COMPUTED_VALUE"""),"East")</f>
        <v>East</v>
      </c>
      <c r="F228" s="10">
        <f>IFERROR(__xludf.DUMMYFUNCTION("""COMPUTED_VALUE"""),37.408)</f>
        <v>37.408</v>
      </c>
      <c r="G228" s="11">
        <f>IFERROR(__xludf.DUMMYFUNCTION("""COMPUTED_VALUE"""),7.0)</f>
        <v>7</v>
      </c>
      <c r="H228" s="11">
        <f>IFERROR(__xludf.DUMMYFUNCTION("""COMPUTED_VALUE"""),13.0928)</f>
        <v>13.0928</v>
      </c>
    </row>
    <row r="229">
      <c r="A229" s="8" t="str">
        <f>IFERROR(__xludf.DUMMYFUNCTION("""COMPUTED_VALUE"""),"CA-2014-118276")</f>
        <v>CA-2014-118276</v>
      </c>
      <c r="B229" s="9">
        <f>IFERROR(__xludf.DUMMYFUNCTION("""COMPUTED_VALUE"""),42002.0)</f>
        <v>42002</v>
      </c>
      <c r="C229" s="8" t="str">
        <f>IFERROR(__xludf.DUMMYFUNCTION("""COMPUTED_VALUE"""),"Home Office")</f>
        <v>Home Office</v>
      </c>
      <c r="D229" s="8" t="str">
        <f>IFERROR(__xludf.DUMMYFUNCTION("""COMPUTED_VALUE"""),"Illinois")</f>
        <v>Illinois</v>
      </c>
      <c r="E229" s="8" t="str">
        <f>IFERROR(__xludf.DUMMYFUNCTION("""COMPUTED_VALUE"""),"Central")</f>
        <v>Central</v>
      </c>
      <c r="F229" s="10">
        <f>IFERROR(__xludf.DUMMYFUNCTION("""COMPUTED_VALUE"""),8.736)</f>
        <v>8.736</v>
      </c>
      <c r="G229" s="11">
        <f>IFERROR(__xludf.DUMMYFUNCTION("""COMPUTED_VALUE"""),3.0)</f>
        <v>3</v>
      </c>
      <c r="H229" s="11">
        <f>IFERROR(__xludf.DUMMYFUNCTION("""COMPUTED_VALUE"""),-4.8048)</f>
        <v>-4.8048</v>
      </c>
    </row>
    <row r="230">
      <c r="A230" s="8" t="str">
        <f>IFERROR(__xludf.DUMMYFUNCTION("""COMPUTED_VALUE"""),"CA-2014-118304")</f>
        <v>CA-2014-118304</v>
      </c>
      <c r="B230" s="9">
        <f>IFERROR(__xludf.DUMMYFUNCTION("""COMPUTED_VALUE"""),41758.0)</f>
        <v>41758</v>
      </c>
      <c r="C230" s="8" t="str">
        <f>IFERROR(__xludf.DUMMYFUNCTION("""COMPUTED_VALUE"""),"Consumer")</f>
        <v>Consumer</v>
      </c>
      <c r="D230" s="8" t="str">
        <f>IFERROR(__xludf.DUMMYFUNCTION("""COMPUTED_VALUE"""),"Delaware")</f>
        <v>Delaware</v>
      </c>
      <c r="E230" s="8" t="str">
        <f>IFERROR(__xludf.DUMMYFUNCTION("""COMPUTED_VALUE"""),"East")</f>
        <v>East</v>
      </c>
      <c r="F230" s="10">
        <f>IFERROR(__xludf.DUMMYFUNCTION("""COMPUTED_VALUE"""),19.98)</f>
        <v>19.98</v>
      </c>
      <c r="G230" s="11">
        <f>IFERROR(__xludf.DUMMYFUNCTION("""COMPUTED_VALUE"""),2.0)</f>
        <v>2</v>
      </c>
      <c r="H230" s="11">
        <f>IFERROR(__xludf.DUMMYFUNCTION("""COMPUTED_VALUE"""),5.1948)</f>
        <v>5.1948</v>
      </c>
    </row>
    <row r="231">
      <c r="A231" s="8" t="str">
        <f>IFERROR(__xludf.DUMMYFUNCTION("""COMPUTED_VALUE"""),"CA-2014-118339")</f>
        <v>CA-2014-118339</v>
      </c>
      <c r="B231" s="9">
        <f>IFERROR(__xludf.DUMMYFUNCTION("""COMPUTED_VALUE"""),41715.0)</f>
        <v>41715</v>
      </c>
      <c r="C231" s="8" t="str">
        <f>IFERROR(__xludf.DUMMYFUNCTION("""COMPUTED_VALUE"""),"Consumer")</f>
        <v>Consumer</v>
      </c>
      <c r="D231" s="8" t="str">
        <f>IFERROR(__xludf.DUMMYFUNCTION("""COMPUTED_VALUE"""),"Minnesota")</f>
        <v>Minnesota</v>
      </c>
      <c r="E231" s="8" t="str">
        <f>IFERROR(__xludf.DUMMYFUNCTION("""COMPUTED_VALUE"""),"Central")</f>
        <v>Central</v>
      </c>
      <c r="F231" s="10">
        <f>IFERROR(__xludf.DUMMYFUNCTION("""COMPUTED_VALUE"""),93.78)</f>
        <v>93.78</v>
      </c>
      <c r="G231" s="11">
        <f>IFERROR(__xludf.DUMMYFUNCTION("""COMPUTED_VALUE"""),2.0)</f>
        <v>2</v>
      </c>
      <c r="H231" s="11">
        <f>IFERROR(__xludf.DUMMYFUNCTION("""COMPUTED_VALUE"""),36.5742)</f>
        <v>36.5742</v>
      </c>
    </row>
    <row r="232">
      <c r="A232" s="8" t="str">
        <f>IFERROR(__xludf.DUMMYFUNCTION("""COMPUTED_VALUE"""),"CA-2014-118962")</f>
        <v>CA-2014-118962</v>
      </c>
      <c r="B232" s="9">
        <f>IFERROR(__xludf.DUMMYFUNCTION("""COMPUTED_VALUE"""),41856.0)</f>
        <v>41856</v>
      </c>
      <c r="C232" s="8" t="str">
        <f>IFERROR(__xludf.DUMMYFUNCTION("""COMPUTED_VALUE"""),"Consumer")</f>
        <v>Consumer</v>
      </c>
      <c r="D232" s="8" t="str">
        <f>IFERROR(__xludf.DUMMYFUNCTION("""COMPUTED_VALUE"""),"California")</f>
        <v>California</v>
      </c>
      <c r="E232" s="8" t="str">
        <f>IFERROR(__xludf.DUMMYFUNCTION("""COMPUTED_VALUE"""),"West")</f>
        <v>West</v>
      </c>
      <c r="F232" s="10">
        <f>IFERROR(__xludf.DUMMYFUNCTION("""COMPUTED_VALUE"""),20.94)</f>
        <v>20.94</v>
      </c>
      <c r="G232" s="11">
        <f>IFERROR(__xludf.DUMMYFUNCTION("""COMPUTED_VALUE"""),3.0)</f>
        <v>3</v>
      </c>
      <c r="H232" s="11">
        <f>IFERROR(__xludf.DUMMYFUNCTION("""COMPUTED_VALUE"""),9.8418)</f>
        <v>9.8418</v>
      </c>
    </row>
    <row r="233">
      <c r="A233" s="8" t="str">
        <f>IFERROR(__xludf.DUMMYFUNCTION("""COMPUTED_VALUE"""),"CA-2014-118976")</f>
        <v>CA-2014-118976</v>
      </c>
      <c r="B233" s="9">
        <f>IFERROR(__xludf.DUMMYFUNCTION("""COMPUTED_VALUE"""),41757.0)</f>
        <v>41757</v>
      </c>
      <c r="C233" s="8" t="str">
        <f>IFERROR(__xludf.DUMMYFUNCTION("""COMPUTED_VALUE"""),"Corporate")</f>
        <v>Corporate</v>
      </c>
      <c r="D233" s="8" t="str">
        <f>IFERROR(__xludf.DUMMYFUNCTION("""COMPUTED_VALUE"""),"Maryland")</f>
        <v>Maryland</v>
      </c>
      <c r="E233" s="8" t="str">
        <f>IFERROR(__xludf.DUMMYFUNCTION("""COMPUTED_VALUE"""),"East")</f>
        <v>East</v>
      </c>
      <c r="F233" s="10">
        <f>IFERROR(__xludf.DUMMYFUNCTION("""COMPUTED_VALUE"""),20.86)</f>
        <v>20.86</v>
      </c>
      <c r="G233" s="11">
        <f>IFERROR(__xludf.DUMMYFUNCTION("""COMPUTED_VALUE"""),2.0)</f>
        <v>2</v>
      </c>
      <c r="H233" s="11">
        <f>IFERROR(__xludf.DUMMYFUNCTION("""COMPUTED_VALUE"""),9.387)</f>
        <v>9.387</v>
      </c>
    </row>
    <row r="234">
      <c r="A234" s="8" t="str">
        <f>IFERROR(__xludf.DUMMYFUNCTION("""COMPUTED_VALUE"""),"CA-2014-119032")</f>
        <v>CA-2014-119032</v>
      </c>
      <c r="B234" s="9">
        <f>IFERROR(__xludf.DUMMYFUNCTION("""COMPUTED_VALUE"""),41970.0)</f>
        <v>41970</v>
      </c>
      <c r="C234" s="8" t="str">
        <f>IFERROR(__xludf.DUMMYFUNCTION("""COMPUTED_VALUE"""),"Consumer")</f>
        <v>Consumer</v>
      </c>
      <c r="D234" s="8" t="str">
        <f>IFERROR(__xludf.DUMMYFUNCTION("""COMPUTED_VALUE"""),"New York")</f>
        <v>New York</v>
      </c>
      <c r="E234" s="8" t="str">
        <f>IFERROR(__xludf.DUMMYFUNCTION("""COMPUTED_VALUE"""),"East")</f>
        <v>East</v>
      </c>
      <c r="F234" s="10">
        <f>IFERROR(__xludf.DUMMYFUNCTION("""COMPUTED_VALUE"""),3.76)</f>
        <v>3.76</v>
      </c>
      <c r="G234" s="11">
        <f>IFERROR(__xludf.DUMMYFUNCTION("""COMPUTED_VALUE"""),2.0)</f>
        <v>2</v>
      </c>
      <c r="H234" s="11">
        <f>IFERROR(__xludf.DUMMYFUNCTION("""COMPUTED_VALUE"""),1.316)</f>
        <v>1.316</v>
      </c>
    </row>
    <row r="235">
      <c r="A235" s="8" t="str">
        <f>IFERROR(__xludf.DUMMYFUNCTION("""COMPUTED_VALUE"""),"CA-2014-119144")</f>
        <v>CA-2014-119144</v>
      </c>
      <c r="B235" s="9">
        <f>IFERROR(__xludf.DUMMYFUNCTION("""COMPUTED_VALUE"""),41959.0)</f>
        <v>41959</v>
      </c>
      <c r="C235" s="8" t="str">
        <f>IFERROR(__xludf.DUMMYFUNCTION("""COMPUTED_VALUE"""),"Corporate")</f>
        <v>Corporate</v>
      </c>
      <c r="D235" s="8" t="str">
        <f>IFERROR(__xludf.DUMMYFUNCTION("""COMPUTED_VALUE"""),"California")</f>
        <v>California</v>
      </c>
      <c r="E235" s="8" t="str">
        <f>IFERROR(__xludf.DUMMYFUNCTION("""COMPUTED_VALUE"""),"West")</f>
        <v>West</v>
      </c>
      <c r="F235" s="10">
        <f>IFERROR(__xludf.DUMMYFUNCTION("""COMPUTED_VALUE"""),79.968)</f>
        <v>79.968</v>
      </c>
      <c r="G235" s="11">
        <f>IFERROR(__xludf.DUMMYFUNCTION("""COMPUTED_VALUE"""),4.0)</f>
        <v>4</v>
      </c>
      <c r="H235" s="11">
        <f>IFERROR(__xludf.DUMMYFUNCTION("""COMPUTED_VALUE"""),-17.9928)</f>
        <v>-17.9928</v>
      </c>
    </row>
    <row r="236">
      <c r="A236" s="8" t="str">
        <f>IFERROR(__xludf.DUMMYFUNCTION("""COMPUTED_VALUE"""),"CA-2014-119151")</f>
        <v>CA-2014-119151</v>
      </c>
      <c r="B236" s="9">
        <f>IFERROR(__xludf.DUMMYFUNCTION("""COMPUTED_VALUE"""),41968.0)</f>
        <v>41968</v>
      </c>
      <c r="C236" s="8" t="str">
        <f>IFERROR(__xludf.DUMMYFUNCTION("""COMPUTED_VALUE"""),"Home Office")</f>
        <v>Home Office</v>
      </c>
      <c r="D236" s="8" t="str">
        <f>IFERROR(__xludf.DUMMYFUNCTION("""COMPUTED_VALUE"""),"New York")</f>
        <v>New York</v>
      </c>
      <c r="E236" s="8" t="str">
        <f>IFERROR(__xludf.DUMMYFUNCTION("""COMPUTED_VALUE"""),"East")</f>
        <v>East</v>
      </c>
      <c r="F236" s="10">
        <f>IFERROR(__xludf.DUMMYFUNCTION("""COMPUTED_VALUE"""),1117.92)</f>
        <v>1117.92</v>
      </c>
      <c r="G236" s="11">
        <f>IFERROR(__xludf.DUMMYFUNCTION("""COMPUTED_VALUE"""),4.0)</f>
        <v>4</v>
      </c>
      <c r="H236" s="11">
        <f>IFERROR(__xludf.DUMMYFUNCTION("""COMPUTED_VALUE"""),55.896)</f>
        <v>55.896</v>
      </c>
    </row>
    <row r="237">
      <c r="A237" s="8" t="str">
        <f>IFERROR(__xludf.DUMMYFUNCTION("""COMPUTED_VALUE"""),"CA-2014-119172")</f>
        <v>CA-2014-119172</v>
      </c>
      <c r="B237" s="9">
        <f>IFERROR(__xludf.DUMMYFUNCTION("""COMPUTED_VALUE"""),41770.0)</f>
        <v>41770</v>
      </c>
      <c r="C237" s="8" t="str">
        <f>IFERROR(__xludf.DUMMYFUNCTION("""COMPUTED_VALUE"""),"Home Office")</f>
        <v>Home Office</v>
      </c>
      <c r="D237" s="8" t="str">
        <f>IFERROR(__xludf.DUMMYFUNCTION("""COMPUTED_VALUE"""),"Illinois")</f>
        <v>Illinois</v>
      </c>
      <c r="E237" s="8" t="str">
        <f>IFERROR(__xludf.DUMMYFUNCTION("""COMPUTED_VALUE"""),"Central")</f>
        <v>Central</v>
      </c>
      <c r="F237" s="10">
        <f>IFERROR(__xludf.DUMMYFUNCTION("""COMPUTED_VALUE"""),17.472)</f>
        <v>17.472</v>
      </c>
      <c r="G237" s="11">
        <f>IFERROR(__xludf.DUMMYFUNCTION("""COMPUTED_VALUE"""),3.0)</f>
        <v>3</v>
      </c>
      <c r="H237" s="11">
        <f>IFERROR(__xludf.DUMMYFUNCTION("""COMPUTED_VALUE"""),5.6784)</f>
        <v>5.6784</v>
      </c>
    </row>
    <row r="238">
      <c r="A238" s="8" t="str">
        <f>IFERROR(__xludf.DUMMYFUNCTION("""COMPUTED_VALUE"""),"CA-2014-119375")</f>
        <v>CA-2014-119375</v>
      </c>
      <c r="B238" s="9">
        <f>IFERROR(__xludf.DUMMYFUNCTION("""COMPUTED_VALUE"""),41960.0)</f>
        <v>41960</v>
      </c>
      <c r="C238" s="8" t="str">
        <f>IFERROR(__xludf.DUMMYFUNCTION("""COMPUTED_VALUE"""),"Corporate")</f>
        <v>Corporate</v>
      </c>
      <c r="D238" s="8" t="str">
        <f>IFERROR(__xludf.DUMMYFUNCTION("""COMPUTED_VALUE"""),"Delaware")</f>
        <v>Delaware</v>
      </c>
      <c r="E238" s="8" t="str">
        <f>IFERROR(__xludf.DUMMYFUNCTION("""COMPUTED_VALUE"""),"East")</f>
        <v>East</v>
      </c>
      <c r="F238" s="10">
        <f>IFERROR(__xludf.DUMMYFUNCTION("""COMPUTED_VALUE"""),2934.33)</f>
        <v>2934.33</v>
      </c>
      <c r="G238" s="11">
        <f>IFERROR(__xludf.DUMMYFUNCTION("""COMPUTED_VALUE"""),7.0)</f>
        <v>7</v>
      </c>
      <c r="H238" s="11">
        <f>IFERROR(__xludf.DUMMYFUNCTION("""COMPUTED_VALUE"""),792.2691)</f>
        <v>792.2691</v>
      </c>
    </row>
    <row r="239">
      <c r="A239" s="8" t="str">
        <f>IFERROR(__xludf.DUMMYFUNCTION("""COMPUTED_VALUE"""),"CA-2014-119466")</f>
        <v>CA-2014-119466</v>
      </c>
      <c r="B239" s="9">
        <f>IFERROR(__xludf.DUMMYFUNCTION("""COMPUTED_VALUE"""),41988.0)</f>
        <v>41988</v>
      </c>
      <c r="C239" s="8" t="str">
        <f>IFERROR(__xludf.DUMMYFUNCTION("""COMPUTED_VALUE"""),"Corporate")</f>
        <v>Corporate</v>
      </c>
      <c r="D239" s="8" t="str">
        <f>IFERROR(__xludf.DUMMYFUNCTION("""COMPUTED_VALUE"""),"Illinois")</f>
        <v>Illinois</v>
      </c>
      <c r="E239" s="8" t="str">
        <f>IFERROR(__xludf.DUMMYFUNCTION("""COMPUTED_VALUE"""),"Central")</f>
        <v>Central</v>
      </c>
      <c r="F239" s="10">
        <f>IFERROR(__xludf.DUMMYFUNCTION("""COMPUTED_VALUE"""),8.544)</f>
        <v>8.544</v>
      </c>
      <c r="G239" s="11">
        <f>IFERROR(__xludf.DUMMYFUNCTION("""COMPUTED_VALUE"""),2.0)</f>
        <v>2</v>
      </c>
      <c r="H239" s="11">
        <f>IFERROR(__xludf.DUMMYFUNCTION("""COMPUTED_VALUE"""),-7.476)</f>
        <v>-7.476</v>
      </c>
    </row>
    <row r="240">
      <c r="A240" s="8" t="str">
        <f>IFERROR(__xludf.DUMMYFUNCTION("""COMPUTED_VALUE"""),"CA-2014-119529")</f>
        <v>CA-2014-119529</v>
      </c>
      <c r="B240" s="9">
        <f>IFERROR(__xludf.DUMMYFUNCTION("""COMPUTED_VALUE"""),41946.0)</f>
        <v>41946</v>
      </c>
      <c r="C240" s="8" t="str">
        <f>IFERROR(__xludf.DUMMYFUNCTION("""COMPUTED_VALUE"""),"Corporate")</f>
        <v>Corporate</v>
      </c>
      <c r="D240" s="8" t="str">
        <f>IFERROR(__xludf.DUMMYFUNCTION("""COMPUTED_VALUE"""),"New Jersey")</f>
        <v>New Jersey</v>
      </c>
      <c r="E240" s="8" t="str">
        <f>IFERROR(__xludf.DUMMYFUNCTION("""COMPUTED_VALUE"""),"East")</f>
        <v>East</v>
      </c>
      <c r="F240" s="10">
        <f>IFERROR(__xludf.DUMMYFUNCTION("""COMPUTED_VALUE"""),5.76)</f>
        <v>5.76</v>
      </c>
      <c r="G240" s="11">
        <f>IFERROR(__xludf.DUMMYFUNCTION("""COMPUTED_VALUE"""),2.0)</f>
        <v>2</v>
      </c>
      <c r="H240" s="11">
        <f>IFERROR(__xludf.DUMMYFUNCTION("""COMPUTED_VALUE"""),2.8224)</f>
        <v>2.8224</v>
      </c>
    </row>
    <row r="241">
      <c r="A241" s="8" t="str">
        <f>IFERROR(__xludf.DUMMYFUNCTION("""COMPUTED_VALUE"""),"CA-2014-119977")</f>
        <v>CA-2014-119977</v>
      </c>
      <c r="B241" s="9">
        <f>IFERROR(__xludf.DUMMYFUNCTION("""COMPUTED_VALUE"""),41920.0)</f>
        <v>41920</v>
      </c>
      <c r="C241" s="8" t="str">
        <f>IFERROR(__xludf.DUMMYFUNCTION("""COMPUTED_VALUE"""),"Consumer")</f>
        <v>Consumer</v>
      </c>
      <c r="D241" s="8" t="str">
        <f>IFERROR(__xludf.DUMMYFUNCTION("""COMPUTED_VALUE"""),"New York")</f>
        <v>New York</v>
      </c>
      <c r="E241" s="8" t="str">
        <f>IFERROR(__xludf.DUMMYFUNCTION("""COMPUTED_VALUE"""),"East")</f>
        <v>East</v>
      </c>
      <c r="F241" s="10">
        <f>IFERROR(__xludf.DUMMYFUNCTION("""COMPUTED_VALUE"""),123.92)</f>
        <v>123.92</v>
      </c>
      <c r="G241" s="11">
        <f>IFERROR(__xludf.DUMMYFUNCTION("""COMPUTED_VALUE"""),4.0)</f>
        <v>4</v>
      </c>
      <c r="H241" s="11">
        <f>IFERROR(__xludf.DUMMYFUNCTION("""COMPUTED_VALUE"""),55.764)</f>
        <v>55.764</v>
      </c>
    </row>
    <row r="242">
      <c r="A242" s="8" t="str">
        <f>IFERROR(__xludf.DUMMYFUNCTION("""COMPUTED_VALUE"""),"CA-2014-120096")</f>
        <v>CA-2014-120096</v>
      </c>
      <c r="B242" s="9">
        <f>IFERROR(__xludf.DUMMYFUNCTION("""COMPUTED_VALUE"""),41824.0)</f>
        <v>41824</v>
      </c>
      <c r="C242" s="8" t="str">
        <f>IFERROR(__xludf.DUMMYFUNCTION("""COMPUTED_VALUE"""),"Corporate")</f>
        <v>Corporate</v>
      </c>
      <c r="D242" s="8" t="str">
        <f>IFERROR(__xludf.DUMMYFUNCTION("""COMPUTED_VALUE"""),"Colorado")</f>
        <v>Colorado</v>
      </c>
      <c r="E242" s="8" t="str">
        <f>IFERROR(__xludf.DUMMYFUNCTION("""COMPUTED_VALUE"""),"West")</f>
        <v>West</v>
      </c>
      <c r="F242" s="10">
        <f>IFERROR(__xludf.DUMMYFUNCTION("""COMPUTED_VALUE"""),177.536)</f>
        <v>177.536</v>
      </c>
      <c r="G242" s="11">
        <f>IFERROR(__xludf.DUMMYFUNCTION("""COMPUTED_VALUE"""),4.0)</f>
        <v>4</v>
      </c>
      <c r="H242" s="11">
        <f>IFERROR(__xludf.DUMMYFUNCTION("""COMPUTED_VALUE"""),62.1376)</f>
        <v>62.1376</v>
      </c>
    </row>
    <row r="243">
      <c r="A243" s="8" t="str">
        <f>IFERROR(__xludf.DUMMYFUNCTION("""COMPUTED_VALUE"""),"CA-2014-120243")</f>
        <v>CA-2014-120243</v>
      </c>
      <c r="B243" s="9">
        <f>IFERROR(__xludf.DUMMYFUNCTION("""COMPUTED_VALUE"""),42000.0)</f>
        <v>42000</v>
      </c>
      <c r="C243" s="8" t="str">
        <f>IFERROR(__xludf.DUMMYFUNCTION("""COMPUTED_VALUE"""),"Home Office")</f>
        <v>Home Office</v>
      </c>
      <c r="D243" s="8" t="str">
        <f>IFERROR(__xludf.DUMMYFUNCTION("""COMPUTED_VALUE"""),"California")</f>
        <v>California</v>
      </c>
      <c r="E243" s="8" t="str">
        <f>IFERROR(__xludf.DUMMYFUNCTION("""COMPUTED_VALUE"""),"West")</f>
        <v>West</v>
      </c>
      <c r="F243" s="10">
        <f>IFERROR(__xludf.DUMMYFUNCTION("""COMPUTED_VALUE"""),11.56)</f>
        <v>11.56</v>
      </c>
      <c r="G243" s="11">
        <f>IFERROR(__xludf.DUMMYFUNCTION("""COMPUTED_VALUE"""),4.0)</f>
        <v>4</v>
      </c>
      <c r="H243" s="11">
        <f>IFERROR(__xludf.DUMMYFUNCTION("""COMPUTED_VALUE"""),5.4332)</f>
        <v>5.4332</v>
      </c>
    </row>
    <row r="244">
      <c r="A244" s="8" t="str">
        <f>IFERROR(__xludf.DUMMYFUNCTION("""COMPUTED_VALUE"""),"CA-2014-120278")</f>
        <v>CA-2014-120278</v>
      </c>
      <c r="B244" s="9">
        <f>IFERROR(__xludf.DUMMYFUNCTION("""COMPUTED_VALUE"""),41950.0)</f>
        <v>41950</v>
      </c>
      <c r="C244" s="8" t="str">
        <f>IFERROR(__xludf.DUMMYFUNCTION("""COMPUTED_VALUE"""),"Consumer")</f>
        <v>Consumer</v>
      </c>
      <c r="D244" s="8" t="str">
        <f>IFERROR(__xludf.DUMMYFUNCTION("""COMPUTED_VALUE"""),"Wisconsin")</f>
        <v>Wisconsin</v>
      </c>
      <c r="E244" s="8" t="str">
        <f>IFERROR(__xludf.DUMMYFUNCTION("""COMPUTED_VALUE"""),"Central")</f>
        <v>Central</v>
      </c>
      <c r="F244" s="10">
        <f>IFERROR(__xludf.DUMMYFUNCTION("""COMPUTED_VALUE"""),245.88)</f>
        <v>245.88</v>
      </c>
      <c r="G244" s="11">
        <f>IFERROR(__xludf.DUMMYFUNCTION("""COMPUTED_VALUE"""),6.0)</f>
        <v>6</v>
      </c>
      <c r="H244" s="11">
        <f>IFERROR(__xludf.DUMMYFUNCTION("""COMPUTED_VALUE"""),68.8464)</f>
        <v>68.8464</v>
      </c>
    </row>
    <row r="245">
      <c r="A245" s="8" t="str">
        <f>IFERROR(__xludf.DUMMYFUNCTION("""COMPUTED_VALUE"""),"CA-2014-120411")</f>
        <v>CA-2014-120411</v>
      </c>
      <c r="B245" s="9">
        <f>IFERROR(__xludf.DUMMYFUNCTION("""COMPUTED_VALUE"""),41902.0)</f>
        <v>41902</v>
      </c>
      <c r="C245" s="8" t="str">
        <f>IFERROR(__xludf.DUMMYFUNCTION("""COMPUTED_VALUE"""),"Consumer")</f>
        <v>Consumer</v>
      </c>
      <c r="D245" s="8" t="str">
        <f>IFERROR(__xludf.DUMMYFUNCTION("""COMPUTED_VALUE"""),"Illinois")</f>
        <v>Illinois</v>
      </c>
      <c r="E245" s="8" t="str">
        <f>IFERROR(__xludf.DUMMYFUNCTION("""COMPUTED_VALUE"""),"Central")</f>
        <v>Central</v>
      </c>
      <c r="F245" s="10">
        <f>IFERROR(__xludf.DUMMYFUNCTION("""COMPUTED_VALUE"""),493.43)</f>
        <v>493.43</v>
      </c>
      <c r="G245" s="11">
        <f>IFERROR(__xludf.DUMMYFUNCTION("""COMPUTED_VALUE"""),5.0)</f>
        <v>5</v>
      </c>
      <c r="H245" s="11">
        <f>IFERROR(__xludf.DUMMYFUNCTION("""COMPUTED_VALUE"""),-70.49)</f>
        <v>-70.49</v>
      </c>
    </row>
    <row r="246">
      <c r="A246" s="8" t="str">
        <f>IFERROR(__xludf.DUMMYFUNCTION("""COMPUTED_VALUE"""),"CA-2014-120432")</f>
        <v>CA-2014-120432</v>
      </c>
      <c r="B246" s="9">
        <f>IFERROR(__xludf.DUMMYFUNCTION("""COMPUTED_VALUE"""),41875.0)</f>
        <v>41875</v>
      </c>
      <c r="C246" s="8" t="str">
        <f>IFERROR(__xludf.DUMMYFUNCTION("""COMPUTED_VALUE"""),"Corporate")</f>
        <v>Corporate</v>
      </c>
      <c r="D246" s="8" t="str">
        <f>IFERROR(__xludf.DUMMYFUNCTION("""COMPUTED_VALUE"""),"Kentucky")</f>
        <v>Kentucky</v>
      </c>
      <c r="E246" s="8" t="str">
        <f>IFERROR(__xludf.DUMMYFUNCTION("""COMPUTED_VALUE"""),"South")</f>
        <v>South</v>
      </c>
      <c r="F246" s="10">
        <f>IFERROR(__xludf.DUMMYFUNCTION("""COMPUTED_VALUE"""),25.5)</f>
        <v>25.5</v>
      </c>
      <c r="G246" s="11">
        <f>IFERROR(__xludf.DUMMYFUNCTION("""COMPUTED_VALUE"""),3.0)</f>
        <v>3</v>
      </c>
      <c r="H246" s="11">
        <f>IFERROR(__xludf.DUMMYFUNCTION("""COMPUTED_VALUE"""),6.63)</f>
        <v>6.63</v>
      </c>
    </row>
    <row r="247">
      <c r="A247" s="8" t="str">
        <f>IFERROR(__xludf.DUMMYFUNCTION("""COMPUTED_VALUE"""),"CA-2014-120474")</f>
        <v>CA-2014-120474</v>
      </c>
      <c r="B247" s="9">
        <f>IFERROR(__xludf.DUMMYFUNCTION("""COMPUTED_VALUE"""),41974.0)</f>
        <v>41974</v>
      </c>
      <c r="C247" s="8" t="str">
        <f>IFERROR(__xludf.DUMMYFUNCTION("""COMPUTED_VALUE"""),"Consumer")</f>
        <v>Consumer</v>
      </c>
      <c r="D247" s="8" t="str">
        <f>IFERROR(__xludf.DUMMYFUNCTION("""COMPUTED_VALUE"""),"Wisconsin")</f>
        <v>Wisconsin</v>
      </c>
      <c r="E247" s="8" t="str">
        <f>IFERROR(__xludf.DUMMYFUNCTION("""COMPUTED_VALUE"""),"Central")</f>
        <v>Central</v>
      </c>
      <c r="F247" s="10">
        <f>IFERROR(__xludf.DUMMYFUNCTION("""COMPUTED_VALUE"""),2807.84)</f>
        <v>2807.84</v>
      </c>
      <c r="G247" s="11">
        <f>IFERROR(__xludf.DUMMYFUNCTION("""COMPUTED_VALUE"""),8.0)</f>
        <v>8</v>
      </c>
      <c r="H247" s="11">
        <f>IFERROR(__xludf.DUMMYFUNCTION("""COMPUTED_VALUE"""),673.8816)</f>
        <v>673.8816</v>
      </c>
    </row>
    <row r="248">
      <c r="A248" s="8" t="str">
        <f>IFERROR(__xludf.DUMMYFUNCTION("""COMPUTED_VALUE"""),"CA-2014-120544")</f>
        <v>CA-2014-120544</v>
      </c>
      <c r="B248" s="9">
        <f>IFERROR(__xludf.DUMMYFUNCTION("""COMPUTED_VALUE"""),41966.0)</f>
        <v>41966</v>
      </c>
      <c r="C248" s="8" t="str">
        <f>IFERROR(__xludf.DUMMYFUNCTION("""COMPUTED_VALUE"""),"Corporate")</f>
        <v>Corporate</v>
      </c>
      <c r="D248" s="8" t="str">
        <f>IFERROR(__xludf.DUMMYFUNCTION("""COMPUTED_VALUE"""),"Texas")</f>
        <v>Texas</v>
      </c>
      <c r="E248" s="8" t="str">
        <f>IFERROR(__xludf.DUMMYFUNCTION("""COMPUTED_VALUE"""),"Central")</f>
        <v>Central</v>
      </c>
      <c r="F248" s="10">
        <f>IFERROR(__xludf.DUMMYFUNCTION("""COMPUTED_VALUE"""),6.368)</f>
        <v>6.368</v>
      </c>
      <c r="G248" s="11">
        <f>IFERROR(__xludf.DUMMYFUNCTION("""COMPUTED_VALUE"""),2.0)</f>
        <v>2</v>
      </c>
      <c r="H248" s="11">
        <f>IFERROR(__xludf.DUMMYFUNCTION("""COMPUTED_VALUE"""),-2.5472)</f>
        <v>-2.5472</v>
      </c>
    </row>
    <row r="249">
      <c r="A249" s="8" t="str">
        <f>IFERROR(__xludf.DUMMYFUNCTION("""COMPUTED_VALUE"""),"CA-2014-120670")</f>
        <v>CA-2014-120670</v>
      </c>
      <c r="B249" s="9">
        <f>IFERROR(__xludf.DUMMYFUNCTION("""COMPUTED_VALUE"""),41945.0)</f>
        <v>41945</v>
      </c>
      <c r="C249" s="8" t="str">
        <f>IFERROR(__xludf.DUMMYFUNCTION("""COMPUTED_VALUE"""),"Home Office")</f>
        <v>Home Office</v>
      </c>
      <c r="D249" s="8" t="str">
        <f>IFERROR(__xludf.DUMMYFUNCTION("""COMPUTED_VALUE"""),"Florida")</f>
        <v>Florida</v>
      </c>
      <c r="E249" s="8" t="str">
        <f>IFERROR(__xludf.DUMMYFUNCTION("""COMPUTED_VALUE"""),"South")</f>
        <v>South</v>
      </c>
      <c r="F249" s="10">
        <f>IFERROR(__xludf.DUMMYFUNCTION("""COMPUTED_VALUE"""),799.92)</f>
        <v>799.92</v>
      </c>
      <c r="G249" s="11">
        <f>IFERROR(__xludf.DUMMYFUNCTION("""COMPUTED_VALUE"""),10.0)</f>
        <v>10</v>
      </c>
      <c r="H249" s="11">
        <f>IFERROR(__xludf.DUMMYFUNCTION("""COMPUTED_VALUE"""),239.976)</f>
        <v>239.976</v>
      </c>
    </row>
    <row r="250">
      <c r="A250" s="8" t="str">
        <f>IFERROR(__xludf.DUMMYFUNCTION("""COMPUTED_VALUE"""),"CA-2014-120768")</f>
        <v>CA-2014-120768</v>
      </c>
      <c r="B250" s="9">
        <f>IFERROR(__xludf.DUMMYFUNCTION("""COMPUTED_VALUE"""),41992.0)</f>
        <v>41992</v>
      </c>
      <c r="C250" s="8" t="str">
        <f>IFERROR(__xludf.DUMMYFUNCTION("""COMPUTED_VALUE"""),"Consumer")</f>
        <v>Consumer</v>
      </c>
      <c r="D250" s="8" t="str">
        <f>IFERROR(__xludf.DUMMYFUNCTION("""COMPUTED_VALUE"""),"Alabama")</f>
        <v>Alabama</v>
      </c>
      <c r="E250" s="8" t="str">
        <f>IFERROR(__xludf.DUMMYFUNCTION("""COMPUTED_VALUE"""),"South")</f>
        <v>South</v>
      </c>
      <c r="F250" s="10">
        <f>IFERROR(__xludf.DUMMYFUNCTION("""COMPUTED_VALUE"""),152.76)</f>
        <v>152.76</v>
      </c>
      <c r="G250" s="11">
        <f>IFERROR(__xludf.DUMMYFUNCTION("""COMPUTED_VALUE"""),6.0)</f>
        <v>6</v>
      </c>
      <c r="H250" s="11">
        <f>IFERROR(__xludf.DUMMYFUNCTION("""COMPUTED_VALUE"""),74.8524)</f>
        <v>74.8524</v>
      </c>
    </row>
    <row r="251">
      <c r="A251" s="8" t="str">
        <f>IFERROR(__xludf.DUMMYFUNCTION("""COMPUTED_VALUE"""),"CA-2014-120775")</f>
        <v>CA-2014-120775</v>
      </c>
      <c r="B251" s="9">
        <f>IFERROR(__xludf.DUMMYFUNCTION("""COMPUTED_VALUE"""),41915.0)</f>
        <v>41915</v>
      </c>
      <c r="C251" s="8" t="str">
        <f>IFERROR(__xludf.DUMMYFUNCTION("""COMPUTED_VALUE"""),"Consumer")</f>
        <v>Consumer</v>
      </c>
      <c r="D251" s="8" t="str">
        <f>IFERROR(__xludf.DUMMYFUNCTION("""COMPUTED_VALUE"""),"Texas")</f>
        <v>Texas</v>
      </c>
      <c r="E251" s="8" t="str">
        <f>IFERROR(__xludf.DUMMYFUNCTION("""COMPUTED_VALUE"""),"Central")</f>
        <v>Central</v>
      </c>
      <c r="F251" s="10">
        <f>IFERROR(__xludf.DUMMYFUNCTION("""COMPUTED_VALUE"""),4.344)</f>
        <v>4.344</v>
      </c>
      <c r="G251" s="11">
        <f>IFERROR(__xludf.DUMMYFUNCTION("""COMPUTED_VALUE"""),3.0)</f>
        <v>3</v>
      </c>
      <c r="H251" s="11">
        <f>IFERROR(__xludf.DUMMYFUNCTION("""COMPUTED_VALUE"""),0.8688)</f>
        <v>0.8688</v>
      </c>
    </row>
    <row r="252">
      <c r="A252" s="8" t="str">
        <f>IFERROR(__xludf.DUMMYFUNCTION("""COMPUTED_VALUE"""),"CA-2014-120838")</f>
        <v>CA-2014-120838</v>
      </c>
      <c r="B252" s="9">
        <f>IFERROR(__xludf.DUMMYFUNCTION("""COMPUTED_VALUE"""),41721.0)</f>
        <v>41721</v>
      </c>
      <c r="C252" s="8" t="str">
        <f>IFERROR(__xludf.DUMMYFUNCTION("""COMPUTED_VALUE"""),"Consumer")</f>
        <v>Consumer</v>
      </c>
      <c r="D252" s="8" t="str">
        <f>IFERROR(__xludf.DUMMYFUNCTION("""COMPUTED_VALUE"""),"California")</f>
        <v>California</v>
      </c>
      <c r="E252" s="8" t="str">
        <f>IFERROR(__xludf.DUMMYFUNCTION("""COMPUTED_VALUE"""),"West")</f>
        <v>West</v>
      </c>
      <c r="F252" s="10">
        <f>IFERROR(__xludf.DUMMYFUNCTION("""COMPUTED_VALUE"""),330.4)</f>
        <v>330.4</v>
      </c>
      <c r="G252" s="11">
        <f>IFERROR(__xludf.DUMMYFUNCTION("""COMPUTED_VALUE"""),2.0)</f>
        <v>2</v>
      </c>
      <c r="H252" s="11">
        <f>IFERROR(__xludf.DUMMYFUNCTION("""COMPUTED_VALUE"""),85.904)</f>
        <v>85.904</v>
      </c>
    </row>
    <row r="253">
      <c r="A253" s="8" t="str">
        <f>IFERROR(__xludf.DUMMYFUNCTION("""COMPUTED_VALUE"""),"CA-2014-120852")</f>
        <v>CA-2014-120852</v>
      </c>
      <c r="B253" s="9">
        <f>IFERROR(__xludf.DUMMYFUNCTION("""COMPUTED_VALUE"""),41993.0)</f>
        <v>41993</v>
      </c>
      <c r="C253" s="8" t="str">
        <f>IFERROR(__xludf.DUMMYFUNCTION("""COMPUTED_VALUE"""),"Consumer")</f>
        <v>Consumer</v>
      </c>
      <c r="D253" s="8" t="str">
        <f>IFERROR(__xludf.DUMMYFUNCTION("""COMPUTED_VALUE"""),"Texas")</f>
        <v>Texas</v>
      </c>
      <c r="E253" s="8" t="str">
        <f>IFERROR(__xludf.DUMMYFUNCTION("""COMPUTED_VALUE"""),"Central")</f>
        <v>Central</v>
      </c>
      <c r="F253" s="10">
        <f>IFERROR(__xludf.DUMMYFUNCTION("""COMPUTED_VALUE"""),19.432)</f>
        <v>19.432</v>
      </c>
      <c r="G253" s="11">
        <f>IFERROR(__xludf.DUMMYFUNCTION("""COMPUTED_VALUE"""),2.0)</f>
        <v>2</v>
      </c>
      <c r="H253" s="11">
        <f>IFERROR(__xludf.DUMMYFUNCTION("""COMPUTED_VALUE"""),-49.5516)</f>
        <v>-49.5516</v>
      </c>
    </row>
    <row r="254">
      <c r="A254" s="8" t="str">
        <f>IFERROR(__xludf.DUMMYFUNCTION("""COMPUTED_VALUE"""),"CA-2014-120887")</f>
        <v>CA-2014-120887</v>
      </c>
      <c r="B254" s="9">
        <f>IFERROR(__xludf.DUMMYFUNCTION("""COMPUTED_VALUE"""),41909.0)</f>
        <v>41909</v>
      </c>
      <c r="C254" s="8" t="str">
        <f>IFERROR(__xludf.DUMMYFUNCTION("""COMPUTED_VALUE"""),"Corporate")</f>
        <v>Corporate</v>
      </c>
      <c r="D254" s="8" t="str">
        <f>IFERROR(__xludf.DUMMYFUNCTION("""COMPUTED_VALUE"""),"New Jersey")</f>
        <v>New Jersey</v>
      </c>
      <c r="E254" s="8" t="str">
        <f>IFERROR(__xludf.DUMMYFUNCTION("""COMPUTED_VALUE"""),"East")</f>
        <v>East</v>
      </c>
      <c r="F254" s="10">
        <f>IFERROR(__xludf.DUMMYFUNCTION("""COMPUTED_VALUE"""),87.54)</f>
        <v>87.54</v>
      </c>
      <c r="G254" s="11">
        <f>IFERROR(__xludf.DUMMYFUNCTION("""COMPUTED_VALUE"""),3.0)</f>
        <v>3</v>
      </c>
      <c r="H254" s="11">
        <f>IFERROR(__xludf.DUMMYFUNCTION("""COMPUTED_VALUE"""),37.6422)</f>
        <v>37.6422</v>
      </c>
    </row>
    <row r="255">
      <c r="A255" s="8" t="str">
        <f>IFERROR(__xludf.DUMMYFUNCTION("""COMPUTED_VALUE"""),"CA-2014-120950")</f>
        <v>CA-2014-120950</v>
      </c>
      <c r="B255" s="9">
        <f>IFERROR(__xludf.DUMMYFUNCTION("""COMPUTED_VALUE"""),41949.0)</f>
        <v>41949</v>
      </c>
      <c r="C255" s="8" t="str">
        <f>IFERROR(__xludf.DUMMYFUNCTION("""COMPUTED_VALUE"""),"Consumer")</f>
        <v>Consumer</v>
      </c>
      <c r="D255" s="8" t="str">
        <f>IFERROR(__xludf.DUMMYFUNCTION("""COMPUTED_VALUE"""),"Georgia")</f>
        <v>Georgia</v>
      </c>
      <c r="E255" s="8" t="str">
        <f>IFERROR(__xludf.DUMMYFUNCTION("""COMPUTED_VALUE"""),"South")</f>
        <v>South</v>
      </c>
      <c r="F255" s="10">
        <f>IFERROR(__xludf.DUMMYFUNCTION("""COMPUTED_VALUE"""),43.68)</f>
        <v>43.68</v>
      </c>
      <c r="G255" s="11">
        <f>IFERROR(__xludf.DUMMYFUNCTION("""COMPUTED_VALUE"""),6.0)</f>
        <v>6</v>
      </c>
      <c r="H255" s="11">
        <f>IFERROR(__xludf.DUMMYFUNCTION("""COMPUTED_VALUE"""),20.9664)</f>
        <v>20.9664</v>
      </c>
    </row>
    <row r="256">
      <c r="A256" s="8" t="str">
        <f>IFERROR(__xludf.DUMMYFUNCTION("""COMPUTED_VALUE"""),"CA-2014-121006")</f>
        <v>CA-2014-121006</v>
      </c>
      <c r="B256" s="9">
        <f>IFERROR(__xludf.DUMMYFUNCTION("""COMPUTED_VALUE"""),41953.0)</f>
        <v>41953</v>
      </c>
      <c r="C256" s="8" t="str">
        <f>IFERROR(__xludf.DUMMYFUNCTION("""COMPUTED_VALUE"""),"Consumer")</f>
        <v>Consumer</v>
      </c>
      <c r="D256" s="8" t="str">
        <f>IFERROR(__xludf.DUMMYFUNCTION("""COMPUTED_VALUE"""),"Michigan")</f>
        <v>Michigan</v>
      </c>
      <c r="E256" s="8" t="str">
        <f>IFERROR(__xludf.DUMMYFUNCTION("""COMPUTED_VALUE"""),"Central")</f>
        <v>Central</v>
      </c>
      <c r="F256" s="10">
        <f>IFERROR(__xludf.DUMMYFUNCTION("""COMPUTED_VALUE"""),3.9)</f>
        <v>3.9</v>
      </c>
      <c r="G256" s="11">
        <f>IFERROR(__xludf.DUMMYFUNCTION("""COMPUTED_VALUE"""),2.0)</f>
        <v>2</v>
      </c>
      <c r="H256" s="11">
        <f>IFERROR(__xludf.DUMMYFUNCTION("""COMPUTED_VALUE"""),1.521)</f>
        <v>1.521</v>
      </c>
    </row>
    <row r="257">
      <c r="A257" s="8" t="str">
        <f>IFERROR(__xludf.DUMMYFUNCTION("""COMPUTED_VALUE"""),"CA-2014-121167")</f>
        <v>CA-2014-121167</v>
      </c>
      <c r="B257" s="9">
        <f>IFERROR(__xludf.DUMMYFUNCTION("""COMPUTED_VALUE"""),41971.0)</f>
        <v>41971</v>
      </c>
      <c r="C257" s="8" t="str">
        <f>IFERROR(__xludf.DUMMYFUNCTION("""COMPUTED_VALUE"""),"Consumer")</f>
        <v>Consumer</v>
      </c>
      <c r="D257" s="8" t="str">
        <f>IFERROR(__xludf.DUMMYFUNCTION("""COMPUTED_VALUE"""),"New York")</f>
        <v>New York</v>
      </c>
      <c r="E257" s="8" t="str">
        <f>IFERROR(__xludf.DUMMYFUNCTION("""COMPUTED_VALUE"""),"East")</f>
        <v>East</v>
      </c>
      <c r="F257" s="10">
        <f>IFERROR(__xludf.DUMMYFUNCTION("""COMPUTED_VALUE"""),17.248)</f>
        <v>17.248</v>
      </c>
      <c r="G257" s="11">
        <f>IFERROR(__xludf.DUMMYFUNCTION("""COMPUTED_VALUE"""),2.0)</f>
        <v>2</v>
      </c>
      <c r="H257" s="11">
        <f>IFERROR(__xludf.DUMMYFUNCTION("""COMPUTED_VALUE"""),6.0368)</f>
        <v>6.0368</v>
      </c>
    </row>
    <row r="258">
      <c r="A258" s="8" t="str">
        <f>IFERROR(__xludf.DUMMYFUNCTION("""COMPUTED_VALUE"""),"CA-2014-121286")</f>
        <v>CA-2014-121286</v>
      </c>
      <c r="B258" s="9">
        <f>IFERROR(__xludf.DUMMYFUNCTION("""COMPUTED_VALUE"""),41947.0)</f>
        <v>41947</v>
      </c>
      <c r="C258" s="8" t="str">
        <f>IFERROR(__xludf.DUMMYFUNCTION("""COMPUTED_VALUE"""),"Corporate")</f>
        <v>Corporate</v>
      </c>
      <c r="D258" s="8" t="str">
        <f>IFERROR(__xludf.DUMMYFUNCTION("""COMPUTED_VALUE"""),"North Carolina")</f>
        <v>North Carolina</v>
      </c>
      <c r="E258" s="8" t="str">
        <f>IFERROR(__xludf.DUMMYFUNCTION("""COMPUTED_VALUE"""),"South")</f>
        <v>South</v>
      </c>
      <c r="F258" s="10">
        <f>IFERROR(__xludf.DUMMYFUNCTION("""COMPUTED_VALUE"""),8.376)</f>
        <v>8.376</v>
      </c>
      <c r="G258" s="11">
        <f>IFERROR(__xludf.DUMMYFUNCTION("""COMPUTED_VALUE"""),3.0)</f>
        <v>3</v>
      </c>
      <c r="H258" s="11">
        <f>IFERROR(__xludf.DUMMYFUNCTION("""COMPUTED_VALUE"""),2.7222)</f>
        <v>2.7222</v>
      </c>
    </row>
    <row r="259">
      <c r="A259" s="8" t="str">
        <f>IFERROR(__xludf.DUMMYFUNCTION("""COMPUTED_VALUE"""),"CA-2014-121573")</f>
        <v>CA-2014-121573</v>
      </c>
      <c r="B259" s="9">
        <f>IFERROR(__xludf.DUMMYFUNCTION("""COMPUTED_VALUE"""),41946.0)</f>
        <v>41946</v>
      </c>
      <c r="C259" s="8" t="str">
        <f>IFERROR(__xludf.DUMMYFUNCTION("""COMPUTED_VALUE"""),"Consumer")</f>
        <v>Consumer</v>
      </c>
      <c r="D259" s="8" t="str">
        <f>IFERROR(__xludf.DUMMYFUNCTION("""COMPUTED_VALUE"""),"New York")</f>
        <v>New York</v>
      </c>
      <c r="E259" s="8" t="str">
        <f>IFERROR(__xludf.DUMMYFUNCTION("""COMPUTED_VALUE"""),"East")</f>
        <v>East</v>
      </c>
      <c r="F259" s="10">
        <f>IFERROR(__xludf.DUMMYFUNCTION("""COMPUTED_VALUE"""),783.96)</f>
        <v>783.96</v>
      </c>
      <c r="G259" s="11">
        <f>IFERROR(__xludf.DUMMYFUNCTION("""COMPUTED_VALUE"""),4.0)</f>
        <v>4</v>
      </c>
      <c r="H259" s="11">
        <f>IFERROR(__xludf.DUMMYFUNCTION("""COMPUTED_VALUE"""),219.5088)</f>
        <v>219.5088</v>
      </c>
    </row>
    <row r="260">
      <c r="A260" s="8" t="str">
        <f>IFERROR(__xludf.DUMMYFUNCTION("""COMPUTED_VALUE"""),"CA-2014-121629")</f>
        <v>CA-2014-121629</v>
      </c>
      <c r="B260" s="9">
        <f>IFERROR(__xludf.DUMMYFUNCTION("""COMPUTED_VALUE"""),41971.0)</f>
        <v>41971</v>
      </c>
      <c r="C260" s="8" t="str">
        <f>IFERROR(__xludf.DUMMYFUNCTION("""COMPUTED_VALUE"""),"Consumer")</f>
        <v>Consumer</v>
      </c>
      <c r="D260" s="8" t="str">
        <f>IFERROR(__xludf.DUMMYFUNCTION("""COMPUTED_VALUE"""),"Texas")</f>
        <v>Texas</v>
      </c>
      <c r="E260" s="8" t="str">
        <f>IFERROR(__xludf.DUMMYFUNCTION("""COMPUTED_VALUE"""),"Central")</f>
        <v>Central</v>
      </c>
      <c r="F260" s="10">
        <f>IFERROR(__xludf.DUMMYFUNCTION("""COMPUTED_VALUE"""),998.85)</f>
        <v>998.85</v>
      </c>
      <c r="G260" s="11">
        <f>IFERROR(__xludf.DUMMYFUNCTION("""COMPUTED_VALUE"""),5.0)</f>
        <v>5</v>
      </c>
      <c r="H260" s="11">
        <f>IFERROR(__xludf.DUMMYFUNCTION("""COMPUTED_VALUE"""),-199.77)</f>
        <v>-199.77</v>
      </c>
    </row>
    <row r="261">
      <c r="A261" s="8" t="str">
        <f>IFERROR(__xludf.DUMMYFUNCTION("""COMPUTED_VALUE"""),"CA-2014-121664")</f>
        <v>CA-2014-121664</v>
      </c>
      <c r="B261" s="9">
        <f>IFERROR(__xludf.DUMMYFUNCTION("""COMPUTED_VALUE"""),41765.0)</f>
        <v>41765</v>
      </c>
      <c r="C261" s="8" t="str">
        <f>IFERROR(__xludf.DUMMYFUNCTION("""COMPUTED_VALUE"""),"Home Office")</f>
        <v>Home Office</v>
      </c>
      <c r="D261" s="8" t="str">
        <f>IFERROR(__xludf.DUMMYFUNCTION("""COMPUTED_VALUE"""),"California")</f>
        <v>California</v>
      </c>
      <c r="E261" s="8" t="str">
        <f>IFERROR(__xludf.DUMMYFUNCTION("""COMPUTED_VALUE"""),"West")</f>
        <v>West</v>
      </c>
      <c r="F261" s="10">
        <f>IFERROR(__xludf.DUMMYFUNCTION("""COMPUTED_VALUE"""),140.736)</f>
        <v>140.736</v>
      </c>
      <c r="G261" s="11">
        <f>IFERROR(__xludf.DUMMYFUNCTION("""COMPUTED_VALUE"""),8.0)</f>
        <v>8</v>
      </c>
      <c r="H261" s="11">
        <f>IFERROR(__xludf.DUMMYFUNCTION("""COMPUTED_VALUE"""),52.776)</f>
        <v>52.776</v>
      </c>
    </row>
    <row r="262">
      <c r="A262" s="8" t="str">
        <f>IFERROR(__xludf.DUMMYFUNCTION("""COMPUTED_VALUE"""),"CA-2014-121727")</f>
        <v>CA-2014-121727</v>
      </c>
      <c r="B262" s="9">
        <f>IFERROR(__xludf.DUMMYFUNCTION("""COMPUTED_VALUE"""),41870.0)</f>
        <v>41870</v>
      </c>
      <c r="C262" s="8" t="str">
        <f>IFERROR(__xludf.DUMMYFUNCTION("""COMPUTED_VALUE"""),"Consumer")</f>
        <v>Consumer</v>
      </c>
      <c r="D262" s="8" t="str">
        <f>IFERROR(__xludf.DUMMYFUNCTION("""COMPUTED_VALUE"""),"Ohio")</f>
        <v>Ohio</v>
      </c>
      <c r="E262" s="8" t="str">
        <f>IFERROR(__xludf.DUMMYFUNCTION("""COMPUTED_VALUE"""),"East")</f>
        <v>East</v>
      </c>
      <c r="F262" s="10">
        <f>IFERROR(__xludf.DUMMYFUNCTION("""COMPUTED_VALUE"""),10.72)</f>
        <v>10.72</v>
      </c>
      <c r="G262" s="11">
        <f>IFERROR(__xludf.DUMMYFUNCTION("""COMPUTED_VALUE"""),2.0)</f>
        <v>2</v>
      </c>
      <c r="H262" s="11">
        <f>IFERROR(__xludf.DUMMYFUNCTION("""COMPUTED_VALUE"""),1.742)</f>
        <v>1.742</v>
      </c>
    </row>
    <row r="263">
      <c r="A263" s="8" t="str">
        <f>IFERROR(__xludf.DUMMYFUNCTION("""COMPUTED_VALUE"""),"CA-2014-121762")</f>
        <v>CA-2014-121762</v>
      </c>
      <c r="B263" s="9">
        <f>IFERROR(__xludf.DUMMYFUNCTION("""COMPUTED_VALUE"""),41684.0)</f>
        <v>41684</v>
      </c>
      <c r="C263" s="8" t="str">
        <f>IFERROR(__xludf.DUMMYFUNCTION("""COMPUTED_VALUE"""),"Corporate")</f>
        <v>Corporate</v>
      </c>
      <c r="D263" s="8" t="str">
        <f>IFERROR(__xludf.DUMMYFUNCTION("""COMPUTED_VALUE"""),"Washington")</f>
        <v>Washington</v>
      </c>
      <c r="E263" s="8" t="str">
        <f>IFERROR(__xludf.DUMMYFUNCTION("""COMPUTED_VALUE"""),"West")</f>
        <v>West</v>
      </c>
      <c r="F263" s="10">
        <f>IFERROR(__xludf.DUMMYFUNCTION("""COMPUTED_VALUE"""),239.97)</f>
        <v>239.97</v>
      </c>
      <c r="G263" s="11">
        <f>IFERROR(__xludf.DUMMYFUNCTION("""COMPUTED_VALUE"""),3.0)</f>
        <v>3</v>
      </c>
      <c r="H263" s="11">
        <f>IFERROR(__xludf.DUMMYFUNCTION("""COMPUTED_VALUE"""),86.3892)</f>
        <v>86.3892</v>
      </c>
    </row>
    <row r="264">
      <c r="A264" s="8" t="str">
        <f>IFERROR(__xludf.DUMMYFUNCTION("""COMPUTED_VALUE"""),"CA-2014-121769")</f>
        <v>CA-2014-121769</v>
      </c>
      <c r="B264" s="9">
        <f>IFERROR(__xludf.DUMMYFUNCTION("""COMPUTED_VALUE"""),41737.0)</f>
        <v>41737</v>
      </c>
      <c r="C264" s="8" t="str">
        <f>IFERROR(__xludf.DUMMYFUNCTION("""COMPUTED_VALUE"""),"Consumer")</f>
        <v>Consumer</v>
      </c>
      <c r="D264" s="8" t="str">
        <f>IFERROR(__xludf.DUMMYFUNCTION("""COMPUTED_VALUE"""),"Ohio")</f>
        <v>Ohio</v>
      </c>
      <c r="E264" s="8" t="str">
        <f>IFERROR(__xludf.DUMMYFUNCTION("""COMPUTED_VALUE"""),"East")</f>
        <v>East</v>
      </c>
      <c r="F264" s="10">
        <f>IFERROR(__xludf.DUMMYFUNCTION("""COMPUTED_VALUE"""),172.11)</f>
        <v>172.11</v>
      </c>
      <c r="G264" s="11">
        <f>IFERROR(__xludf.DUMMYFUNCTION("""COMPUTED_VALUE"""),1.0)</f>
        <v>1</v>
      </c>
      <c r="H264" s="11">
        <f>IFERROR(__xludf.DUMMYFUNCTION("""COMPUTED_VALUE"""),-94.6605)</f>
        <v>-94.6605</v>
      </c>
    </row>
    <row r="265">
      <c r="A265" s="8" t="str">
        <f>IFERROR(__xludf.DUMMYFUNCTION("""COMPUTED_VALUE"""),"CA-2014-122070")</f>
        <v>CA-2014-122070</v>
      </c>
      <c r="B265" s="9">
        <f>IFERROR(__xludf.DUMMYFUNCTION("""COMPUTED_VALUE"""),41751.0)</f>
        <v>41751</v>
      </c>
      <c r="C265" s="8" t="str">
        <f>IFERROR(__xludf.DUMMYFUNCTION("""COMPUTED_VALUE"""),"Corporate")</f>
        <v>Corporate</v>
      </c>
      <c r="D265" s="8" t="str">
        <f>IFERROR(__xludf.DUMMYFUNCTION("""COMPUTED_VALUE"""),"New York")</f>
        <v>New York</v>
      </c>
      <c r="E265" s="8" t="str">
        <f>IFERROR(__xludf.DUMMYFUNCTION("""COMPUTED_VALUE"""),"East")</f>
        <v>East</v>
      </c>
      <c r="F265" s="10">
        <f>IFERROR(__xludf.DUMMYFUNCTION("""COMPUTED_VALUE"""),247.84)</f>
        <v>247.84</v>
      </c>
      <c r="G265" s="11">
        <f>IFERROR(__xludf.DUMMYFUNCTION("""COMPUTED_VALUE"""),8.0)</f>
        <v>8</v>
      </c>
      <c r="H265" s="11">
        <f>IFERROR(__xludf.DUMMYFUNCTION("""COMPUTED_VALUE"""),121.4416)</f>
        <v>121.4416</v>
      </c>
    </row>
    <row r="266">
      <c r="A266" s="8" t="str">
        <f>IFERROR(__xludf.DUMMYFUNCTION("""COMPUTED_VALUE"""),"CA-2014-122217")</f>
        <v>CA-2014-122217</v>
      </c>
      <c r="B266" s="9">
        <f>IFERROR(__xludf.DUMMYFUNCTION("""COMPUTED_VALUE"""),41967.0)</f>
        <v>41967</v>
      </c>
      <c r="C266" s="8" t="str">
        <f>IFERROR(__xludf.DUMMYFUNCTION("""COMPUTED_VALUE"""),"Home Office")</f>
        <v>Home Office</v>
      </c>
      <c r="D266" s="8" t="str">
        <f>IFERROR(__xludf.DUMMYFUNCTION("""COMPUTED_VALUE"""),"Virginia")</f>
        <v>Virginia</v>
      </c>
      <c r="E266" s="8" t="str">
        <f>IFERROR(__xludf.DUMMYFUNCTION("""COMPUTED_VALUE"""),"South")</f>
        <v>South</v>
      </c>
      <c r="F266" s="10">
        <f>IFERROR(__xludf.DUMMYFUNCTION("""COMPUTED_VALUE"""),111.15)</f>
        <v>111.15</v>
      </c>
      <c r="G266" s="11">
        <f>IFERROR(__xludf.DUMMYFUNCTION("""COMPUTED_VALUE"""),5.0)</f>
        <v>5</v>
      </c>
      <c r="H266" s="11">
        <f>IFERROR(__xludf.DUMMYFUNCTION("""COMPUTED_VALUE"""),48.906)</f>
        <v>48.906</v>
      </c>
    </row>
    <row r="267">
      <c r="A267" s="8" t="str">
        <f>IFERROR(__xludf.DUMMYFUNCTION("""COMPUTED_VALUE"""),"CA-2014-122336")</f>
        <v>CA-2014-122336</v>
      </c>
      <c r="B267" s="9">
        <f>IFERROR(__xludf.DUMMYFUNCTION("""COMPUTED_VALUE"""),41742.0)</f>
        <v>41742</v>
      </c>
      <c r="C267" s="8" t="str">
        <f>IFERROR(__xludf.DUMMYFUNCTION("""COMPUTED_VALUE"""),"Corporate")</f>
        <v>Corporate</v>
      </c>
      <c r="D267" s="8" t="str">
        <f>IFERROR(__xludf.DUMMYFUNCTION("""COMPUTED_VALUE"""),"Pennsylvania")</f>
        <v>Pennsylvania</v>
      </c>
      <c r="E267" s="8" t="str">
        <f>IFERROR(__xludf.DUMMYFUNCTION("""COMPUTED_VALUE"""),"East")</f>
        <v>East</v>
      </c>
      <c r="F267" s="10">
        <f>IFERROR(__xludf.DUMMYFUNCTION("""COMPUTED_VALUE"""),17.856)</f>
        <v>17.856</v>
      </c>
      <c r="G267" s="11">
        <f>IFERROR(__xludf.DUMMYFUNCTION("""COMPUTED_VALUE"""),4.0)</f>
        <v>4</v>
      </c>
      <c r="H267" s="11">
        <f>IFERROR(__xludf.DUMMYFUNCTION("""COMPUTED_VALUE"""),1.116)</f>
        <v>1.116</v>
      </c>
    </row>
    <row r="268">
      <c r="A268" s="8" t="str">
        <f>IFERROR(__xludf.DUMMYFUNCTION("""COMPUTED_VALUE"""),"CA-2014-122567")</f>
        <v>CA-2014-122567</v>
      </c>
      <c r="B268" s="9">
        <f>IFERROR(__xludf.DUMMYFUNCTION("""COMPUTED_VALUE"""),41686.0)</f>
        <v>41686</v>
      </c>
      <c r="C268" s="8" t="str">
        <f>IFERROR(__xludf.DUMMYFUNCTION("""COMPUTED_VALUE"""),"Consumer")</f>
        <v>Consumer</v>
      </c>
      <c r="D268" s="8" t="str">
        <f>IFERROR(__xludf.DUMMYFUNCTION("""COMPUTED_VALUE"""),"Texas")</f>
        <v>Texas</v>
      </c>
      <c r="E268" s="8" t="str">
        <f>IFERROR(__xludf.DUMMYFUNCTION("""COMPUTED_VALUE"""),"Central")</f>
        <v>Central</v>
      </c>
      <c r="F268" s="10">
        <f>IFERROR(__xludf.DUMMYFUNCTION("""COMPUTED_VALUE"""),1.08)</f>
        <v>1.08</v>
      </c>
      <c r="G268" s="11">
        <f>IFERROR(__xludf.DUMMYFUNCTION("""COMPUTED_VALUE"""),3.0)</f>
        <v>3</v>
      </c>
      <c r="H268" s="11">
        <f>IFERROR(__xludf.DUMMYFUNCTION("""COMPUTED_VALUE"""),-1.728)</f>
        <v>-1.728</v>
      </c>
    </row>
    <row r="269">
      <c r="A269" s="8" t="str">
        <f>IFERROR(__xludf.DUMMYFUNCTION("""COMPUTED_VALUE"""),"CA-2014-122588")</f>
        <v>CA-2014-122588</v>
      </c>
      <c r="B269" s="9">
        <f>IFERROR(__xludf.DUMMYFUNCTION("""COMPUTED_VALUE"""),41968.0)</f>
        <v>41968</v>
      </c>
      <c r="C269" s="8" t="str">
        <f>IFERROR(__xludf.DUMMYFUNCTION("""COMPUTED_VALUE"""),"Consumer")</f>
        <v>Consumer</v>
      </c>
      <c r="D269" s="8" t="str">
        <f>IFERROR(__xludf.DUMMYFUNCTION("""COMPUTED_VALUE"""),"Rhode Island")</f>
        <v>Rhode Island</v>
      </c>
      <c r="E269" s="8" t="str">
        <f>IFERROR(__xludf.DUMMYFUNCTION("""COMPUTED_VALUE"""),"East")</f>
        <v>East</v>
      </c>
      <c r="F269" s="10">
        <f>IFERROR(__xludf.DUMMYFUNCTION("""COMPUTED_VALUE"""),52.96)</f>
        <v>52.96</v>
      </c>
      <c r="G269" s="11">
        <f>IFERROR(__xludf.DUMMYFUNCTION("""COMPUTED_VALUE"""),2.0)</f>
        <v>2</v>
      </c>
      <c r="H269" s="11">
        <f>IFERROR(__xludf.DUMMYFUNCTION("""COMPUTED_VALUE"""),20.1248)</f>
        <v>20.1248</v>
      </c>
    </row>
    <row r="270">
      <c r="A270" s="8" t="str">
        <f>IFERROR(__xludf.DUMMYFUNCTION("""COMPUTED_VALUE"""),"CA-2014-122609")</f>
        <v>CA-2014-122609</v>
      </c>
      <c r="B270" s="9">
        <f>IFERROR(__xludf.DUMMYFUNCTION("""COMPUTED_VALUE"""),41955.0)</f>
        <v>41955</v>
      </c>
      <c r="C270" s="8" t="str">
        <f>IFERROR(__xludf.DUMMYFUNCTION("""COMPUTED_VALUE"""),"Consumer")</f>
        <v>Consumer</v>
      </c>
      <c r="D270" s="8" t="str">
        <f>IFERROR(__xludf.DUMMYFUNCTION("""COMPUTED_VALUE"""),"Texas")</f>
        <v>Texas</v>
      </c>
      <c r="E270" s="8" t="str">
        <f>IFERROR(__xludf.DUMMYFUNCTION("""COMPUTED_VALUE"""),"Central")</f>
        <v>Central</v>
      </c>
      <c r="F270" s="10">
        <f>IFERROR(__xludf.DUMMYFUNCTION("""COMPUTED_VALUE"""),25.128)</f>
        <v>25.128</v>
      </c>
      <c r="G270" s="11">
        <f>IFERROR(__xludf.DUMMYFUNCTION("""COMPUTED_VALUE"""),3.0)</f>
        <v>3</v>
      </c>
      <c r="H270" s="11">
        <f>IFERROR(__xludf.DUMMYFUNCTION("""COMPUTED_VALUE"""),-6.9102)</f>
        <v>-6.9102</v>
      </c>
    </row>
    <row r="271">
      <c r="A271" s="8" t="str">
        <f>IFERROR(__xludf.DUMMYFUNCTION("""COMPUTED_VALUE"""),"CA-2014-122679")</f>
        <v>CA-2014-122679</v>
      </c>
      <c r="B271" s="9">
        <f>IFERROR(__xludf.DUMMYFUNCTION("""COMPUTED_VALUE"""),41842.0)</f>
        <v>41842</v>
      </c>
      <c r="C271" s="8" t="str">
        <f>IFERROR(__xludf.DUMMYFUNCTION("""COMPUTED_VALUE"""),"Home Office")</f>
        <v>Home Office</v>
      </c>
      <c r="D271" s="8" t="str">
        <f>IFERROR(__xludf.DUMMYFUNCTION("""COMPUTED_VALUE"""),"California")</f>
        <v>California</v>
      </c>
      <c r="E271" s="8" t="str">
        <f>IFERROR(__xludf.DUMMYFUNCTION("""COMPUTED_VALUE"""),"West")</f>
        <v>West</v>
      </c>
      <c r="F271" s="10">
        <f>IFERROR(__xludf.DUMMYFUNCTION("""COMPUTED_VALUE"""),19.68)</f>
        <v>19.68</v>
      </c>
      <c r="G271" s="11">
        <f>IFERROR(__xludf.DUMMYFUNCTION("""COMPUTED_VALUE"""),6.0)</f>
        <v>6</v>
      </c>
      <c r="H271" s="11">
        <f>IFERROR(__xludf.DUMMYFUNCTION("""COMPUTED_VALUE"""),6.4944)</f>
        <v>6.4944</v>
      </c>
    </row>
    <row r="272">
      <c r="A272" s="8" t="str">
        <f>IFERROR(__xludf.DUMMYFUNCTION("""COMPUTED_VALUE"""),"CA-2014-122749")</f>
        <v>CA-2014-122749</v>
      </c>
      <c r="B272" s="9">
        <f>IFERROR(__xludf.DUMMYFUNCTION("""COMPUTED_VALUE"""),41976.0)</f>
        <v>41976</v>
      </c>
      <c r="C272" s="8" t="str">
        <f>IFERROR(__xludf.DUMMYFUNCTION("""COMPUTED_VALUE"""),"Consumer")</f>
        <v>Consumer</v>
      </c>
      <c r="D272" s="8" t="str">
        <f>IFERROR(__xludf.DUMMYFUNCTION("""COMPUTED_VALUE"""),"Oklahoma")</f>
        <v>Oklahoma</v>
      </c>
      <c r="E272" s="8" t="str">
        <f>IFERROR(__xludf.DUMMYFUNCTION("""COMPUTED_VALUE"""),"Central")</f>
        <v>Central</v>
      </c>
      <c r="F272" s="10">
        <f>IFERROR(__xludf.DUMMYFUNCTION("""COMPUTED_VALUE"""),479.96)</f>
        <v>479.96</v>
      </c>
      <c r="G272" s="11">
        <f>IFERROR(__xludf.DUMMYFUNCTION("""COMPUTED_VALUE"""),4.0)</f>
        <v>4</v>
      </c>
      <c r="H272" s="11">
        <f>IFERROR(__xludf.DUMMYFUNCTION("""COMPUTED_VALUE"""),134.3888)</f>
        <v>134.3888</v>
      </c>
    </row>
    <row r="273">
      <c r="A273" s="8" t="str">
        <f>IFERROR(__xludf.DUMMYFUNCTION("""COMPUTED_VALUE"""),"CA-2014-122882")</f>
        <v>CA-2014-122882</v>
      </c>
      <c r="B273" s="9">
        <f>IFERROR(__xludf.DUMMYFUNCTION("""COMPUTED_VALUE"""),41889.0)</f>
        <v>41889</v>
      </c>
      <c r="C273" s="8" t="str">
        <f>IFERROR(__xludf.DUMMYFUNCTION("""COMPUTED_VALUE"""),"Corporate")</f>
        <v>Corporate</v>
      </c>
      <c r="D273" s="8" t="str">
        <f>IFERROR(__xludf.DUMMYFUNCTION("""COMPUTED_VALUE"""),"Pennsylvania")</f>
        <v>Pennsylvania</v>
      </c>
      <c r="E273" s="8" t="str">
        <f>IFERROR(__xludf.DUMMYFUNCTION("""COMPUTED_VALUE"""),"East")</f>
        <v>East</v>
      </c>
      <c r="F273" s="10">
        <f>IFERROR(__xludf.DUMMYFUNCTION("""COMPUTED_VALUE"""),64.784)</f>
        <v>64.784</v>
      </c>
      <c r="G273" s="11">
        <f>IFERROR(__xludf.DUMMYFUNCTION("""COMPUTED_VALUE"""),1.0)</f>
        <v>1</v>
      </c>
      <c r="H273" s="11">
        <f>IFERROR(__xludf.DUMMYFUNCTION("""COMPUTED_VALUE"""),-14.5764)</f>
        <v>-14.5764</v>
      </c>
    </row>
    <row r="274">
      <c r="A274" s="8" t="str">
        <f>IFERROR(__xludf.DUMMYFUNCTION("""COMPUTED_VALUE"""),"CA-2014-122931")</f>
        <v>CA-2014-122931</v>
      </c>
      <c r="B274" s="9">
        <f>IFERROR(__xludf.DUMMYFUNCTION("""COMPUTED_VALUE"""),41911.0)</f>
        <v>41911</v>
      </c>
      <c r="C274" s="8" t="str">
        <f>IFERROR(__xludf.DUMMYFUNCTION("""COMPUTED_VALUE"""),"Corporate")</f>
        <v>Corporate</v>
      </c>
      <c r="D274" s="8" t="str">
        <f>IFERROR(__xludf.DUMMYFUNCTION("""COMPUTED_VALUE"""),"Pennsylvania")</f>
        <v>Pennsylvania</v>
      </c>
      <c r="E274" s="8" t="str">
        <f>IFERROR(__xludf.DUMMYFUNCTION("""COMPUTED_VALUE"""),"East")</f>
        <v>East</v>
      </c>
      <c r="F274" s="10">
        <f>IFERROR(__xludf.DUMMYFUNCTION("""COMPUTED_VALUE"""),4.224)</f>
        <v>4.224</v>
      </c>
      <c r="G274" s="11">
        <f>IFERROR(__xludf.DUMMYFUNCTION("""COMPUTED_VALUE"""),3.0)</f>
        <v>3</v>
      </c>
      <c r="H274" s="11">
        <f>IFERROR(__xludf.DUMMYFUNCTION("""COMPUTED_VALUE"""),1.4784)</f>
        <v>1.4784</v>
      </c>
    </row>
    <row r="275">
      <c r="A275" s="8" t="str">
        <f>IFERROR(__xludf.DUMMYFUNCTION("""COMPUTED_VALUE"""),"CA-2014-123064")</f>
        <v>CA-2014-123064</v>
      </c>
      <c r="B275" s="9">
        <f>IFERROR(__xludf.DUMMYFUNCTION("""COMPUTED_VALUE"""),41820.0)</f>
        <v>41820</v>
      </c>
      <c r="C275" s="8" t="str">
        <f>IFERROR(__xludf.DUMMYFUNCTION("""COMPUTED_VALUE"""),"Consumer")</f>
        <v>Consumer</v>
      </c>
      <c r="D275" s="8" t="str">
        <f>IFERROR(__xludf.DUMMYFUNCTION("""COMPUTED_VALUE"""),"Illinois")</f>
        <v>Illinois</v>
      </c>
      <c r="E275" s="8" t="str">
        <f>IFERROR(__xludf.DUMMYFUNCTION("""COMPUTED_VALUE"""),"Central")</f>
        <v>Central</v>
      </c>
      <c r="F275" s="10">
        <f>IFERROR(__xludf.DUMMYFUNCTION("""COMPUTED_VALUE"""),5.248)</f>
        <v>5.248</v>
      </c>
      <c r="G275" s="11">
        <f>IFERROR(__xludf.DUMMYFUNCTION("""COMPUTED_VALUE"""),4.0)</f>
        <v>4</v>
      </c>
      <c r="H275" s="11">
        <f>IFERROR(__xludf.DUMMYFUNCTION("""COMPUTED_VALUE"""),1.64)</f>
        <v>1.64</v>
      </c>
    </row>
    <row r="276">
      <c r="A276" s="8" t="str">
        <f>IFERROR(__xludf.DUMMYFUNCTION("""COMPUTED_VALUE"""),"CA-2014-123127")</f>
        <v>CA-2014-123127</v>
      </c>
      <c r="B276" s="9">
        <f>IFERROR(__xludf.DUMMYFUNCTION("""COMPUTED_VALUE"""),41890.0)</f>
        <v>41890</v>
      </c>
      <c r="C276" s="8" t="str">
        <f>IFERROR(__xludf.DUMMYFUNCTION("""COMPUTED_VALUE"""),"Corporate")</f>
        <v>Corporate</v>
      </c>
      <c r="D276" s="8" t="str">
        <f>IFERROR(__xludf.DUMMYFUNCTION("""COMPUTED_VALUE"""),"New York")</f>
        <v>New York</v>
      </c>
      <c r="E276" s="8" t="str">
        <f>IFERROR(__xludf.DUMMYFUNCTION("""COMPUTED_VALUE"""),"East")</f>
        <v>East</v>
      </c>
      <c r="F276" s="10">
        <f>IFERROR(__xludf.DUMMYFUNCTION("""COMPUTED_VALUE"""),16.78)</f>
        <v>16.78</v>
      </c>
      <c r="G276" s="11">
        <f>IFERROR(__xludf.DUMMYFUNCTION("""COMPUTED_VALUE"""),2.0)</f>
        <v>2</v>
      </c>
      <c r="H276" s="11">
        <f>IFERROR(__xludf.DUMMYFUNCTION("""COMPUTED_VALUE"""),4.195)</f>
        <v>4.195</v>
      </c>
    </row>
    <row r="277">
      <c r="A277" s="8" t="str">
        <f>IFERROR(__xludf.DUMMYFUNCTION("""COMPUTED_VALUE"""),"CA-2014-123225")</f>
        <v>CA-2014-123225</v>
      </c>
      <c r="B277" s="9">
        <f>IFERROR(__xludf.DUMMYFUNCTION("""COMPUTED_VALUE"""),41831.0)</f>
        <v>41831</v>
      </c>
      <c r="C277" s="8" t="str">
        <f>IFERROR(__xludf.DUMMYFUNCTION("""COMPUTED_VALUE"""),"Consumer")</f>
        <v>Consumer</v>
      </c>
      <c r="D277" s="8" t="str">
        <f>IFERROR(__xludf.DUMMYFUNCTION("""COMPUTED_VALUE"""),"Texas")</f>
        <v>Texas</v>
      </c>
      <c r="E277" s="8" t="str">
        <f>IFERROR(__xludf.DUMMYFUNCTION("""COMPUTED_VALUE"""),"Central")</f>
        <v>Central</v>
      </c>
      <c r="F277" s="10">
        <f>IFERROR(__xludf.DUMMYFUNCTION("""COMPUTED_VALUE"""),575.968)</f>
        <v>575.968</v>
      </c>
      <c r="G277" s="11">
        <f>IFERROR(__xludf.DUMMYFUNCTION("""COMPUTED_VALUE"""),4.0)</f>
        <v>4</v>
      </c>
      <c r="H277" s="11">
        <f>IFERROR(__xludf.DUMMYFUNCTION("""COMPUTED_VALUE"""),43.1976)</f>
        <v>43.1976</v>
      </c>
    </row>
    <row r="278">
      <c r="A278" s="8" t="str">
        <f>IFERROR(__xludf.DUMMYFUNCTION("""COMPUTED_VALUE"""),"CA-2014-123253")</f>
        <v>CA-2014-123253</v>
      </c>
      <c r="B278" s="9">
        <f>IFERROR(__xludf.DUMMYFUNCTION("""COMPUTED_VALUE"""),41873.0)</f>
        <v>41873</v>
      </c>
      <c r="C278" s="8" t="str">
        <f>IFERROR(__xludf.DUMMYFUNCTION("""COMPUTED_VALUE"""),"Home Office")</f>
        <v>Home Office</v>
      </c>
      <c r="D278" s="8" t="str">
        <f>IFERROR(__xludf.DUMMYFUNCTION("""COMPUTED_VALUE"""),"Ohio")</f>
        <v>Ohio</v>
      </c>
      <c r="E278" s="8" t="str">
        <f>IFERROR(__xludf.DUMMYFUNCTION("""COMPUTED_VALUE"""),"East")</f>
        <v>East</v>
      </c>
      <c r="F278" s="10">
        <f>IFERROR(__xludf.DUMMYFUNCTION("""COMPUTED_VALUE"""),3.912)</f>
        <v>3.912</v>
      </c>
      <c r="G278" s="11">
        <f>IFERROR(__xludf.DUMMYFUNCTION("""COMPUTED_VALUE"""),1.0)</f>
        <v>1</v>
      </c>
      <c r="H278" s="11">
        <f>IFERROR(__xludf.DUMMYFUNCTION("""COMPUTED_VALUE"""),1.0269)</f>
        <v>1.0269</v>
      </c>
    </row>
    <row r="279">
      <c r="A279" s="8" t="str">
        <f>IFERROR(__xludf.DUMMYFUNCTION("""COMPUTED_VALUE"""),"CA-2014-123260")</f>
        <v>CA-2014-123260</v>
      </c>
      <c r="B279" s="9">
        <f>IFERROR(__xludf.DUMMYFUNCTION("""COMPUTED_VALUE"""),41877.0)</f>
        <v>41877</v>
      </c>
      <c r="C279" s="8" t="str">
        <f>IFERROR(__xludf.DUMMYFUNCTION("""COMPUTED_VALUE"""),"Home Office")</f>
        <v>Home Office</v>
      </c>
      <c r="D279" s="8" t="str">
        <f>IFERROR(__xludf.DUMMYFUNCTION("""COMPUTED_VALUE"""),"California")</f>
        <v>California</v>
      </c>
      <c r="E279" s="8" t="str">
        <f>IFERROR(__xludf.DUMMYFUNCTION("""COMPUTED_VALUE"""),"West")</f>
        <v>West</v>
      </c>
      <c r="F279" s="10">
        <f>IFERROR(__xludf.DUMMYFUNCTION("""COMPUTED_VALUE"""),176.8)</f>
        <v>176.8</v>
      </c>
      <c r="G279" s="11">
        <f>IFERROR(__xludf.DUMMYFUNCTION("""COMPUTED_VALUE"""),8.0)</f>
        <v>8</v>
      </c>
      <c r="H279" s="11">
        <f>IFERROR(__xludf.DUMMYFUNCTION("""COMPUTED_VALUE"""),22.984)</f>
        <v>22.984</v>
      </c>
    </row>
    <row r="280">
      <c r="A280" s="8" t="str">
        <f>IFERROR(__xludf.DUMMYFUNCTION("""COMPUTED_VALUE"""),"CA-2014-123295")</f>
        <v>CA-2014-123295</v>
      </c>
      <c r="B280" s="9">
        <f>IFERROR(__xludf.DUMMYFUNCTION("""COMPUTED_VALUE"""),41838.0)</f>
        <v>41838</v>
      </c>
      <c r="C280" s="8" t="str">
        <f>IFERROR(__xludf.DUMMYFUNCTION("""COMPUTED_VALUE"""),"Home Office")</f>
        <v>Home Office</v>
      </c>
      <c r="D280" s="8" t="str">
        <f>IFERROR(__xludf.DUMMYFUNCTION("""COMPUTED_VALUE"""),"Arizona")</f>
        <v>Arizona</v>
      </c>
      <c r="E280" s="8" t="str">
        <f>IFERROR(__xludf.DUMMYFUNCTION("""COMPUTED_VALUE"""),"West")</f>
        <v>West</v>
      </c>
      <c r="F280" s="10">
        <f>IFERROR(__xludf.DUMMYFUNCTION("""COMPUTED_VALUE"""),259.136)</f>
        <v>259.136</v>
      </c>
      <c r="G280" s="11">
        <f>IFERROR(__xludf.DUMMYFUNCTION("""COMPUTED_VALUE"""),4.0)</f>
        <v>4</v>
      </c>
      <c r="H280" s="11">
        <f>IFERROR(__xludf.DUMMYFUNCTION("""COMPUTED_VALUE"""),-25.9136)</f>
        <v>-25.9136</v>
      </c>
    </row>
    <row r="281">
      <c r="A281" s="8" t="str">
        <f>IFERROR(__xludf.DUMMYFUNCTION("""COMPUTED_VALUE"""),"CA-2014-123316")</f>
        <v>CA-2014-123316</v>
      </c>
      <c r="B281" s="9">
        <f>IFERROR(__xludf.DUMMYFUNCTION("""COMPUTED_VALUE"""),41925.0)</f>
        <v>41925</v>
      </c>
      <c r="C281" s="8" t="str">
        <f>IFERROR(__xludf.DUMMYFUNCTION("""COMPUTED_VALUE"""),"Corporate")</f>
        <v>Corporate</v>
      </c>
      <c r="D281" s="8" t="str">
        <f>IFERROR(__xludf.DUMMYFUNCTION("""COMPUTED_VALUE"""),"New York")</f>
        <v>New York</v>
      </c>
      <c r="E281" s="8" t="str">
        <f>IFERROR(__xludf.DUMMYFUNCTION("""COMPUTED_VALUE"""),"East")</f>
        <v>East</v>
      </c>
      <c r="F281" s="10">
        <f>IFERROR(__xludf.DUMMYFUNCTION("""COMPUTED_VALUE"""),7.752)</f>
        <v>7.752</v>
      </c>
      <c r="G281" s="11">
        <f>IFERROR(__xludf.DUMMYFUNCTION("""COMPUTED_VALUE"""),3.0)</f>
        <v>3</v>
      </c>
      <c r="H281" s="11">
        <f>IFERROR(__xludf.DUMMYFUNCTION("""COMPUTED_VALUE"""),2.8101)</f>
        <v>2.8101</v>
      </c>
    </row>
    <row r="282">
      <c r="A282" s="8" t="str">
        <f>IFERROR(__xludf.DUMMYFUNCTION("""COMPUTED_VALUE"""),"CA-2014-123323")</f>
        <v>CA-2014-123323</v>
      </c>
      <c r="B282" s="9">
        <f>IFERROR(__xludf.DUMMYFUNCTION("""COMPUTED_VALUE"""),41950.0)</f>
        <v>41950</v>
      </c>
      <c r="C282" s="8" t="str">
        <f>IFERROR(__xludf.DUMMYFUNCTION("""COMPUTED_VALUE"""),"Consumer")</f>
        <v>Consumer</v>
      </c>
      <c r="D282" s="8" t="str">
        <f>IFERROR(__xludf.DUMMYFUNCTION("""COMPUTED_VALUE"""),"California")</f>
        <v>California</v>
      </c>
      <c r="E282" s="8" t="str">
        <f>IFERROR(__xludf.DUMMYFUNCTION("""COMPUTED_VALUE"""),"West")</f>
        <v>West</v>
      </c>
      <c r="F282" s="10">
        <f>IFERROR(__xludf.DUMMYFUNCTION("""COMPUTED_VALUE"""),123.144)</f>
        <v>123.144</v>
      </c>
      <c r="G282" s="11">
        <f>IFERROR(__xludf.DUMMYFUNCTION("""COMPUTED_VALUE"""),7.0)</f>
        <v>7</v>
      </c>
      <c r="H282" s="11">
        <f>IFERROR(__xludf.DUMMYFUNCTION("""COMPUTED_VALUE"""),46.179)</f>
        <v>46.179</v>
      </c>
    </row>
    <row r="283">
      <c r="A283" s="8" t="str">
        <f>IFERROR(__xludf.DUMMYFUNCTION("""COMPUTED_VALUE"""),"CA-2014-123344")</f>
        <v>CA-2014-123344</v>
      </c>
      <c r="B283" s="9">
        <f>IFERROR(__xludf.DUMMYFUNCTION("""COMPUTED_VALUE"""),41906.0)</f>
        <v>41906</v>
      </c>
      <c r="C283" s="8" t="str">
        <f>IFERROR(__xludf.DUMMYFUNCTION("""COMPUTED_VALUE"""),"Consumer")</f>
        <v>Consumer</v>
      </c>
      <c r="D283" s="8" t="str">
        <f>IFERROR(__xludf.DUMMYFUNCTION("""COMPUTED_VALUE"""),"California")</f>
        <v>California</v>
      </c>
      <c r="E283" s="8" t="str">
        <f>IFERROR(__xludf.DUMMYFUNCTION("""COMPUTED_VALUE"""),"West")</f>
        <v>West</v>
      </c>
      <c r="F283" s="10">
        <f>IFERROR(__xludf.DUMMYFUNCTION("""COMPUTED_VALUE"""),211.96)</f>
        <v>211.96</v>
      </c>
      <c r="G283" s="11">
        <f>IFERROR(__xludf.DUMMYFUNCTION("""COMPUTED_VALUE"""),4.0)</f>
        <v>4</v>
      </c>
      <c r="H283" s="11">
        <f>IFERROR(__xludf.DUMMYFUNCTION("""COMPUTED_VALUE"""),8.4784)</f>
        <v>8.4784</v>
      </c>
    </row>
    <row r="284">
      <c r="A284" s="8" t="str">
        <f>IFERROR(__xludf.DUMMYFUNCTION("""COMPUTED_VALUE"""),"CA-2014-123400")</f>
        <v>CA-2014-123400</v>
      </c>
      <c r="B284" s="9">
        <f>IFERROR(__xludf.DUMMYFUNCTION("""COMPUTED_VALUE"""),41672.0)</f>
        <v>41672</v>
      </c>
      <c r="C284" s="8" t="str">
        <f>IFERROR(__xludf.DUMMYFUNCTION("""COMPUTED_VALUE"""),"Consumer")</f>
        <v>Consumer</v>
      </c>
      <c r="D284" s="8" t="str">
        <f>IFERROR(__xludf.DUMMYFUNCTION("""COMPUTED_VALUE"""),"Florida")</f>
        <v>Florida</v>
      </c>
      <c r="E284" s="8" t="str">
        <f>IFERROR(__xludf.DUMMYFUNCTION("""COMPUTED_VALUE"""),"South")</f>
        <v>South</v>
      </c>
      <c r="F284" s="10">
        <f>IFERROR(__xludf.DUMMYFUNCTION("""COMPUTED_VALUE"""),18.336)</f>
        <v>18.336</v>
      </c>
      <c r="G284" s="11">
        <f>IFERROR(__xludf.DUMMYFUNCTION("""COMPUTED_VALUE"""),2.0)</f>
        <v>2</v>
      </c>
      <c r="H284" s="11">
        <f>IFERROR(__xludf.DUMMYFUNCTION("""COMPUTED_VALUE"""),-12.224)</f>
        <v>-12.224</v>
      </c>
    </row>
    <row r="285">
      <c r="A285" s="8" t="str">
        <f>IFERROR(__xludf.DUMMYFUNCTION("""COMPUTED_VALUE"""),"CA-2014-123477")</f>
        <v>CA-2014-123477</v>
      </c>
      <c r="B285" s="9">
        <f>IFERROR(__xludf.DUMMYFUNCTION("""COMPUTED_VALUE"""),41657.0)</f>
        <v>41657</v>
      </c>
      <c r="C285" s="8" t="str">
        <f>IFERROR(__xludf.DUMMYFUNCTION("""COMPUTED_VALUE"""),"Corporate")</f>
        <v>Corporate</v>
      </c>
      <c r="D285" s="8" t="str">
        <f>IFERROR(__xludf.DUMMYFUNCTION("""COMPUTED_VALUE"""),"Oregon")</f>
        <v>Oregon</v>
      </c>
      <c r="E285" s="8" t="str">
        <f>IFERROR(__xludf.DUMMYFUNCTION("""COMPUTED_VALUE"""),"West")</f>
        <v>West</v>
      </c>
      <c r="F285" s="10">
        <f>IFERROR(__xludf.DUMMYFUNCTION("""COMPUTED_VALUE"""),64.864)</f>
        <v>64.864</v>
      </c>
      <c r="G285" s="11">
        <f>IFERROR(__xludf.DUMMYFUNCTION("""COMPUTED_VALUE"""),4.0)</f>
        <v>4</v>
      </c>
      <c r="H285" s="11">
        <f>IFERROR(__xludf.DUMMYFUNCTION("""COMPUTED_VALUE"""),6.4864)</f>
        <v>6.4864</v>
      </c>
    </row>
    <row r="286">
      <c r="A286" s="8" t="str">
        <f>IFERROR(__xludf.DUMMYFUNCTION("""COMPUTED_VALUE"""),"CA-2014-123498")</f>
        <v>CA-2014-123498</v>
      </c>
      <c r="B286" s="9">
        <f>IFERROR(__xludf.DUMMYFUNCTION("""COMPUTED_VALUE"""),41950.0)</f>
        <v>41950</v>
      </c>
      <c r="C286" s="8" t="str">
        <f>IFERROR(__xludf.DUMMYFUNCTION("""COMPUTED_VALUE"""),"Corporate")</f>
        <v>Corporate</v>
      </c>
      <c r="D286" s="8" t="str">
        <f>IFERROR(__xludf.DUMMYFUNCTION("""COMPUTED_VALUE"""),"Texas")</f>
        <v>Texas</v>
      </c>
      <c r="E286" s="8" t="str">
        <f>IFERROR(__xludf.DUMMYFUNCTION("""COMPUTED_VALUE"""),"Central")</f>
        <v>Central</v>
      </c>
      <c r="F286" s="10">
        <f>IFERROR(__xludf.DUMMYFUNCTION("""COMPUTED_VALUE"""),26.046)</f>
        <v>26.046</v>
      </c>
      <c r="G286" s="11">
        <f>IFERROR(__xludf.DUMMYFUNCTION("""COMPUTED_VALUE"""),3.0)</f>
        <v>3</v>
      </c>
      <c r="H286" s="11">
        <f>IFERROR(__xludf.DUMMYFUNCTION("""COMPUTED_VALUE"""),-44.2782)</f>
        <v>-44.2782</v>
      </c>
    </row>
    <row r="287">
      <c r="A287" s="8" t="str">
        <f>IFERROR(__xludf.DUMMYFUNCTION("""COMPUTED_VALUE"""),"CA-2014-123855")</f>
        <v>CA-2014-123855</v>
      </c>
      <c r="B287" s="9">
        <f>IFERROR(__xludf.DUMMYFUNCTION("""COMPUTED_VALUE"""),41808.0)</f>
        <v>41808</v>
      </c>
      <c r="C287" s="8" t="str">
        <f>IFERROR(__xludf.DUMMYFUNCTION("""COMPUTED_VALUE"""),"Consumer")</f>
        <v>Consumer</v>
      </c>
      <c r="D287" s="8" t="str">
        <f>IFERROR(__xludf.DUMMYFUNCTION("""COMPUTED_VALUE"""),"California")</f>
        <v>California</v>
      </c>
      <c r="E287" s="8" t="str">
        <f>IFERROR(__xludf.DUMMYFUNCTION("""COMPUTED_VALUE"""),"West")</f>
        <v>West</v>
      </c>
      <c r="F287" s="10">
        <f>IFERROR(__xludf.DUMMYFUNCTION("""COMPUTED_VALUE"""),139.8)</f>
        <v>139.8</v>
      </c>
      <c r="G287" s="11">
        <f>IFERROR(__xludf.DUMMYFUNCTION("""COMPUTED_VALUE"""),5.0)</f>
        <v>5</v>
      </c>
      <c r="H287" s="11">
        <f>IFERROR(__xludf.DUMMYFUNCTION("""COMPUTED_VALUE"""),12.2325)</f>
        <v>12.2325</v>
      </c>
    </row>
    <row r="288">
      <c r="A288" s="8" t="str">
        <f>IFERROR(__xludf.DUMMYFUNCTION("""COMPUTED_VALUE"""),"CA-2014-123925")</f>
        <v>CA-2014-123925</v>
      </c>
      <c r="B288" s="9">
        <f>IFERROR(__xludf.DUMMYFUNCTION("""COMPUTED_VALUE"""),41990.0)</f>
        <v>41990</v>
      </c>
      <c r="C288" s="8" t="str">
        <f>IFERROR(__xludf.DUMMYFUNCTION("""COMPUTED_VALUE"""),"Consumer")</f>
        <v>Consumer</v>
      </c>
      <c r="D288" s="8" t="str">
        <f>IFERROR(__xludf.DUMMYFUNCTION("""COMPUTED_VALUE"""),"Georgia")</f>
        <v>Georgia</v>
      </c>
      <c r="E288" s="8" t="str">
        <f>IFERROR(__xludf.DUMMYFUNCTION("""COMPUTED_VALUE"""),"South")</f>
        <v>South</v>
      </c>
      <c r="F288" s="10">
        <f>IFERROR(__xludf.DUMMYFUNCTION("""COMPUTED_VALUE"""),40.05)</f>
        <v>40.05</v>
      </c>
      <c r="G288" s="11">
        <f>IFERROR(__xludf.DUMMYFUNCTION("""COMPUTED_VALUE"""),3.0)</f>
        <v>3</v>
      </c>
      <c r="H288" s="11">
        <f>IFERROR(__xludf.DUMMYFUNCTION("""COMPUTED_VALUE"""),11.214)</f>
        <v>11.214</v>
      </c>
    </row>
    <row r="289">
      <c r="A289" s="8" t="str">
        <f>IFERROR(__xludf.DUMMYFUNCTION("""COMPUTED_VALUE"""),"CA-2014-124023")</f>
        <v>CA-2014-124023</v>
      </c>
      <c r="B289" s="9">
        <f>IFERROR(__xludf.DUMMYFUNCTION("""COMPUTED_VALUE"""),41736.0)</f>
        <v>41736</v>
      </c>
      <c r="C289" s="8" t="str">
        <f>IFERROR(__xludf.DUMMYFUNCTION("""COMPUTED_VALUE"""),"Consumer")</f>
        <v>Consumer</v>
      </c>
      <c r="D289" s="8" t="str">
        <f>IFERROR(__xludf.DUMMYFUNCTION("""COMPUTED_VALUE"""),"Alabama")</f>
        <v>Alabama</v>
      </c>
      <c r="E289" s="8" t="str">
        <f>IFERROR(__xludf.DUMMYFUNCTION("""COMPUTED_VALUE"""),"South")</f>
        <v>South</v>
      </c>
      <c r="F289" s="10">
        <f>IFERROR(__xludf.DUMMYFUNCTION("""COMPUTED_VALUE"""),8.96)</f>
        <v>8.96</v>
      </c>
      <c r="G289" s="11">
        <f>IFERROR(__xludf.DUMMYFUNCTION("""COMPUTED_VALUE"""),2.0)</f>
        <v>2</v>
      </c>
      <c r="H289" s="11">
        <f>IFERROR(__xludf.DUMMYFUNCTION("""COMPUTED_VALUE"""),2.7776)</f>
        <v>2.7776</v>
      </c>
    </row>
    <row r="290">
      <c r="A290" s="8" t="str">
        <f>IFERROR(__xludf.DUMMYFUNCTION("""COMPUTED_VALUE"""),"CA-2014-124079")</f>
        <v>CA-2014-124079</v>
      </c>
      <c r="B290" s="9">
        <f>IFERROR(__xludf.DUMMYFUNCTION("""COMPUTED_VALUE"""),41986.0)</f>
        <v>41986</v>
      </c>
      <c r="C290" s="8" t="str">
        <f>IFERROR(__xludf.DUMMYFUNCTION("""COMPUTED_VALUE"""),"Corporate")</f>
        <v>Corporate</v>
      </c>
      <c r="D290" s="8" t="str">
        <f>IFERROR(__xludf.DUMMYFUNCTION("""COMPUTED_VALUE"""),"Arizona")</f>
        <v>Arizona</v>
      </c>
      <c r="E290" s="8" t="str">
        <f>IFERROR(__xludf.DUMMYFUNCTION("""COMPUTED_VALUE"""),"West")</f>
        <v>West</v>
      </c>
      <c r="F290" s="10">
        <f>IFERROR(__xludf.DUMMYFUNCTION("""COMPUTED_VALUE"""),87.96)</f>
        <v>87.96</v>
      </c>
      <c r="G290" s="11">
        <f>IFERROR(__xludf.DUMMYFUNCTION("""COMPUTED_VALUE"""),3.0)</f>
        <v>3</v>
      </c>
      <c r="H290" s="11">
        <f>IFERROR(__xludf.DUMMYFUNCTION("""COMPUTED_VALUE"""),7.6965)</f>
        <v>7.6965</v>
      </c>
    </row>
    <row r="291">
      <c r="A291" s="8" t="str">
        <f>IFERROR(__xludf.DUMMYFUNCTION("""COMPUTED_VALUE"""),"CA-2014-124247")</f>
        <v>CA-2014-124247</v>
      </c>
      <c r="B291" s="9">
        <f>IFERROR(__xludf.DUMMYFUNCTION("""COMPUTED_VALUE"""),41989.0)</f>
        <v>41989</v>
      </c>
      <c r="C291" s="8" t="str">
        <f>IFERROR(__xludf.DUMMYFUNCTION("""COMPUTED_VALUE"""),"Corporate")</f>
        <v>Corporate</v>
      </c>
      <c r="D291" s="8" t="str">
        <f>IFERROR(__xludf.DUMMYFUNCTION("""COMPUTED_VALUE"""),"California")</f>
        <v>California</v>
      </c>
      <c r="E291" s="8" t="str">
        <f>IFERROR(__xludf.DUMMYFUNCTION("""COMPUTED_VALUE"""),"West")</f>
        <v>West</v>
      </c>
      <c r="F291" s="10">
        <f>IFERROR(__xludf.DUMMYFUNCTION("""COMPUTED_VALUE"""),1403.92)</f>
        <v>1403.92</v>
      </c>
      <c r="G291" s="11">
        <f>IFERROR(__xludf.DUMMYFUNCTION("""COMPUTED_VALUE"""),5.0)</f>
        <v>5</v>
      </c>
      <c r="H291" s="11">
        <f>IFERROR(__xludf.DUMMYFUNCTION("""COMPUTED_VALUE"""),70.196)</f>
        <v>70.196</v>
      </c>
    </row>
    <row r="292">
      <c r="A292" s="8" t="str">
        <f>IFERROR(__xludf.DUMMYFUNCTION("""COMPUTED_VALUE"""),"CA-2014-124394")</f>
        <v>CA-2014-124394</v>
      </c>
      <c r="B292" s="9">
        <f>IFERROR(__xludf.DUMMYFUNCTION("""COMPUTED_VALUE"""),41929.0)</f>
        <v>41929</v>
      </c>
      <c r="C292" s="8" t="str">
        <f>IFERROR(__xludf.DUMMYFUNCTION("""COMPUTED_VALUE"""),"Consumer")</f>
        <v>Consumer</v>
      </c>
      <c r="D292" s="8" t="str">
        <f>IFERROR(__xludf.DUMMYFUNCTION("""COMPUTED_VALUE"""),"Texas")</f>
        <v>Texas</v>
      </c>
      <c r="E292" s="8" t="str">
        <f>IFERROR(__xludf.DUMMYFUNCTION("""COMPUTED_VALUE"""),"Central")</f>
        <v>Central</v>
      </c>
      <c r="F292" s="10">
        <f>IFERROR(__xludf.DUMMYFUNCTION("""COMPUTED_VALUE"""),10.78)</f>
        <v>10.78</v>
      </c>
      <c r="G292" s="11">
        <f>IFERROR(__xludf.DUMMYFUNCTION("""COMPUTED_VALUE"""),5.0)</f>
        <v>5</v>
      </c>
      <c r="H292" s="11">
        <f>IFERROR(__xludf.DUMMYFUNCTION("""COMPUTED_VALUE"""),-17.248)</f>
        <v>-17.248</v>
      </c>
    </row>
    <row r="293">
      <c r="A293" s="8" t="str">
        <f>IFERROR(__xludf.DUMMYFUNCTION("""COMPUTED_VALUE"""),"CA-2014-124429")</f>
        <v>CA-2014-124429</v>
      </c>
      <c r="B293" s="9">
        <f>IFERROR(__xludf.DUMMYFUNCTION("""COMPUTED_VALUE"""),41786.0)</f>
        <v>41786</v>
      </c>
      <c r="C293" s="8" t="str">
        <f>IFERROR(__xludf.DUMMYFUNCTION("""COMPUTED_VALUE"""),"Corporate")</f>
        <v>Corporate</v>
      </c>
      <c r="D293" s="8" t="str">
        <f>IFERROR(__xludf.DUMMYFUNCTION("""COMPUTED_VALUE"""),"California")</f>
        <v>California</v>
      </c>
      <c r="E293" s="8" t="str">
        <f>IFERROR(__xludf.DUMMYFUNCTION("""COMPUTED_VALUE"""),"West")</f>
        <v>West</v>
      </c>
      <c r="F293" s="10">
        <f>IFERROR(__xludf.DUMMYFUNCTION("""COMPUTED_VALUE"""),567.12)</f>
        <v>567.12</v>
      </c>
      <c r="G293" s="11">
        <f>IFERROR(__xludf.DUMMYFUNCTION("""COMPUTED_VALUE"""),10.0)</f>
        <v>10</v>
      </c>
      <c r="H293" s="11">
        <f>IFERROR(__xludf.DUMMYFUNCTION("""COMPUTED_VALUE"""),-28.356)</f>
        <v>-28.356</v>
      </c>
    </row>
    <row r="294">
      <c r="A294" s="8" t="str">
        <f>IFERROR(__xludf.DUMMYFUNCTION("""COMPUTED_VALUE"""),"CA-2014-124464")</f>
        <v>CA-2014-124464</v>
      </c>
      <c r="B294" s="9">
        <f>IFERROR(__xludf.DUMMYFUNCTION("""COMPUTED_VALUE"""),41834.0)</f>
        <v>41834</v>
      </c>
      <c r="C294" s="8" t="str">
        <f>IFERROR(__xludf.DUMMYFUNCTION("""COMPUTED_VALUE"""),"Home Office")</f>
        <v>Home Office</v>
      </c>
      <c r="D294" s="8" t="str">
        <f>IFERROR(__xludf.DUMMYFUNCTION("""COMPUTED_VALUE"""),"Delaware")</f>
        <v>Delaware</v>
      </c>
      <c r="E294" s="8" t="str">
        <f>IFERROR(__xludf.DUMMYFUNCTION("""COMPUTED_VALUE"""),"East")</f>
        <v>East</v>
      </c>
      <c r="F294" s="10">
        <f>IFERROR(__xludf.DUMMYFUNCTION("""COMPUTED_VALUE"""),39.48)</f>
        <v>39.48</v>
      </c>
      <c r="G294" s="11">
        <f>IFERROR(__xludf.DUMMYFUNCTION("""COMPUTED_VALUE"""),1.0)</f>
        <v>1</v>
      </c>
      <c r="H294" s="11">
        <f>IFERROR(__xludf.DUMMYFUNCTION("""COMPUTED_VALUE"""),11.0544)</f>
        <v>11.0544</v>
      </c>
    </row>
    <row r="295">
      <c r="A295" s="8" t="str">
        <f>IFERROR(__xludf.DUMMYFUNCTION("""COMPUTED_VALUE"""),"CA-2014-124478")</f>
        <v>CA-2014-124478</v>
      </c>
      <c r="B295" s="9">
        <f>IFERROR(__xludf.DUMMYFUNCTION("""COMPUTED_VALUE"""),41859.0)</f>
        <v>41859</v>
      </c>
      <c r="C295" s="8" t="str">
        <f>IFERROR(__xludf.DUMMYFUNCTION("""COMPUTED_VALUE"""),"Home Office")</f>
        <v>Home Office</v>
      </c>
      <c r="D295" s="8" t="str">
        <f>IFERROR(__xludf.DUMMYFUNCTION("""COMPUTED_VALUE"""),"Michigan")</f>
        <v>Michigan</v>
      </c>
      <c r="E295" s="8" t="str">
        <f>IFERROR(__xludf.DUMMYFUNCTION("""COMPUTED_VALUE"""),"Central")</f>
        <v>Central</v>
      </c>
      <c r="F295" s="10">
        <f>IFERROR(__xludf.DUMMYFUNCTION("""COMPUTED_VALUE"""),549.99)</f>
        <v>549.99</v>
      </c>
      <c r="G295" s="11">
        <f>IFERROR(__xludf.DUMMYFUNCTION("""COMPUTED_VALUE"""),1.0)</f>
        <v>1</v>
      </c>
      <c r="H295" s="11">
        <f>IFERROR(__xludf.DUMMYFUNCTION("""COMPUTED_VALUE"""),274.995)</f>
        <v>274.995</v>
      </c>
    </row>
    <row r="296">
      <c r="A296" s="8" t="str">
        <f>IFERROR(__xludf.DUMMYFUNCTION("""COMPUTED_VALUE"""),"CA-2014-124513")</f>
        <v>CA-2014-124513</v>
      </c>
      <c r="B296" s="9">
        <f>IFERROR(__xludf.DUMMYFUNCTION("""COMPUTED_VALUE"""),41903.0)</f>
        <v>41903</v>
      </c>
      <c r="C296" s="8" t="str">
        <f>IFERROR(__xludf.DUMMYFUNCTION("""COMPUTED_VALUE"""),"Home Office")</f>
        <v>Home Office</v>
      </c>
      <c r="D296" s="8" t="str">
        <f>IFERROR(__xludf.DUMMYFUNCTION("""COMPUTED_VALUE"""),"New York")</f>
        <v>New York</v>
      </c>
      <c r="E296" s="8" t="str">
        <f>IFERROR(__xludf.DUMMYFUNCTION("""COMPUTED_VALUE"""),"East")</f>
        <v>East</v>
      </c>
      <c r="F296" s="10">
        <f>IFERROR(__xludf.DUMMYFUNCTION("""COMPUTED_VALUE"""),66.03)</f>
        <v>66.03</v>
      </c>
      <c r="G296" s="11">
        <f>IFERROR(__xludf.DUMMYFUNCTION("""COMPUTED_VALUE"""),3.0)</f>
        <v>3</v>
      </c>
      <c r="H296" s="11">
        <f>IFERROR(__xludf.DUMMYFUNCTION("""COMPUTED_VALUE"""),17.1678)</f>
        <v>17.1678</v>
      </c>
    </row>
    <row r="297">
      <c r="A297" s="8" t="str">
        <f>IFERROR(__xludf.DUMMYFUNCTION("""COMPUTED_VALUE"""),"CA-2014-124618")</f>
        <v>CA-2014-124618</v>
      </c>
      <c r="B297" s="9">
        <f>IFERROR(__xludf.DUMMYFUNCTION("""COMPUTED_VALUE"""),41761.0)</f>
        <v>41761</v>
      </c>
      <c r="C297" s="8" t="str">
        <f>IFERROR(__xludf.DUMMYFUNCTION("""COMPUTED_VALUE"""),"Consumer")</f>
        <v>Consumer</v>
      </c>
      <c r="D297" s="8" t="str">
        <f>IFERROR(__xludf.DUMMYFUNCTION("""COMPUTED_VALUE"""),"Florida")</f>
        <v>Florida</v>
      </c>
      <c r="E297" s="8" t="str">
        <f>IFERROR(__xludf.DUMMYFUNCTION("""COMPUTED_VALUE"""),"South")</f>
        <v>South</v>
      </c>
      <c r="F297" s="10">
        <f>IFERROR(__xludf.DUMMYFUNCTION("""COMPUTED_VALUE"""),479.984)</f>
        <v>479.984</v>
      </c>
      <c r="G297" s="11">
        <f>IFERROR(__xludf.DUMMYFUNCTION("""COMPUTED_VALUE"""),2.0)</f>
        <v>2</v>
      </c>
      <c r="H297" s="11">
        <f>IFERROR(__xludf.DUMMYFUNCTION("""COMPUTED_VALUE"""),89.997)</f>
        <v>89.997</v>
      </c>
    </row>
    <row r="298">
      <c r="A298" s="8" t="str">
        <f>IFERROR(__xludf.DUMMYFUNCTION("""COMPUTED_VALUE"""),"CA-2014-124646")</f>
        <v>CA-2014-124646</v>
      </c>
      <c r="B298" s="9">
        <f>IFERROR(__xludf.DUMMYFUNCTION("""COMPUTED_VALUE"""),41812.0)</f>
        <v>41812</v>
      </c>
      <c r="C298" s="8" t="str">
        <f>IFERROR(__xludf.DUMMYFUNCTION("""COMPUTED_VALUE"""),"Consumer")</f>
        <v>Consumer</v>
      </c>
      <c r="D298" s="8" t="str">
        <f>IFERROR(__xludf.DUMMYFUNCTION("""COMPUTED_VALUE"""),"Minnesota")</f>
        <v>Minnesota</v>
      </c>
      <c r="E298" s="8" t="str">
        <f>IFERROR(__xludf.DUMMYFUNCTION("""COMPUTED_VALUE"""),"Central")</f>
        <v>Central</v>
      </c>
      <c r="F298" s="10">
        <f>IFERROR(__xludf.DUMMYFUNCTION("""COMPUTED_VALUE"""),501.81)</f>
        <v>501.81</v>
      </c>
      <c r="G298" s="11">
        <f>IFERROR(__xludf.DUMMYFUNCTION("""COMPUTED_VALUE"""),3.0)</f>
        <v>3</v>
      </c>
      <c r="H298" s="11">
        <f>IFERROR(__xludf.DUMMYFUNCTION("""COMPUTED_VALUE"""),0.0)</f>
        <v>0</v>
      </c>
    </row>
    <row r="299">
      <c r="A299" s="8" t="str">
        <f>IFERROR(__xludf.DUMMYFUNCTION("""COMPUTED_VALUE"""),"CA-2014-124688")</f>
        <v>CA-2014-124688</v>
      </c>
      <c r="B299" s="9">
        <f>IFERROR(__xludf.DUMMYFUNCTION("""COMPUTED_VALUE"""),41878.0)</f>
        <v>41878</v>
      </c>
      <c r="C299" s="8" t="str">
        <f>IFERROR(__xludf.DUMMYFUNCTION("""COMPUTED_VALUE"""),"Corporate")</f>
        <v>Corporate</v>
      </c>
      <c r="D299" s="8" t="str">
        <f>IFERROR(__xludf.DUMMYFUNCTION("""COMPUTED_VALUE"""),"Virginia")</f>
        <v>Virginia</v>
      </c>
      <c r="E299" s="8" t="str">
        <f>IFERROR(__xludf.DUMMYFUNCTION("""COMPUTED_VALUE"""),"South")</f>
        <v>South</v>
      </c>
      <c r="F299" s="10">
        <f>IFERROR(__xludf.DUMMYFUNCTION("""COMPUTED_VALUE"""),579.95)</f>
        <v>579.95</v>
      </c>
      <c r="G299" s="11">
        <f>IFERROR(__xludf.DUMMYFUNCTION("""COMPUTED_VALUE"""),5.0)</f>
        <v>5</v>
      </c>
      <c r="H299" s="11">
        <f>IFERROR(__xludf.DUMMYFUNCTION("""COMPUTED_VALUE"""),168.1855)</f>
        <v>168.1855</v>
      </c>
    </row>
    <row r="300">
      <c r="A300" s="8" t="str">
        <f>IFERROR(__xludf.DUMMYFUNCTION("""COMPUTED_VALUE"""),"CA-2014-124702")</f>
        <v>CA-2014-124702</v>
      </c>
      <c r="B300" s="9">
        <f>IFERROR(__xludf.DUMMYFUNCTION("""COMPUTED_VALUE"""),41961.0)</f>
        <v>41961</v>
      </c>
      <c r="C300" s="8" t="str">
        <f>IFERROR(__xludf.DUMMYFUNCTION("""COMPUTED_VALUE"""),"Corporate")</f>
        <v>Corporate</v>
      </c>
      <c r="D300" s="8" t="str">
        <f>IFERROR(__xludf.DUMMYFUNCTION("""COMPUTED_VALUE"""),"Washington")</f>
        <v>Washington</v>
      </c>
      <c r="E300" s="8" t="str">
        <f>IFERROR(__xludf.DUMMYFUNCTION("""COMPUTED_VALUE"""),"West")</f>
        <v>West</v>
      </c>
      <c r="F300" s="10">
        <f>IFERROR(__xludf.DUMMYFUNCTION("""COMPUTED_VALUE"""),137.54)</f>
        <v>137.54</v>
      </c>
      <c r="G300" s="11">
        <f>IFERROR(__xludf.DUMMYFUNCTION("""COMPUTED_VALUE"""),2.0)</f>
        <v>2</v>
      </c>
      <c r="H300" s="11">
        <f>IFERROR(__xludf.DUMMYFUNCTION("""COMPUTED_VALUE"""),55.016)</f>
        <v>55.016</v>
      </c>
    </row>
    <row r="301">
      <c r="A301" s="8" t="str">
        <f>IFERROR(__xludf.DUMMYFUNCTION("""COMPUTED_VALUE"""),"CA-2014-124709")</f>
        <v>CA-2014-124709</v>
      </c>
      <c r="B301" s="9">
        <f>IFERROR(__xludf.DUMMYFUNCTION("""COMPUTED_VALUE"""),41847.0)</f>
        <v>41847</v>
      </c>
      <c r="C301" s="8" t="str">
        <f>IFERROR(__xludf.DUMMYFUNCTION("""COMPUTED_VALUE"""),"Consumer")</f>
        <v>Consumer</v>
      </c>
      <c r="D301" s="8" t="str">
        <f>IFERROR(__xludf.DUMMYFUNCTION("""COMPUTED_VALUE"""),"California")</f>
        <v>California</v>
      </c>
      <c r="E301" s="8" t="str">
        <f>IFERROR(__xludf.DUMMYFUNCTION("""COMPUTED_VALUE"""),"West")</f>
        <v>West</v>
      </c>
      <c r="F301" s="10">
        <f>IFERROR(__xludf.DUMMYFUNCTION("""COMPUTED_VALUE"""),238.0)</f>
        <v>238</v>
      </c>
      <c r="G301" s="11">
        <f>IFERROR(__xludf.DUMMYFUNCTION("""COMPUTED_VALUE"""),2.0)</f>
        <v>2</v>
      </c>
      <c r="H301" s="11">
        <f>IFERROR(__xludf.DUMMYFUNCTION("""COMPUTED_VALUE"""),38.08)</f>
        <v>38.08</v>
      </c>
    </row>
    <row r="302">
      <c r="A302" s="8" t="str">
        <f>IFERROR(__xludf.DUMMYFUNCTION("""COMPUTED_VALUE"""),"CA-2014-124723")</f>
        <v>CA-2014-124723</v>
      </c>
      <c r="B302" s="9">
        <f>IFERROR(__xludf.DUMMYFUNCTION("""COMPUTED_VALUE"""),41856.0)</f>
        <v>41856</v>
      </c>
      <c r="C302" s="8" t="str">
        <f>IFERROR(__xludf.DUMMYFUNCTION("""COMPUTED_VALUE"""),"Consumer")</f>
        <v>Consumer</v>
      </c>
      <c r="D302" s="8" t="str">
        <f>IFERROR(__xludf.DUMMYFUNCTION("""COMPUTED_VALUE"""),"Texas")</f>
        <v>Texas</v>
      </c>
      <c r="E302" s="8" t="str">
        <f>IFERROR(__xludf.DUMMYFUNCTION("""COMPUTED_VALUE"""),"Central")</f>
        <v>Central</v>
      </c>
      <c r="F302" s="10">
        <f>IFERROR(__xludf.DUMMYFUNCTION("""COMPUTED_VALUE"""),489.23)</f>
        <v>489.23</v>
      </c>
      <c r="G302" s="11">
        <f>IFERROR(__xludf.DUMMYFUNCTION("""COMPUTED_VALUE"""),2.0)</f>
        <v>2</v>
      </c>
      <c r="H302" s="11">
        <f>IFERROR(__xludf.DUMMYFUNCTION("""COMPUTED_VALUE"""),41.934)</f>
        <v>41.934</v>
      </c>
    </row>
    <row r="303">
      <c r="A303" s="8" t="str">
        <f>IFERROR(__xludf.DUMMYFUNCTION("""COMPUTED_VALUE"""),"CA-2014-124730")</f>
        <v>CA-2014-124730</v>
      </c>
      <c r="B303" s="9">
        <f>IFERROR(__xludf.DUMMYFUNCTION("""COMPUTED_VALUE"""),41969.0)</f>
        <v>41969</v>
      </c>
      <c r="C303" s="8" t="str">
        <f>IFERROR(__xludf.DUMMYFUNCTION("""COMPUTED_VALUE"""),"Consumer")</f>
        <v>Consumer</v>
      </c>
      <c r="D303" s="8" t="str">
        <f>IFERROR(__xludf.DUMMYFUNCTION("""COMPUTED_VALUE"""),"New York")</f>
        <v>New York</v>
      </c>
      <c r="E303" s="8" t="str">
        <f>IFERROR(__xludf.DUMMYFUNCTION("""COMPUTED_VALUE"""),"East")</f>
        <v>East</v>
      </c>
      <c r="F303" s="10">
        <f>IFERROR(__xludf.DUMMYFUNCTION("""COMPUTED_VALUE"""),279.96)</f>
        <v>279.96</v>
      </c>
      <c r="G303" s="11">
        <f>IFERROR(__xludf.DUMMYFUNCTION("""COMPUTED_VALUE"""),4.0)</f>
        <v>4</v>
      </c>
      <c r="H303" s="11">
        <f>IFERROR(__xludf.DUMMYFUNCTION("""COMPUTED_VALUE"""),78.3888)</f>
        <v>78.3888</v>
      </c>
    </row>
    <row r="304">
      <c r="A304" s="8" t="str">
        <f>IFERROR(__xludf.DUMMYFUNCTION("""COMPUTED_VALUE"""),"CA-2014-124737")</f>
        <v>CA-2014-124737</v>
      </c>
      <c r="B304" s="9">
        <f>IFERROR(__xludf.DUMMYFUNCTION("""COMPUTED_VALUE"""),41874.0)</f>
        <v>41874</v>
      </c>
      <c r="C304" s="8" t="str">
        <f>IFERROR(__xludf.DUMMYFUNCTION("""COMPUTED_VALUE"""),"Consumer")</f>
        <v>Consumer</v>
      </c>
      <c r="D304" s="8" t="str">
        <f>IFERROR(__xludf.DUMMYFUNCTION("""COMPUTED_VALUE"""),"Colorado")</f>
        <v>Colorado</v>
      </c>
      <c r="E304" s="8" t="str">
        <f>IFERROR(__xludf.DUMMYFUNCTION("""COMPUTED_VALUE"""),"West")</f>
        <v>West</v>
      </c>
      <c r="F304" s="10">
        <f>IFERROR(__xludf.DUMMYFUNCTION("""COMPUTED_VALUE"""),15.552)</f>
        <v>15.552</v>
      </c>
      <c r="G304" s="11">
        <f>IFERROR(__xludf.DUMMYFUNCTION("""COMPUTED_VALUE"""),3.0)</f>
        <v>3</v>
      </c>
      <c r="H304" s="11">
        <f>IFERROR(__xludf.DUMMYFUNCTION("""COMPUTED_VALUE"""),5.4432)</f>
        <v>5.4432</v>
      </c>
    </row>
    <row r="305">
      <c r="A305" s="8" t="str">
        <f>IFERROR(__xludf.DUMMYFUNCTION("""COMPUTED_VALUE"""),"CA-2014-124807")</f>
        <v>CA-2014-124807</v>
      </c>
      <c r="B305" s="9">
        <f>IFERROR(__xludf.DUMMYFUNCTION("""COMPUTED_VALUE"""),41832.0)</f>
        <v>41832</v>
      </c>
      <c r="C305" s="8" t="str">
        <f>IFERROR(__xludf.DUMMYFUNCTION("""COMPUTED_VALUE"""),"Consumer")</f>
        <v>Consumer</v>
      </c>
      <c r="D305" s="8" t="str">
        <f>IFERROR(__xludf.DUMMYFUNCTION("""COMPUTED_VALUE"""),"Illinois")</f>
        <v>Illinois</v>
      </c>
      <c r="E305" s="8" t="str">
        <f>IFERROR(__xludf.DUMMYFUNCTION("""COMPUTED_VALUE"""),"Central")</f>
        <v>Central</v>
      </c>
      <c r="F305" s="10">
        <f>IFERROR(__xludf.DUMMYFUNCTION("""COMPUTED_VALUE"""),35.856)</f>
        <v>35.856</v>
      </c>
      <c r="G305" s="11">
        <f>IFERROR(__xludf.DUMMYFUNCTION("""COMPUTED_VALUE"""),9.0)</f>
        <v>9</v>
      </c>
      <c r="H305" s="11">
        <f>IFERROR(__xludf.DUMMYFUNCTION("""COMPUTED_VALUE"""),12.9978)</f>
        <v>12.9978</v>
      </c>
    </row>
    <row r="306">
      <c r="A306" s="8" t="str">
        <f>IFERROR(__xludf.DUMMYFUNCTION("""COMPUTED_VALUE"""),"CA-2014-124856")</f>
        <v>CA-2014-124856</v>
      </c>
      <c r="B306" s="9">
        <f>IFERROR(__xludf.DUMMYFUNCTION("""COMPUTED_VALUE"""),41911.0)</f>
        <v>41911</v>
      </c>
      <c r="C306" s="8" t="str">
        <f>IFERROR(__xludf.DUMMYFUNCTION("""COMPUTED_VALUE"""),"Consumer")</f>
        <v>Consumer</v>
      </c>
      <c r="D306" s="8" t="str">
        <f>IFERROR(__xludf.DUMMYFUNCTION("""COMPUTED_VALUE"""),"New York")</f>
        <v>New York</v>
      </c>
      <c r="E306" s="8" t="str">
        <f>IFERROR(__xludf.DUMMYFUNCTION("""COMPUTED_VALUE"""),"East")</f>
        <v>East</v>
      </c>
      <c r="F306" s="10">
        <f>IFERROR(__xludf.DUMMYFUNCTION("""COMPUTED_VALUE"""),1395.54)</f>
        <v>1395.54</v>
      </c>
      <c r="G306" s="11">
        <f>IFERROR(__xludf.DUMMYFUNCTION("""COMPUTED_VALUE"""),9.0)</f>
        <v>9</v>
      </c>
      <c r="H306" s="11">
        <f>IFERROR(__xludf.DUMMYFUNCTION("""COMPUTED_VALUE"""),362.8404)</f>
        <v>362.8404</v>
      </c>
    </row>
    <row r="307">
      <c r="A307" s="8" t="str">
        <f>IFERROR(__xludf.DUMMYFUNCTION("""COMPUTED_VALUE"""),"CA-2014-125136")</f>
        <v>CA-2014-125136</v>
      </c>
      <c r="B307" s="9">
        <f>IFERROR(__xludf.DUMMYFUNCTION("""COMPUTED_VALUE"""),41910.0)</f>
        <v>41910</v>
      </c>
      <c r="C307" s="8" t="str">
        <f>IFERROR(__xludf.DUMMYFUNCTION("""COMPUTED_VALUE"""),"Corporate")</f>
        <v>Corporate</v>
      </c>
      <c r="D307" s="8" t="str">
        <f>IFERROR(__xludf.DUMMYFUNCTION("""COMPUTED_VALUE"""),"North Carolina")</f>
        <v>North Carolina</v>
      </c>
      <c r="E307" s="8" t="str">
        <f>IFERROR(__xludf.DUMMYFUNCTION("""COMPUTED_VALUE"""),"South")</f>
        <v>South</v>
      </c>
      <c r="F307" s="10">
        <f>IFERROR(__xludf.DUMMYFUNCTION("""COMPUTED_VALUE"""),96.256)</f>
        <v>96.256</v>
      </c>
      <c r="G307" s="11">
        <f>IFERROR(__xludf.DUMMYFUNCTION("""COMPUTED_VALUE"""),8.0)</f>
        <v>8</v>
      </c>
      <c r="H307" s="11">
        <f>IFERROR(__xludf.DUMMYFUNCTION("""COMPUTED_VALUE"""),31.2832)</f>
        <v>31.2832</v>
      </c>
    </row>
    <row r="308">
      <c r="A308" s="8" t="str">
        <f>IFERROR(__xludf.DUMMYFUNCTION("""COMPUTED_VALUE"""),"CA-2014-125150")</f>
        <v>CA-2014-125150</v>
      </c>
      <c r="B308" s="9">
        <f>IFERROR(__xludf.DUMMYFUNCTION("""COMPUTED_VALUE"""),41775.0)</f>
        <v>41775</v>
      </c>
      <c r="C308" s="8" t="str">
        <f>IFERROR(__xludf.DUMMYFUNCTION("""COMPUTED_VALUE"""),"Corporate")</f>
        <v>Corporate</v>
      </c>
      <c r="D308" s="8" t="str">
        <f>IFERROR(__xludf.DUMMYFUNCTION("""COMPUTED_VALUE"""),"California")</f>
        <v>California</v>
      </c>
      <c r="E308" s="8" t="str">
        <f>IFERROR(__xludf.DUMMYFUNCTION("""COMPUTED_VALUE"""),"West")</f>
        <v>West</v>
      </c>
      <c r="F308" s="10">
        <f>IFERROR(__xludf.DUMMYFUNCTION("""COMPUTED_VALUE"""),232.88)</f>
        <v>232.88</v>
      </c>
      <c r="G308" s="11">
        <f>IFERROR(__xludf.DUMMYFUNCTION("""COMPUTED_VALUE"""),5.0)</f>
        <v>5</v>
      </c>
      <c r="H308" s="11">
        <f>IFERROR(__xludf.DUMMYFUNCTION("""COMPUTED_VALUE"""),17.466)</f>
        <v>17.466</v>
      </c>
    </row>
    <row r="309">
      <c r="A309" s="8" t="str">
        <f>IFERROR(__xludf.DUMMYFUNCTION("""COMPUTED_VALUE"""),"CA-2014-125171")</f>
        <v>CA-2014-125171</v>
      </c>
      <c r="B309" s="9">
        <f>IFERROR(__xludf.DUMMYFUNCTION("""COMPUTED_VALUE"""),41885.0)</f>
        <v>41885</v>
      </c>
      <c r="C309" s="8" t="str">
        <f>IFERROR(__xludf.DUMMYFUNCTION("""COMPUTED_VALUE"""),"Consumer")</f>
        <v>Consumer</v>
      </c>
      <c r="D309" s="8" t="str">
        <f>IFERROR(__xludf.DUMMYFUNCTION("""COMPUTED_VALUE"""),"New York")</f>
        <v>New York</v>
      </c>
      <c r="E309" s="8" t="str">
        <f>IFERROR(__xludf.DUMMYFUNCTION("""COMPUTED_VALUE"""),"East")</f>
        <v>East</v>
      </c>
      <c r="F309" s="10">
        <f>IFERROR(__xludf.DUMMYFUNCTION("""COMPUTED_VALUE"""),14.4)</f>
        <v>14.4</v>
      </c>
      <c r="G309" s="11">
        <f>IFERROR(__xludf.DUMMYFUNCTION("""COMPUTED_VALUE"""),5.0)</f>
        <v>5</v>
      </c>
      <c r="H309" s="11">
        <f>IFERROR(__xludf.DUMMYFUNCTION("""COMPUTED_VALUE"""),7.056)</f>
        <v>7.056</v>
      </c>
    </row>
    <row r="310">
      <c r="A310" s="8" t="str">
        <f>IFERROR(__xludf.DUMMYFUNCTION("""COMPUTED_VALUE"""),"CA-2014-125514")</f>
        <v>CA-2014-125514</v>
      </c>
      <c r="B310" s="9">
        <f>IFERROR(__xludf.DUMMYFUNCTION("""COMPUTED_VALUE"""),41903.0)</f>
        <v>41903</v>
      </c>
      <c r="C310" s="8" t="str">
        <f>IFERROR(__xludf.DUMMYFUNCTION("""COMPUTED_VALUE"""),"Corporate")</f>
        <v>Corporate</v>
      </c>
      <c r="D310" s="8" t="str">
        <f>IFERROR(__xludf.DUMMYFUNCTION("""COMPUTED_VALUE"""),"Nebraska")</f>
        <v>Nebraska</v>
      </c>
      <c r="E310" s="8" t="str">
        <f>IFERROR(__xludf.DUMMYFUNCTION("""COMPUTED_VALUE"""),"Central")</f>
        <v>Central</v>
      </c>
      <c r="F310" s="10">
        <f>IFERROR(__xludf.DUMMYFUNCTION("""COMPUTED_VALUE"""),25.96)</f>
        <v>25.96</v>
      </c>
      <c r="G310" s="11">
        <f>IFERROR(__xludf.DUMMYFUNCTION("""COMPUTED_VALUE"""),2.0)</f>
        <v>2</v>
      </c>
      <c r="H310" s="11">
        <f>IFERROR(__xludf.DUMMYFUNCTION("""COMPUTED_VALUE"""),7.5284)</f>
        <v>7.5284</v>
      </c>
    </row>
    <row r="311">
      <c r="A311" s="8" t="str">
        <f>IFERROR(__xludf.DUMMYFUNCTION("""COMPUTED_VALUE"""),"CA-2014-125542")</f>
        <v>CA-2014-125542</v>
      </c>
      <c r="B311" s="9">
        <f>IFERROR(__xludf.DUMMYFUNCTION("""COMPUTED_VALUE"""),41978.0)</f>
        <v>41978</v>
      </c>
      <c r="C311" s="8" t="str">
        <f>IFERROR(__xludf.DUMMYFUNCTION("""COMPUTED_VALUE"""),"Corporate")</f>
        <v>Corporate</v>
      </c>
      <c r="D311" s="8" t="str">
        <f>IFERROR(__xludf.DUMMYFUNCTION("""COMPUTED_VALUE"""),"Pennsylvania")</f>
        <v>Pennsylvania</v>
      </c>
      <c r="E311" s="8" t="str">
        <f>IFERROR(__xludf.DUMMYFUNCTION("""COMPUTED_VALUE"""),"East")</f>
        <v>East</v>
      </c>
      <c r="F311" s="10">
        <f>IFERROR(__xludf.DUMMYFUNCTION("""COMPUTED_VALUE"""),348.488)</f>
        <v>348.488</v>
      </c>
      <c r="G311" s="11">
        <f>IFERROR(__xludf.DUMMYFUNCTION("""COMPUTED_VALUE"""),7.0)</f>
        <v>7</v>
      </c>
      <c r="H311" s="11">
        <f>IFERROR(__xludf.DUMMYFUNCTION("""COMPUTED_VALUE"""),117.6147)</f>
        <v>117.6147</v>
      </c>
    </row>
    <row r="312">
      <c r="A312" s="8" t="str">
        <f>IFERROR(__xludf.DUMMYFUNCTION("""COMPUTED_VALUE"""),"CA-2014-125556")</f>
        <v>CA-2014-125556</v>
      </c>
      <c r="B312" s="9">
        <f>IFERROR(__xludf.DUMMYFUNCTION("""COMPUTED_VALUE"""),41957.0)</f>
        <v>41957</v>
      </c>
      <c r="C312" s="8" t="str">
        <f>IFERROR(__xludf.DUMMYFUNCTION("""COMPUTED_VALUE"""),"Consumer")</f>
        <v>Consumer</v>
      </c>
      <c r="D312" s="8" t="str">
        <f>IFERROR(__xludf.DUMMYFUNCTION("""COMPUTED_VALUE"""),"Connecticut")</f>
        <v>Connecticut</v>
      </c>
      <c r="E312" s="8" t="str">
        <f>IFERROR(__xludf.DUMMYFUNCTION("""COMPUTED_VALUE"""),"East")</f>
        <v>East</v>
      </c>
      <c r="F312" s="10">
        <f>IFERROR(__xludf.DUMMYFUNCTION("""COMPUTED_VALUE"""),832.93)</f>
        <v>832.93</v>
      </c>
      <c r="G312" s="11">
        <f>IFERROR(__xludf.DUMMYFUNCTION("""COMPUTED_VALUE"""),7.0)</f>
        <v>7</v>
      </c>
      <c r="H312" s="11">
        <f>IFERROR(__xludf.DUMMYFUNCTION("""COMPUTED_VALUE"""),233.2204)</f>
        <v>233.2204</v>
      </c>
    </row>
    <row r="313">
      <c r="A313" s="8" t="str">
        <f>IFERROR(__xludf.DUMMYFUNCTION("""COMPUTED_VALUE"""),"CA-2014-125612")</f>
        <v>CA-2014-125612</v>
      </c>
      <c r="B313" s="9">
        <f>IFERROR(__xludf.DUMMYFUNCTION("""COMPUTED_VALUE"""),41854.0)</f>
        <v>41854</v>
      </c>
      <c r="C313" s="8" t="str">
        <f>IFERROR(__xludf.DUMMYFUNCTION("""COMPUTED_VALUE"""),"Consumer")</f>
        <v>Consumer</v>
      </c>
      <c r="D313" s="8" t="str">
        <f>IFERROR(__xludf.DUMMYFUNCTION("""COMPUTED_VALUE"""),"New York")</f>
        <v>New York</v>
      </c>
      <c r="E313" s="8" t="str">
        <f>IFERROR(__xludf.DUMMYFUNCTION("""COMPUTED_VALUE"""),"East")</f>
        <v>East</v>
      </c>
      <c r="F313" s="10">
        <f>IFERROR(__xludf.DUMMYFUNCTION("""COMPUTED_VALUE"""),39.96)</f>
        <v>39.96</v>
      </c>
      <c r="G313" s="11">
        <f>IFERROR(__xludf.DUMMYFUNCTION("""COMPUTED_VALUE"""),2.0)</f>
        <v>2</v>
      </c>
      <c r="H313" s="11">
        <f>IFERROR(__xludf.DUMMYFUNCTION("""COMPUTED_VALUE"""),18.7812)</f>
        <v>18.7812</v>
      </c>
    </row>
    <row r="314">
      <c r="A314" s="8" t="str">
        <f>IFERROR(__xludf.DUMMYFUNCTION("""COMPUTED_VALUE"""),"CA-2014-125682")</f>
        <v>CA-2014-125682</v>
      </c>
      <c r="B314" s="9">
        <f>IFERROR(__xludf.DUMMYFUNCTION("""COMPUTED_VALUE"""),41965.0)</f>
        <v>41965</v>
      </c>
      <c r="C314" s="8" t="str">
        <f>IFERROR(__xludf.DUMMYFUNCTION("""COMPUTED_VALUE"""),"Corporate")</f>
        <v>Corporate</v>
      </c>
      <c r="D314" s="8" t="str">
        <f>IFERROR(__xludf.DUMMYFUNCTION("""COMPUTED_VALUE"""),"Georgia")</f>
        <v>Georgia</v>
      </c>
      <c r="E314" s="8" t="str">
        <f>IFERROR(__xludf.DUMMYFUNCTION("""COMPUTED_VALUE"""),"South")</f>
        <v>South</v>
      </c>
      <c r="F314" s="10">
        <f>IFERROR(__xludf.DUMMYFUNCTION("""COMPUTED_VALUE"""),9.96)</f>
        <v>9.96</v>
      </c>
      <c r="G314" s="11">
        <f>IFERROR(__xludf.DUMMYFUNCTION("""COMPUTED_VALUE"""),2.0)</f>
        <v>2</v>
      </c>
      <c r="H314" s="11">
        <f>IFERROR(__xludf.DUMMYFUNCTION("""COMPUTED_VALUE"""),4.8804)</f>
        <v>4.8804</v>
      </c>
    </row>
    <row r="315">
      <c r="A315" s="8" t="str">
        <f>IFERROR(__xludf.DUMMYFUNCTION("""COMPUTED_VALUE"""),"CA-2014-125731")</f>
        <v>CA-2014-125731</v>
      </c>
      <c r="B315" s="9">
        <f>IFERROR(__xludf.DUMMYFUNCTION("""COMPUTED_VALUE"""),41892.0)</f>
        <v>41892</v>
      </c>
      <c r="C315" s="8" t="str">
        <f>IFERROR(__xludf.DUMMYFUNCTION("""COMPUTED_VALUE"""),"Consumer")</f>
        <v>Consumer</v>
      </c>
      <c r="D315" s="8" t="str">
        <f>IFERROR(__xludf.DUMMYFUNCTION("""COMPUTED_VALUE"""),"Oregon")</f>
        <v>Oregon</v>
      </c>
      <c r="E315" s="8" t="str">
        <f>IFERROR(__xludf.DUMMYFUNCTION("""COMPUTED_VALUE"""),"West")</f>
        <v>West</v>
      </c>
      <c r="F315" s="10">
        <f>IFERROR(__xludf.DUMMYFUNCTION("""COMPUTED_VALUE"""),21.728)</f>
        <v>21.728</v>
      </c>
      <c r="G315" s="11">
        <f>IFERROR(__xludf.DUMMYFUNCTION("""COMPUTED_VALUE"""),7.0)</f>
        <v>7</v>
      </c>
      <c r="H315" s="11">
        <f>IFERROR(__xludf.DUMMYFUNCTION("""COMPUTED_VALUE"""),7.6048)</f>
        <v>7.6048</v>
      </c>
    </row>
    <row r="316">
      <c r="A316" s="8" t="str">
        <f>IFERROR(__xludf.DUMMYFUNCTION("""COMPUTED_VALUE"""),"CA-2014-125759")</f>
        <v>CA-2014-125759</v>
      </c>
      <c r="B316" s="9">
        <f>IFERROR(__xludf.DUMMYFUNCTION("""COMPUTED_VALUE"""),41678.0)</f>
        <v>41678</v>
      </c>
      <c r="C316" s="8" t="str">
        <f>IFERROR(__xludf.DUMMYFUNCTION("""COMPUTED_VALUE"""),"Home Office")</f>
        <v>Home Office</v>
      </c>
      <c r="D316" s="8" t="str">
        <f>IFERROR(__xludf.DUMMYFUNCTION("""COMPUTED_VALUE"""),"Nevada")</f>
        <v>Nevada</v>
      </c>
      <c r="E316" s="8" t="str">
        <f>IFERROR(__xludf.DUMMYFUNCTION("""COMPUTED_VALUE"""),"West")</f>
        <v>West</v>
      </c>
      <c r="F316" s="10">
        <f>IFERROR(__xludf.DUMMYFUNCTION("""COMPUTED_VALUE"""),14.56)</f>
        <v>14.56</v>
      </c>
      <c r="G316" s="11">
        <f>IFERROR(__xludf.DUMMYFUNCTION("""COMPUTED_VALUE"""),2.0)</f>
        <v>2</v>
      </c>
      <c r="H316" s="11">
        <f>IFERROR(__xludf.DUMMYFUNCTION("""COMPUTED_VALUE"""),5.5328)</f>
        <v>5.5328</v>
      </c>
    </row>
    <row r="317">
      <c r="A317" s="8" t="str">
        <f>IFERROR(__xludf.DUMMYFUNCTION("""COMPUTED_VALUE"""),"CA-2014-125829")</f>
        <v>CA-2014-125829</v>
      </c>
      <c r="B317" s="9">
        <f>IFERROR(__xludf.DUMMYFUNCTION("""COMPUTED_VALUE"""),41947.0)</f>
        <v>41947</v>
      </c>
      <c r="C317" s="8" t="str">
        <f>IFERROR(__xludf.DUMMYFUNCTION("""COMPUTED_VALUE"""),"Consumer")</f>
        <v>Consumer</v>
      </c>
      <c r="D317" s="8" t="str">
        <f>IFERROR(__xludf.DUMMYFUNCTION("""COMPUTED_VALUE"""),"California")</f>
        <v>California</v>
      </c>
      <c r="E317" s="8" t="str">
        <f>IFERROR(__xludf.DUMMYFUNCTION("""COMPUTED_VALUE"""),"West")</f>
        <v>West</v>
      </c>
      <c r="F317" s="10">
        <f>IFERROR(__xludf.DUMMYFUNCTION("""COMPUTED_VALUE"""),666.344)</f>
        <v>666.344</v>
      </c>
      <c r="G317" s="11">
        <f>IFERROR(__xludf.DUMMYFUNCTION("""COMPUTED_VALUE"""),7.0)</f>
        <v>7</v>
      </c>
      <c r="H317" s="11">
        <f>IFERROR(__xludf.DUMMYFUNCTION("""COMPUTED_VALUE"""),66.6344)</f>
        <v>66.6344</v>
      </c>
    </row>
    <row r="318">
      <c r="A318" s="8" t="str">
        <f>IFERROR(__xludf.DUMMYFUNCTION("""COMPUTED_VALUE"""),"CA-2014-125997")</f>
        <v>CA-2014-125997</v>
      </c>
      <c r="B318" s="9">
        <f>IFERROR(__xludf.DUMMYFUNCTION("""COMPUTED_VALUE"""),41902.0)</f>
        <v>41902</v>
      </c>
      <c r="C318" s="8" t="str">
        <f>IFERROR(__xludf.DUMMYFUNCTION("""COMPUTED_VALUE"""),"Consumer")</f>
        <v>Consumer</v>
      </c>
      <c r="D318" s="8" t="str">
        <f>IFERROR(__xludf.DUMMYFUNCTION("""COMPUTED_VALUE"""),"New York")</f>
        <v>New York</v>
      </c>
      <c r="E318" s="8" t="str">
        <f>IFERROR(__xludf.DUMMYFUNCTION("""COMPUTED_VALUE"""),"East")</f>
        <v>East</v>
      </c>
      <c r="F318" s="10">
        <f>IFERROR(__xludf.DUMMYFUNCTION("""COMPUTED_VALUE"""),629.95)</f>
        <v>629.95</v>
      </c>
      <c r="G318" s="11">
        <f>IFERROR(__xludf.DUMMYFUNCTION("""COMPUTED_VALUE"""),5.0)</f>
        <v>5</v>
      </c>
      <c r="H318" s="11">
        <f>IFERROR(__xludf.DUMMYFUNCTION("""COMPUTED_VALUE"""),157.4875)</f>
        <v>157.4875</v>
      </c>
    </row>
    <row r="319">
      <c r="A319" s="8" t="str">
        <f>IFERROR(__xludf.DUMMYFUNCTION("""COMPUTED_VALUE"""),"CA-2014-126032")</f>
        <v>CA-2014-126032</v>
      </c>
      <c r="B319" s="9">
        <f>IFERROR(__xludf.DUMMYFUNCTION("""COMPUTED_VALUE"""),41813.0)</f>
        <v>41813</v>
      </c>
      <c r="C319" s="8" t="str">
        <f>IFERROR(__xludf.DUMMYFUNCTION("""COMPUTED_VALUE"""),"Consumer")</f>
        <v>Consumer</v>
      </c>
      <c r="D319" s="8" t="str">
        <f>IFERROR(__xludf.DUMMYFUNCTION("""COMPUTED_VALUE"""),"Pennsylvania")</f>
        <v>Pennsylvania</v>
      </c>
      <c r="E319" s="8" t="str">
        <f>IFERROR(__xludf.DUMMYFUNCTION("""COMPUTED_VALUE"""),"East")</f>
        <v>East</v>
      </c>
      <c r="F319" s="10">
        <f>IFERROR(__xludf.DUMMYFUNCTION("""COMPUTED_VALUE"""),86.376)</f>
        <v>86.376</v>
      </c>
      <c r="G319" s="11">
        <f>IFERROR(__xludf.DUMMYFUNCTION("""COMPUTED_VALUE"""),3.0)</f>
        <v>3</v>
      </c>
      <c r="H319" s="11">
        <f>IFERROR(__xludf.DUMMYFUNCTION("""COMPUTED_VALUE"""),1.0797)</f>
        <v>1.0797</v>
      </c>
    </row>
    <row r="320">
      <c r="A320" s="8" t="str">
        <f>IFERROR(__xludf.DUMMYFUNCTION("""COMPUTED_VALUE"""),"CA-2014-126193")</f>
        <v>CA-2014-126193</v>
      </c>
      <c r="B320" s="9">
        <f>IFERROR(__xludf.DUMMYFUNCTION("""COMPUTED_VALUE"""),41889.0)</f>
        <v>41889</v>
      </c>
      <c r="C320" s="8" t="str">
        <f>IFERROR(__xludf.DUMMYFUNCTION("""COMPUTED_VALUE"""),"Consumer")</f>
        <v>Consumer</v>
      </c>
      <c r="D320" s="8" t="str">
        <f>IFERROR(__xludf.DUMMYFUNCTION("""COMPUTED_VALUE"""),"Illinois")</f>
        <v>Illinois</v>
      </c>
      <c r="E320" s="8" t="str">
        <f>IFERROR(__xludf.DUMMYFUNCTION("""COMPUTED_VALUE"""),"Central")</f>
        <v>Central</v>
      </c>
      <c r="F320" s="10">
        <f>IFERROR(__xludf.DUMMYFUNCTION("""COMPUTED_VALUE"""),13.16)</f>
        <v>13.16</v>
      </c>
      <c r="G320" s="11">
        <f>IFERROR(__xludf.DUMMYFUNCTION("""COMPUTED_VALUE"""),5.0)</f>
        <v>5</v>
      </c>
      <c r="H320" s="11">
        <f>IFERROR(__xludf.DUMMYFUNCTION("""COMPUTED_VALUE"""),4.1125)</f>
        <v>4.1125</v>
      </c>
    </row>
    <row r="321">
      <c r="A321" s="8" t="str">
        <f>IFERROR(__xludf.DUMMYFUNCTION("""COMPUTED_VALUE"""),"CA-2014-126200")</f>
        <v>CA-2014-126200</v>
      </c>
      <c r="B321" s="9">
        <f>IFERROR(__xludf.DUMMYFUNCTION("""COMPUTED_VALUE"""),41876.0)</f>
        <v>41876</v>
      </c>
      <c r="C321" s="8" t="str">
        <f>IFERROR(__xludf.DUMMYFUNCTION("""COMPUTED_VALUE"""),"Consumer")</f>
        <v>Consumer</v>
      </c>
      <c r="D321" s="8" t="str">
        <f>IFERROR(__xludf.DUMMYFUNCTION("""COMPUTED_VALUE"""),"Texas")</f>
        <v>Texas</v>
      </c>
      <c r="E321" s="8" t="str">
        <f>IFERROR(__xludf.DUMMYFUNCTION("""COMPUTED_VALUE"""),"Central")</f>
        <v>Central</v>
      </c>
      <c r="F321" s="10">
        <f>IFERROR(__xludf.DUMMYFUNCTION("""COMPUTED_VALUE"""),25.68)</f>
        <v>25.68</v>
      </c>
      <c r="G321" s="11">
        <f>IFERROR(__xludf.DUMMYFUNCTION("""COMPUTED_VALUE"""),3.0)</f>
        <v>3</v>
      </c>
      <c r="H321" s="11">
        <f>IFERROR(__xludf.DUMMYFUNCTION("""COMPUTED_VALUE"""),-39.804)</f>
        <v>-39.804</v>
      </c>
    </row>
    <row r="322">
      <c r="A322" s="8" t="str">
        <f>IFERROR(__xludf.DUMMYFUNCTION("""COMPUTED_VALUE"""),"CA-2014-126277")</f>
        <v>CA-2014-126277</v>
      </c>
      <c r="B322" s="9">
        <f>IFERROR(__xludf.DUMMYFUNCTION("""COMPUTED_VALUE"""),41895.0)</f>
        <v>41895</v>
      </c>
      <c r="C322" s="8" t="str">
        <f>IFERROR(__xludf.DUMMYFUNCTION("""COMPUTED_VALUE"""),"Consumer")</f>
        <v>Consumer</v>
      </c>
      <c r="D322" s="8" t="str">
        <f>IFERROR(__xludf.DUMMYFUNCTION("""COMPUTED_VALUE"""),"Ohio")</f>
        <v>Ohio</v>
      </c>
      <c r="E322" s="8" t="str">
        <f>IFERROR(__xludf.DUMMYFUNCTION("""COMPUTED_VALUE"""),"East")</f>
        <v>East</v>
      </c>
      <c r="F322" s="10">
        <f>IFERROR(__xludf.DUMMYFUNCTION("""COMPUTED_VALUE"""),2.502)</f>
        <v>2.502</v>
      </c>
      <c r="G322" s="11">
        <f>IFERROR(__xludf.DUMMYFUNCTION("""COMPUTED_VALUE"""),3.0)</f>
        <v>3</v>
      </c>
      <c r="H322" s="11">
        <f>IFERROR(__xludf.DUMMYFUNCTION("""COMPUTED_VALUE"""),-2.0016)</f>
        <v>-2.0016</v>
      </c>
    </row>
    <row r="323">
      <c r="A323" s="8" t="str">
        <f>IFERROR(__xludf.DUMMYFUNCTION("""COMPUTED_VALUE"""),"CA-2014-126333")</f>
        <v>CA-2014-126333</v>
      </c>
      <c r="B323" s="9">
        <f>IFERROR(__xludf.DUMMYFUNCTION("""COMPUTED_VALUE"""),41996.0)</f>
        <v>41996</v>
      </c>
      <c r="C323" s="8" t="str">
        <f>IFERROR(__xludf.DUMMYFUNCTION("""COMPUTED_VALUE"""),"Corporate")</f>
        <v>Corporate</v>
      </c>
      <c r="D323" s="8" t="str">
        <f>IFERROR(__xludf.DUMMYFUNCTION("""COMPUTED_VALUE"""),"Texas")</f>
        <v>Texas</v>
      </c>
      <c r="E323" s="8" t="str">
        <f>IFERROR(__xludf.DUMMYFUNCTION("""COMPUTED_VALUE"""),"Central")</f>
        <v>Central</v>
      </c>
      <c r="F323" s="10">
        <f>IFERROR(__xludf.DUMMYFUNCTION("""COMPUTED_VALUE"""),5.184)</f>
        <v>5.184</v>
      </c>
      <c r="G323" s="11">
        <f>IFERROR(__xludf.DUMMYFUNCTION("""COMPUTED_VALUE"""),1.0)</f>
        <v>1</v>
      </c>
      <c r="H323" s="11">
        <f>IFERROR(__xludf.DUMMYFUNCTION("""COMPUTED_VALUE"""),1.8144)</f>
        <v>1.8144</v>
      </c>
    </row>
    <row r="324">
      <c r="A324" s="8" t="str">
        <f>IFERROR(__xludf.DUMMYFUNCTION("""COMPUTED_VALUE"""),"CA-2014-126361")</f>
        <v>CA-2014-126361</v>
      </c>
      <c r="B324" s="9">
        <f>IFERROR(__xludf.DUMMYFUNCTION("""COMPUTED_VALUE"""),41855.0)</f>
        <v>41855</v>
      </c>
      <c r="C324" s="8" t="str">
        <f>IFERROR(__xludf.DUMMYFUNCTION("""COMPUTED_VALUE"""),"Consumer")</f>
        <v>Consumer</v>
      </c>
      <c r="D324" s="8" t="str">
        <f>IFERROR(__xludf.DUMMYFUNCTION("""COMPUTED_VALUE"""),"Utah")</f>
        <v>Utah</v>
      </c>
      <c r="E324" s="8" t="str">
        <f>IFERROR(__xludf.DUMMYFUNCTION("""COMPUTED_VALUE"""),"West")</f>
        <v>West</v>
      </c>
      <c r="F324" s="10">
        <f>IFERROR(__xludf.DUMMYFUNCTION("""COMPUTED_VALUE"""),1089.75)</f>
        <v>1089.75</v>
      </c>
      <c r="G324" s="11">
        <f>IFERROR(__xludf.DUMMYFUNCTION("""COMPUTED_VALUE"""),3.0)</f>
        <v>3</v>
      </c>
      <c r="H324" s="11">
        <f>IFERROR(__xludf.DUMMYFUNCTION("""COMPUTED_VALUE"""),305.13)</f>
        <v>305.13</v>
      </c>
    </row>
    <row r="325">
      <c r="A325" s="8" t="str">
        <f>IFERROR(__xludf.DUMMYFUNCTION("""COMPUTED_VALUE"""),"CA-2014-126403")</f>
        <v>CA-2014-126403</v>
      </c>
      <c r="B325" s="9">
        <f>IFERROR(__xludf.DUMMYFUNCTION("""COMPUTED_VALUE"""),41891.0)</f>
        <v>41891</v>
      </c>
      <c r="C325" s="8" t="str">
        <f>IFERROR(__xludf.DUMMYFUNCTION("""COMPUTED_VALUE"""),"Corporate")</f>
        <v>Corporate</v>
      </c>
      <c r="D325" s="8" t="str">
        <f>IFERROR(__xludf.DUMMYFUNCTION("""COMPUTED_VALUE"""),"Massachusetts")</f>
        <v>Massachusetts</v>
      </c>
      <c r="E325" s="8" t="str">
        <f>IFERROR(__xludf.DUMMYFUNCTION("""COMPUTED_VALUE"""),"East")</f>
        <v>East</v>
      </c>
      <c r="F325" s="10">
        <f>IFERROR(__xludf.DUMMYFUNCTION("""COMPUTED_VALUE"""),166.44)</f>
        <v>166.44</v>
      </c>
      <c r="G325" s="11">
        <f>IFERROR(__xludf.DUMMYFUNCTION("""COMPUTED_VALUE"""),3.0)</f>
        <v>3</v>
      </c>
      <c r="H325" s="11">
        <f>IFERROR(__xludf.DUMMYFUNCTION("""COMPUTED_VALUE"""),79.8912)</f>
        <v>79.8912</v>
      </c>
    </row>
    <row r="326">
      <c r="A326" s="8" t="str">
        <f>IFERROR(__xludf.DUMMYFUNCTION("""COMPUTED_VALUE"""),"CA-2014-126480")</f>
        <v>CA-2014-126480</v>
      </c>
      <c r="B326" s="9">
        <f>IFERROR(__xludf.DUMMYFUNCTION("""COMPUTED_VALUE"""),41902.0)</f>
        <v>41902</v>
      </c>
      <c r="C326" s="8" t="str">
        <f>IFERROR(__xludf.DUMMYFUNCTION("""COMPUTED_VALUE"""),"Corporate")</f>
        <v>Corporate</v>
      </c>
      <c r="D326" s="8" t="str">
        <f>IFERROR(__xludf.DUMMYFUNCTION("""COMPUTED_VALUE"""),"California")</f>
        <v>California</v>
      </c>
      <c r="E326" s="8" t="str">
        <f>IFERROR(__xludf.DUMMYFUNCTION("""COMPUTED_VALUE"""),"West")</f>
        <v>West</v>
      </c>
      <c r="F326" s="10">
        <f>IFERROR(__xludf.DUMMYFUNCTION("""COMPUTED_VALUE"""),8.56)</f>
        <v>8.56</v>
      </c>
      <c r="G326" s="11">
        <f>IFERROR(__xludf.DUMMYFUNCTION("""COMPUTED_VALUE"""),2.0)</f>
        <v>2</v>
      </c>
      <c r="H326" s="11">
        <f>IFERROR(__xludf.DUMMYFUNCTION("""COMPUTED_VALUE"""),3.852)</f>
        <v>3.852</v>
      </c>
    </row>
    <row r="327">
      <c r="A327" s="8" t="str">
        <f>IFERROR(__xludf.DUMMYFUNCTION("""COMPUTED_VALUE"""),"CA-2014-126522")</f>
        <v>CA-2014-126522</v>
      </c>
      <c r="B327" s="9">
        <f>IFERROR(__xludf.DUMMYFUNCTION("""COMPUTED_VALUE"""),41883.0)</f>
        <v>41883</v>
      </c>
      <c r="C327" s="8" t="str">
        <f>IFERROR(__xludf.DUMMYFUNCTION("""COMPUTED_VALUE"""),"Consumer")</f>
        <v>Consumer</v>
      </c>
      <c r="D327" s="8" t="str">
        <f>IFERROR(__xludf.DUMMYFUNCTION("""COMPUTED_VALUE"""),"California")</f>
        <v>California</v>
      </c>
      <c r="E327" s="8" t="str">
        <f>IFERROR(__xludf.DUMMYFUNCTION("""COMPUTED_VALUE"""),"West")</f>
        <v>West</v>
      </c>
      <c r="F327" s="10">
        <f>IFERROR(__xludf.DUMMYFUNCTION("""COMPUTED_VALUE"""),53.94)</f>
        <v>53.94</v>
      </c>
      <c r="G327" s="11">
        <f>IFERROR(__xludf.DUMMYFUNCTION("""COMPUTED_VALUE"""),3.0)</f>
        <v>3</v>
      </c>
      <c r="H327" s="11">
        <f>IFERROR(__xludf.DUMMYFUNCTION("""COMPUTED_VALUE"""),15.6426)</f>
        <v>15.6426</v>
      </c>
    </row>
    <row r="328">
      <c r="A328" s="8" t="str">
        <f>IFERROR(__xludf.DUMMYFUNCTION("""COMPUTED_VALUE"""),"CA-2014-126683")</f>
        <v>CA-2014-126683</v>
      </c>
      <c r="B328" s="9">
        <f>IFERROR(__xludf.DUMMYFUNCTION("""COMPUTED_VALUE"""),41911.0)</f>
        <v>41911</v>
      </c>
      <c r="C328" s="8" t="str">
        <f>IFERROR(__xludf.DUMMYFUNCTION("""COMPUTED_VALUE"""),"Home Office")</f>
        <v>Home Office</v>
      </c>
      <c r="D328" s="8" t="str">
        <f>IFERROR(__xludf.DUMMYFUNCTION("""COMPUTED_VALUE"""),"Washington")</f>
        <v>Washington</v>
      </c>
      <c r="E328" s="8" t="str">
        <f>IFERROR(__xludf.DUMMYFUNCTION("""COMPUTED_VALUE"""),"West")</f>
        <v>West</v>
      </c>
      <c r="F328" s="10">
        <f>IFERROR(__xludf.DUMMYFUNCTION("""COMPUTED_VALUE"""),6.16)</f>
        <v>6.16</v>
      </c>
      <c r="G328" s="11">
        <f>IFERROR(__xludf.DUMMYFUNCTION("""COMPUTED_VALUE"""),2.0)</f>
        <v>2</v>
      </c>
      <c r="H328" s="11">
        <f>IFERROR(__xludf.DUMMYFUNCTION("""COMPUTED_VALUE"""),2.9568)</f>
        <v>2.9568</v>
      </c>
    </row>
    <row r="329">
      <c r="A329" s="8" t="str">
        <f>IFERROR(__xludf.DUMMYFUNCTION("""COMPUTED_VALUE"""),"CA-2014-126760")</f>
        <v>CA-2014-126760</v>
      </c>
      <c r="B329" s="9">
        <f>IFERROR(__xludf.DUMMYFUNCTION("""COMPUTED_VALUE"""),41846.0)</f>
        <v>41846</v>
      </c>
      <c r="C329" s="8" t="str">
        <f>IFERROR(__xludf.DUMMYFUNCTION("""COMPUTED_VALUE"""),"Consumer")</f>
        <v>Consumer</v>
      </c>
      <c r="D329" s="8" t="str">
        <f>IFERROR(__xludf.DUMMYFUNCTION("""COMPUTED_VALUE"""),"Nevada")</f>
        <v>Nevada</v>
      </c>
      <c r="E329" s="8" t="str">
        <f>IFERROR(__xludf.DUMMYFUNCTION("""COMPUTED_VALUE"""),"West")</f>
        <v>West</v>
      </c>
      <c r="F329" s="10">
        <f>IFERROR(__xludf.DUMMYFUNCTION("""COMPUTED_VALUE"""),911.984)</f>
        <v>911.984</v>
      </c>
      <c r="G329" s="11">
        <f>IFERROR(__xludf.DUMMYFUNCTION("""COMPUTED_VALUE"""),2.0)</f>
        <v>2</v>
      </c>
      <c r="H329" s="11">
        <f>IFERROR(__xludf.DUMMYFUNCTION("""COMPUTED_VALUE"""),113.998)</f>
        <v>113.998</v>
      </c>
    </row>
    <row r="330">
      <c r="A330" s="8" t="str">
        <f>IFERROR(__xludf.DUMMYFUNCTION("""COMPUTED_VALUE"""),"CA-2014-126802")</f>
        <v>CA-2014-126802</v>
      </c>
      <c r="B330" s="9">
        <f>IFERROR(__xludf.DUMMYFUNCTION("""COMPUTED_VALUE"""),42002.0)</f>
        <v>42002</v>
      </c>
      <c r="C330" s="8" t="str">
        <f>IFERROR(__xludf.DUMMYFUNCTION("""COMPUTED_VALUE"""),"Consumer")</f>
        <v>Consumer</v>
      </c>
      <c r="D330" s="8" t="str">
        <f>IFERROR(__xludf.DUMMYFUNCTION("""COMPUTED_VALUE"""),"Illinois")</f>
        <v>Illinois</v>
      </c>
      <c r="E330" s="8" t="str">
        <f>IFERROR(__xludf.DUMMYFUNCTION("""COMPUTED_VALUE"""),"Central")</f>
        <v>Central</v>
      </c>
      <c r="F330" s="10">
        <f>IFERROR(__xludf.DUMMYFUNCTION("""COMPUTED_VALUE"""),38.976)</f>
        <v>38.976</v>
      </c>
      <c r="G330" s="11">
        <f>IFERROR(__xludf.DUMMYFUNCTION("""COMPUTED_VALUE"""),3.0)</f>
        <v>3</v>
      </c>
      <c r="H330" s="11">
        <f>IFERROR(__xludf.DUMMYFUNCTION("""COMPUTED_VALUE"""),-50.6688)</f>
        <v>-50.6688</v>
      </c>
    </row>
    <row r="331">
      <c r="A331" s="8" t="str">
        <f>IFERROR(__xludf.DUMMYFUNCTION("""COMPUTED_VALUE"""),"CA-2014-126907")</f>
        <v>CA-2014-126907</v>
      </c>
      <c r="B331" s="9">
        <f>IFERROR(__xludf.DUMMYFUNCTION("""COMPUTED_VALUE"""),41944.0)</f>
        <v>41944</v>
      </c>
      <c r="C331" s="8" t="str">
        <f>IFERROR(__xludf.DUMMYFUNCTION("""COMPUTED_VALUE"""),"Corporate")</f>
        <v>Corporate</v>
      </c>
      <c r="D331" s="8" t="str">
        <f>IFERROR(__xludf.DUMMYFUNCTION("""COMPUTED_VALUE"""),"Illinois")</f>
        <v>Illinois</v>
      </c>
      <c r="E331" s="8" t="str">
        <f>IFERROR(__xludf.DUMMYFUNCTION("""COMPUTED_VALUE"""),"Central")</f>
        <v>Central</v>
      </c>
      <c r="F331" s="10">
        <f>IFERROR(__xludf.DUMMYFUNCTION("""COMPUTED_VALUE"""),15.696)</f>
        <v>15.696</v>
      </c>
      <c r="G331" s="11">
        <f>IFERROR(__xludf.DUMMYFUNCTION("""COMPUTED_VALUE"""),3.0)</f>
        <v>3</v>
      </c>
      <c r="H331" s="11">
        <f>IFERROR(__xludf.DUMMYFUNCTION("""COMPUTED_VALUE"""),5.1012)</f>
        <v>5.1012</v>
      </c>
    </row>
    <row r="332">
      <c r="A332" s="8" t="str">
        <f>IFERROR(__xludf.DUMMYFUNCTION("""COMPUTED_VALUE"""),"CA-2014-126963")</f>
        <v>CA-2014-126963</v>
      </c>
      <c r="B332" s="9">
        <f>IFERROR(__xludf.DUMMYFUNCTION("""COMPUTED_VALUE"""),41805.0)</f>
        <v>41805</v>
      </c>
      <c r="C332" s="8" t="str">
        <f>IFERROR(__xludf.DUMMYFUNCTION("""COMPUTED_VALUE"""),"Consumer")</f>
        <v>Consumer</v>
      </c>
      <c r="D332" s="8" t="str">
        <f>IFERROR(__xludf.DUMMYFUNCTION("""COMPUTED_VALUE"""),"Texas")</f>
        <v>Texas</v>
      </c>
      <c r="E332" s="8" t="str">
        <f>IFERROR(__xludf.DUMMYFUNCTION("""COMPUTED_VALUE"""),"Central")</f>
        <v>Central</v>
      </c>
      <c r="F332" s="10">
        <f>IFERROR(__xludf.DUMMYFUNCTION("""COMPUTED_VALUE"""),36.544)</f>
        <v>36.544</v>
      </c>
      <c r="G332" s="11">
        <f>IFERROR(__xludf.DUMMYFUNCTION("""COMPUTED_VALUE"""),2.0)</f>
        <v>2</v>
      </c>
      <c r="H332" s="11">
        <f>IFERROR(__xludf.DUMMYFUNCTION("""COMPUTED_VALUE"""),11.8768)</f>
        <v>11.8768</v>
      </c>
    </row>
    <row r="333">
      <c r="A333" s="8" t="str">
        <f>IFERROR(__xludf.DUMMYFUNCTION("""COMPUTED_VALUE"""),"CA-2014-127012")</f>
        <v>CA-2014-127012</v>
      </c>
      <c r="B333" s="9">
        <f>IFERROR(__xludf.DUMMYFUNCTION("""COMPUTED_VALUE"""),41862.0)</f>
        <v>41862</v>
      </c>
      <c r="C333" s="8" t="str">
        <f>IFERROR(__xludf.DUMMYFUNCTION("""COMPUTED_VALUE"""),"Consumer")</f>
        <v>Consumer</v>
      </c>
      <c r="D333" s="8" t="str">
        <f>IFERROR(__xludf.DUMMYFUNCTION("""COMPUTED_VALUE"""),"Washington")</f>
        <v>Washington</v>
      </c>
      <c r="E333" s="8" t="str">
        <f>IFERROR(__xludf.DUMMYFUNCTION("""COMPUTED_VALUE"""),"West")</f>
        <v>West</v>
      </c>
      <c r="F333" s="10">
        <f>IFERROR(__xludf.DUMMYFUNCTION("""COMPUTED_VALUE"""),12.35)</f>
        <v>12.35</v>
      </c>
      <c r="G333" s="11">
        <f>IFERROR(__xludf.DUMMYFUNCTION("""COMPUTED_VALUE"""),1.0)</f>
        <v>1</v>
      </c>
      <c r="H333" s="11">
        <f>IFERROR(__xludf.DUMMYFUNCTION("""COMPUTED_VALUE"""),5.434)</f>
        <v>5.434</v>
      </c>
    </row>
    <row r="334">
      <c r="A334" s="8" t="str">
        <f>IFERROR(__xludf.DUMMYFUNCTION("""COMPUTED_VALUE"""),"CA-2014-127131")</f>
        <v>CA-2014-127131</v>
      </c>
      <c r="B334" s="9">
        <f>IFERROR(__xludf.DUMMYFUNCTION("""COMPUTED_VALUE"""),41967.0)</f>
        <v>41967</v>
      </c>
      <c r="C334" s="8" t="str">
        <f>IFERROR(__xludf.DUMMYFUNCTION("""COMPUTED_VALUE"""),"Corporate")</f>
        <v>Corporate</v>
      </c>
      <c r="D334" s="8" t="str">
        <f>IFERROR(__xludf.DUMMYFUNCTION("""COMPUTED_VALUE"""),"Washington")</f>
        <v>Washington</v>
      </c>
      <c r="E334" s="8" t="str">
        <f>IFERROR(__xludf.DUMMYFUNCTION("""COMPUTED_VALUE"""),"West")</f>
        <v>West</v>
      </c>
      <c r="F334" s="10">
        <f>IFERROR(__xludf.DUMMYFUNCTION("""COMPUTED_VALUE"""),12.096)</f>
        <v>12.096</v>
      </c>
      <c r="G334" s="11">
        <f>IFERROR(__xludf.DUMMYFUNCTION("""COMPUTED_VALUE"""),7.0)</f>
        <v>7</v>
      </c>
      <c r="H334" s="11">
        <f>IFERROR(__xludf.DUMMYFUNCTION("""COMPUTED_VALUE"""),4.2336)</f>
        <v>4.2336</v>
      </c>
    </row>
    <row r="335">
      <c r="A335" s="8" t="str">
        <f>IFERROR(__xludf.DUMMYFUNCTION("""COMPUTED_VALUE"""),"CA-2014-127159")</f>
        <v>CA-2014-127159</v>
      </c>
      <c r="B335" s="9">
        <f>IFERROR(__xludf.DUMMYFUNCTION("""COMPUTED_VALUE"""),41771.0)</f>
        <v>41771</v>
      </c>
      <c r="C335" s="8" t="str">
        <f>IFERROR(__xludf.DUMMYFUNCTION("""COMPUTED_VALUE"""),"Consumer")</f>
        <v>Consumer</v>
      </c>
      <c r="D335" s="8" t="str">
        <f>IFERROR(__xludf.DUMMYFUNCTION("""COMPUTED_VALUE"""),"Wisconsin")</f>
        <v>Wisconsin</v>
      </c>
      <c r="E335" s="8" t="str">
        <f>IFERROR(__xludf.DUMMYFUNCTION("""COMPUTED_VALUE"""),"Central")</f>
        <v>Central</v>
      </c>
      <c r="F335" s="10">
        <f>IFERROR(__xludf.DUMMYFUNCTION("""COMPUTED_VALUE"""),34.79)</f>
        <v>34.79</v>
      </c>
      <c r="G335" s="11">
        <f>IFERROR(__xludf.DUMMYFUNCTION("""COMPUTED_VALUE"""),7.0)</f>
        <v>7</v>
      </c>
      <c r="H335" s="11">
        <f>IFERROR(__xludf.DUMMYFUNCTION("""COMPUTED_VALUE"""),10.7849)</f>
        <v>10.7849</v>
      </c>
    </row>
    <row r="336">
      <c r="A336" s="8" t="str">
        <f>IFERROR(__xludf.DUMMYFUNCTION("""COMPUTED_VALUE"""),"CA-2014-127166")</f>
        <v>CA-2014-127166</v>
      </c>
      <c r="B336" s="9">
        <f>IFERROR(__xludf.DUMMYFUNCTION("""COMPUTED_VALUE"""),41780.0)</f>
        <v>41780</v>
      </c>
      <c r="C336" s="8" t="str">
        <f>IFERROR(__xludf.DUMMYFUNCTION("""COMPUTED_VALUE"""),"Consumer")</f>
        <v>Consumer</v>
      </c>
      <c r="D336" s="8" t="str">
        <f>IFERROR(__xludf.DUMMYFUNCTION("""COMPUTED_VALUE"""),"Texas")</f>
        <v>Texas</v>
      </c>
      <c r="E336" s="8" t="str">
        <f>IFERROR(__xludf.DUMMYFUNCTION("""COMPUTED_VALUE"""),"Central")</f>
        <v>Central</v>
      </c>
      <c r="F336" s="10">
        <f>IFERROR(__xludf.DUMMYFUNCTION("""COMPUTED_VALUE"""),56.064)</f>
        <v>56.064</v>
      </c>
      <c r="G336" s="11">
        <f>IFERROR(__xludf.DUMMYFUNCTION("""COMPUTED_VALUE"""),6.0)</f>
        <v>6</v>
      </c>
      <c r="H336" s="11">
        <f>IFERROR(__xludf.DUMMYFUNCTION("""COMPUTED_VALUE"""),21.024)</f>
        <v>21.024</v>
      </c>
    </row>
    <row r="337">
      <c r="A337" s="8" t="str">
        <f>IFERROR(__xludf.DUMMYFUNCTION("""COMPUTED_VALUE"""),"CA-2014-127187")</f>
        <v>CA-2014-127187</v>
      </c>
      <c r="B337" s="9">
        <f>IFERROR(__xludf.DUMMYFUNCTION("""COMPUTED_VALUE"""),41977.0)</f>
        <v>41977</v>
      </c>
      <c r="C337" s="8" t="str">
        <f>IFERROR(__xludf.DUMMYFUNCTION("""COMPUTED_VALUE"""),"Corporate")</f>
        <v>Corporate</v>
      </c>
      <c r="D337" s="8" t="str">
        <f>IFERROR(__xludf.DUMMYFUNCTION("""COMPUTED_VALUE"""),"New York")</f>
        <v>New York</v>
      </c>
      <c r="E337" s="8" t="str">
        <f>IFERROR(__xludf.DUMMYFUNCTION("""COMPUTED_VALUE"""),"East")</f>
        <v>East</v>
      </c>
      <c r="F337" s="10">
        <f>IFERROR(__xludf.DUMMYFUNCTION("""COMPUTED_VALUE"""),129.98)</f>
        <v>129.98</v>
      </c>
      <c r="G337" s="11">
        <f>IFERROR(__xludf.DUMMYFUNCTION("""COMPUTED_VALUE"""),2.0)</f>
        <v>2</v>
      </c>
      <c r="H337" s="11">
        <f>IFERROR(__xludf.DUMMYFUNCTION("""COMPUTED_VALUE"""),62.3904)</f>
        <v>62.3904</v>
      </c>
    </row>
    <row r="338">
      <c r="A338" s="8" t="str">
        <f>IFERROR(__xludf.DUMMYFUNCTION("""COMPUTED_VALUE"""),"CA-2014-127299")</f>
        <v>CA-2014-127299</v>
      </c>
      <c r="B338" s="9">
        <f>IFERROR(__xludf.DUMMYFUNCTION("""COMPUTED_VALUE"""),41901.0)</f>
        <v>41901</v>
      </c>
      <c r="C338" s="8" t="str">
        <f>IFERROR(__xludf.DUMMYFUNCTION("""COMPUTED_VALUE"""),"Consumer")</f>
        <v>Consumer</v>
      </c>
      <c r="D338" s="8" t="str">
        <f>IFERROR(__xludf.DUMMYFUNCTION("""COMPUTED_VALUE"""),"North Carolina")</f>
        <v>North Carolina</v>
      </c>
      <c r="E338" s="8" t="str">
        <f>IFERROR(__xludf.DUMMYFUNCTION("""COMPUTED_VALUE"""),"South")</f>
        <v>South</v>
      </c>
      <c r="F338" s="10">
        <f>IFERROR(__xludf.DUMMYFUNCTION("""COMPUTED_VALUE"""),67.344)</f>
        <v>67.344</v>
      </c>
      <c r="G338" s="11">
        <f>IFERROR(__xludf.DUMMYFUNCTION("""COMPUTED_VALUE"""),6.0)</f>
        <v>6</v>
      </c>
      <c r="H338" s="11">
        <f>IFERROR(__xludf.DUMMYFUNCTION("""COMPUTED_VALUE"""),7.5762)</f>
        <v>7.5762</v>
      </c>
    </row>
    <row r="339">
      <c r="A339" s="8" t="str">
        <f>IFERROR(__xludf.DUMMYFUNCTION("""COMPUTED_VALUE"""),"CA-2014-127383")</f>
        <v>CA-2014-127383</v>
      </c>
      <c r="B339" s="9">
        <f>IFERROR(__xludf.DUMMYFUNCTION("""COMPUTED_VALUE"""),42004.0)</f>
        <v>42004</v>
      </c>
      <c r="C339" s="8" t="str">
        <f>IFERROR(__xludf.DUMMYFUNCTION("""COMPUTED_VALUE"""),"Corporate")</f>
        <v>Corporate</v>
      </c>
      <c r="D339" s="8" t="str">
        <f>IFERROR(__xludf.DUMMYFUNCTION("""COMPUTED_VALUE"""),"Texas")</f>
        <v>Texas</v>
      </c>
      <c r="E339" s="8" t="str">
        <f>IFERROR(__xludf.DUMMYFUNCTION("""COMPUTED_VALUE"""),"Central")</f>
        <v>Central</v>
      </c>
      <c r="F339" s="10">
        <f>IFERROR(__xludf.DUMMYFUNCTION("""COMPUTED_VALUE"""),49.568)</f>
        <v>49.568</v>
      </c>
      <c r="G339" s="11">
        <f>IFERROR(__xludf.DUMMYFUNCTION("""COMPUTED_VALUE"""),2.0)</f>
        <v>2</v>
      </c>
      <c r="H339" s="11">
        <f>IFERROR(__xludf.DUMMYFUNCTION("""COMPUTED_VALUE"""),17.9684)</f>
        <v>17.9684</v>
      </c>
    </row>
    <row r="340">
      <c r="A340" s="8" t="str">
        <f>IFERROR(__xludf.DUMMYFUNCTION("""COMPUTED_VALUE"""),"CA-2014-127446")</f>
        <v>CA-2014-127446</v>
      </c>
      <c r="B340" s="9">
        <f>IFERROR(__xludf.DUMMYFUNCTION("""COMPUTED_VALUE"""),41968.0)</f>
        <v>41968</v>
      </c>
      <c r="C340" s="8" t="str">
        <f>IFERROR(__xludf.DUMMYFUNCTION("""COMPUTED_VALUE"""),"Corporate")</f>
        <v>Corporate</v>
      </c>
      <c r="D340" s="8" t="str">
        <f>IFERROR(__xludf.DUMMYFUNCTION("""COMPUTED_VALUE"""),"Texas")</f>
        <v>Texas</v>
      </c>
      <c r="E340" s="8" t="str">
        <f>IFERROR(__xludf.DUMMYFUNCTION("""COMPUTED_VALUE"""),"Central")</f>
        <v>Central</v>
      </c>
      <c r="F340" s="10">
        <f>IFERROR(__xludf.DUMMYFUNCTION("""COMPUTED_VALUE"""),24.672)</f>
        <v>24.672</v>
      </c>
      <c r="G340" s="11">
        <f>IFERROR(__xludf.DUMMYFUNCTION("""COMPUTED_VALUE"""),3.0)</f>
        <v>3</v>
      </c>
      <c r="H340" s="11">
        <f>IFERROR(__xludf.DUMMYFUNCTION("""COMPUTED_VALUE"""),0.0)</f>
        <v>0</v>
      </c>
    </row>
    <row r="341">
      <c r="A341" s="8" t="str">
        <f>IFERROR(__xludf.DUMMYFUNCTION("""COMPUTED_VALUE"""),"CA-2014-127488")</f>
        <v>CA-2014-127488</v>
      </c>
      <c r="B341" s="9">
        <f>IFERROR(__xludf.DUMMYFUNCTION("""COMPUTED_VALUE"""),41904.0)</f>
        <v>41904</v>
      </c>
      <c r="C341" s="8" t="str">
        <f>IFERROR(__xludf.DUMMYFUNCTION("""COMPUTED_VALUE"""),"Consumer")</f>
        <v>Consumer</v>
      </c>
      <c r="D341" s="8" t="str">
        <f>IFERROR(__xludf.DUMMYFUNCTION("""COMPUTED_VALUE"""),"Florida")</f>
        <v>Florida</v>
      </c>
      <c r="E341" s="8" t="str">
        <f>IFERROR(__xludf.DUMMYFUNCTION("""COMPUTED_VALUE"""),"South")</f>
        <v>South</v>
      </c>
      <c r="F341" s="10">
        <f>IFERROR(__xludf.DUMMYFUNCTION("""COMPUTED_VALUE"""),4.608)</f>
        <v>4.608</v>
      </c>
      <c r="G341" s="11">
        <f>IFERROR(__xludf.DUMMYFUNCTION("""COMPUTED_VALUE"""),2.0)</f>
        <v>2</v>
      </c>
      <c r="H341" s="11">
        <f>IFERROR(__xludf.DUMMYFUNCTION("""COMPUTED_VALUE"""),1.6704)</f>
        <v>1.6704</v>
      </c>
    </row>
    <row r="342">
      <c r="A342" s="8" t="str">
        <f>IFERROR(__xludf.DUMMYFUNCTION("""COMPUTED_VALUE"""),"CA-2014-127523")</f>
        <v>CA-2014-127523</v>
      </c>
      <c r="B342" s="9">
        <f>IFERROR(__xludf.DUMMYFUNCTION("""COMPUTED_VALUE"""),41770.0)</f>
        <v>41770</v>
      </c>
      <c r="C342" s="8" t="str">
        <f>IFERROR(__xludf.DUMMYFUNCTION("""COMPUTED_VALUE"""),"Corporate")</f>
        <v>Corporate</v>
      </c>
      <c r="D342" s="8" t="str">
        <f>IFERROR(__xludf.DUMMYFUNCTION("""COMPUTED_VALUE"""),"New York")</f>
        <v>New York</v>
      </c>
      <c r="E342" s="8" t="str">
        <f>IFERROR(__xludf.DUMMYFUNCTION("""COMPUTED_VALUE"""),"East")</f>
        <v>East</v>
      </c>
      <c r="F342" s="10">
        <f>IFERROR(__xludf.DUMMYFUNCTION("""COMPUTED_VALUE"""),35.91)</f>
        <v>35.91</v>
      </c>
      <c r="G342" s="11">
        <f>IFERROR(__xludf.DUMMYFUNCTION("""COMPUTED_VALUE"""),3.0)</f>
        <v>3</v>
      </c>
      <c r="H342" s="11">
        <f>IFERROR(__xludf.DUMMYFUNCTION("""COMPUTED_VALUE"""),9.6957)</f>
        <v>9.6957</v>
      </c>
    </row>
    <row r="343">
      <c r="A343" s="8" t="str">
        <f>IFERROR(__xludf.DUMMYFUNCTION("""COMPUTED_VALUE"""),"CA-2014-127558")</f>
        <v>CA-2014-127558</v>
      </c>
      <c r="B343" s="9">
        <f>IFERROR(__xludf.DUMMYFUNCTION("""COMPUTED_VALUE"""),41958.0)</f>
        <v>41958</v>
      </c>
      <c r="C343" s="8" t="str">
        <f>IFERROR(__xludf.DUMMYFUNCTION("""COMPUTED_VALUE"""),"Consumer")</f>
        <v>Consumer</v>
      </c>
      <c r="D343" s="8" t="str">
        <f>IFERROR(__xludf.DUMMYFUNCTION("""COMPUTED_VALUE"""),"California")</f>
        <v>California</v>
      </c>
      <c r="E343" s="8" t="str">
        <f>IFERROR(__xludf.DUMMYFUNCTION("""COMPUTED_VALUE"""),"West")</f>
        <v>West</v>
      </c>
      <c r="F343" s="10">
        <f>IFERROR(__xludf.DUMMYFUNCTION("""COMPUTED_VALUE"""),10.11)</f>
        <v>10.11</v>
      </c>
      <c r="G343" s="11">
        <f>IFERROR(__xludf.DUMMYFUNCTION("""COMPUTED_VALUE"""),3.0)</f>
        <v>3</v>
      </c>
      <c r="H343" s="11">
        <f>IFERROR(__xludf.DUMMYFUNCTION("""COMPUTED_VALUE"""),3.2352)</f>
        <v>3.2352</v>
      </c>
    </row>
    <row r="344">
      <c r="A344" s="8" t="str">
        <f>IFERROR(__xludf.DUMMYFUNCTION("""COMPUTED_VALUE"""),"CA-2014-127586")</f>
        <v>CA-2014-127586</v>
      </c>
      <c r="B344" s="9">
        <f>IFERROR(__xludf.DUMMYFUNCTION("""COMPUTED_VALUE"""),41908.0)</f>
        <v>41908</v>
      </c>
      <c r="C344" s="8" t="str">
        <f>IFERROR(__xludf.DUMMYFUNCTION("""COMPUTED_VALUE"""),"Home Office")</f>
        <v>Home Office</v>
      </c>
      <c r="D344" s="8" t="str">
        <f>IFERROR(__xludf.DUMMYFUNCTION("""COMPUTED_VALUE"""),"Washington")</f>
        <v>Washington</v>
      </c>
      <c r="E344" s="8" t="str">
        <f>IFERROR(__xludf.DUMMYFUNCTION("""COMPUTED_VALUE"""),"West")</f>
        <v>West</v>
      </c>
      <c r="F344" s="10">
        <f>IFERROR(__xludf.DUMMYFUNCTION("""COMPUTED_VALUE"""),310.12)</f>
        <v>310.12</v>
      </c>
      <c r="G344" s="11">
        <f>IFERROR(__xludf.DUMMYFUNCTION("""COMPUTED_VALUE"""),2.0)</f>
        <v>2</v>
      </c>
      <c r="H344" s="11">
        <f>IFERROR(__xludf.DUMMYFUNCTION("""COMPUTED_VALUE"""),80.6312)</f>
        <v>80.6312</v>
      </c>
    </row>
    <row r="345">
      <c r="A345" s="8" t="str">
        <f>IFERROR(__xludf.DUMMYFUNCTION("""COMPUTED_VALUE"""),"CA-2014-127614")</f>
        <v>CA-2014-127614</v>
      </c>
      <c r="B345" s="9">
        <f>IFERROR(__xludf.DUMMYFUNCTION("""COMPUTED_VALUE"""),41681.0)</f>
        <v>41681</v>
      </c>
      <c r="C345" s="8" t="str">
        <f>IFERROR(__xludf.DUMMYFUNCTION("""COMPUTED_VALUE"""),"Consumer")</f>
        <v>Consumer</v>
      </c>
      <c r="D345" s="8" t="str">
        <f>IFERROR(__xludf.DUMMYFUNCTION("""COMPUTED_VALUE"""),"Virginia")</f>
        <v>Virginia</v>
      </c>
      <c r="E345" s="8" t="str">
        <f>IFERROR(__xludf.DUMMYFUNCTION("""COMPUTED_VALUE"""),"South")</f>
        <v>South</v>
      </c>
      <c r="F345" s="10">
        <f>IFERROR(__xludf.DUMMYFUNCTION("""COMPUTED_VALUE"""),234.45)</f>
        <v>234.45</v>
      </c>
      <c r="G345" s="11">
        <f>IFERROR(__xludf.DUMMYFUNCTION("""COMPUTED_VALUE"""),3.0)</f>
        <v>3</v>
      </c>
      <c r="H345" s="11">
        <f>IFERROR(__xludf.DUMMYFUNCTION("""COMPUTED_VALUE"""),103.158)</f>
        <v>103.158</v>
      </c>
    </row>
    <row r="346">
      <c r="A346" s="8" t="str">
        <f>IFERROR(__xludf.DUMMYFUNCTION("""COMPUTED_VALUE"""),"CA-2014-127691")</f>
        <v>CA-2014-127691</v>
      </c>
      <c r="B346" s="9">
        <f>IFERROR(__xludf.DUMMYFUNCTION("""COMPUTED_VALUE"""),41842.0)</f>
        <v>41842</v>
      </c>
      <c r="C346" s="8" t="str">
        <f>IFERROR(__xludf.DUMMYFUNCTION("""COMPUTED_VALUE"""),"Consumer")</f>
        <v>Consumer</v>
      </c>
      <c r="D346" s="8" t="str">
        <f>IFERROR(__xludf.DUMMYFUNCTION("""COMPUTED_VALUE"""),"New York")</f>
        <v>New York</v>
      </c>
      <c r="E346" s="8" t="str">
        <f>IFERROR(__xludf.DUMMYFUNCTION("""COMPUTED_VALUE"""),"East")</f>
        <v>East</v>
      </c>
      <c r="F346" s="10">
        <f>IFERROR(__xludf.DUMMYFUNCTION("""COMPUTED_VALUE"""),5.96)</f>
        <v>5.96</v>
      </c>
      <c r="G346" s="11">
        <f>IFERROR(__xludf.DUMMYFUNCTION("""COMPUTED_VALUE"""),2.0)</f>
        <v>2</v>
      </c>
      <c r="H346" s="11">
        <f>IFERROR(__xludf.DUMMYFUNCTION("""COMPUTED_VALUE"""),1.6688)</f>
        <v>1.6688</v>
      </c>
    </row>
    <row r="347">
      <c r="A347" s="8" t="str">
        <f>IFERROR(__xludf.DUMMYFUNCTION("""COMPUTED_VALUE"""),"CA-2014-127859")</f>
        <v>CA-2014-127859</v>
      </c>
      <c r="B347" s="9">
        <f>IFERROR(__xludf.DUMMYFUNCTION("""COMPUTED_VALUE"""),41715.0)</f>
        <v>41715</v>
      </c>
      <c r="C347" s="8" t="str">
        <f>IFERROR(__xludf.DUMMYFUNCTION("""COMPUTED_VALUE"""),"Corporate")</f>
        <v>Corporate</v>
      </c>
      <c r="D347" s="8" t="str">
        <f>IFERROR(__xludf.DUMMYFUNCTION("""COMPUTED_VALUE"""),"Pennsylvania")</f>
        <v>Pennsylvania</v>
      </c>
      <c r="E347" s="8" t="str">
        <f>IFERROR(__xludf.DUMMYFUNCTION("""COMPUTED_VALUE"""),"East")</f>
        <v>East</v>
      </c>
      <c r="F347" s="10">
        <f>IFERROR(__xludf.DUMMYFUNCTION("""COMPUTED_VALUE"""),126.624)</f>
        <v>126.624</v>
      </c>
      <c r="G347" s="11">
        <f>IFERROR(__xludf.DUMMYFUNCTION("""COMPUTED_VALUE"""),6.0)</f>
        <v>6</v>
      </c>
      <c r="H347" s="11">
        <f>IFERROR(__xludf.DUMMYFUNCTION("""COMPUTED_VALUE"""),41.1528)</f>
        <v>41.1528</v>
      </c>
    </row>
    <row r="348">
      <c r="A348" s="8" t="str">
        <f>IFERROR(__xludf.DUMMYFUNCTION("""COMPUTED_VALUE"""),"CA-2014-127866")</f>
        <v>CA-2014-127866</v>
      </c>
      <c r="B348" s="9">
        <f>IFERROR(__xludf.DUMMYFUNCTION("""COMPUTED_VALUE"""),41840.0)</f>
        <v>41840</v>
      </c>
      <c r="C348" s="8" t="str">
        <f>IFERROR(__xludf.DUMMYFUNCTION("""COMPUTED_VALUE"""),"Corporate")</f>
        <v>Corporate</v>
      </c>
      <c r="D348" s="8" t="str">
        <f>IFERROR(__xludf.DUMMYFUNCTION("""COMPUTED_VALUE"""),"California")</f>
        <v>California</v>
      </c>
      <c r="E348" s="8" t="str">
        <f>IFERROR(__xludf.DUMMYFUNCTION("""COMPUTED_VALUE"""),"West")</f>
        <v>West</v>
      </c>
      <c r="F348" s="10">
        <f>IFERROR(__xludf.DUMMYFUNCTION("""COMPUTED_VALUE"""),41.94)</f>
        <v>41.94</v>
      </c>
      <c r="G348" s="11">
        <f>IFERROR(__xludf.DUMMYFUNCTION("""COMPUTED_VALUE"""),2.0)</f>
        <v>2</v>
      </c>
      <c r="H348" s="11">
        <f>IFERROR(__xludf.DUMMYFUNCTION("""COMPUTED_VALUE"""),15.0984)</f>
        <v>15.0984</v>
      </c>
    </row>
    <row r="349">
      <c r="A349" s="8" t="str">
        <f>IFERROR(__xludf.DUMMYFUNCTION("""COMPUTED_VALUE"""),"CA-2014-127936")</f>
        <v>CA-2014-127936</v>
      </c>
      <c r="B349" s="9">
        <f>IFERROR(__xludf.DUMMYFUNCTION("""COMPUTED_VALUE"""),41884.0)</f>
        <v>41884</v>
      </c>
      <c r="C349" s="8" t="str">
        <f>IFERROR(__xludf.DUMMYFUNCTION("""COMPUTED_VALUE"""),"Consumer")</f>
        <v>Consumer</v>
      </c>
      <c r="D349" s="8" t="str">
        <f>IFERROR(__xludf.DUMMYFUNCTION("""COMPUTED_VALUE"""),"New York")</f>
        <v>New York</v>
      </c>
      <c r="E349" s="8" t="str">
        <f>IFERROR(__xludf.DUMMYFUNCTION("""COMPUTED_VALUE"""),"East")</f>
        <v>East</v>
      </c>
      <c r="F349" s="10">
        <f>IFERROR(__xludf.DUMMYFUNCTION("""COMPUTED_VALUE"""),21.24)</f>
        <v>21.24</v>
      </c>
      <c r="G349" s="11">
        <f>IFERROR(__xludf.DUMMYFUNCTION("""COMPUTED_VALUE"""),3.0)</f>
        <v>3</v>
      </c>
      <c r="H349" s="11">
        <f>IFERROR(__xludf.DUMMYFUNCTION("""COMPUTED_VALUE"""),8.0712)</f>
        <v>8.0712</v>
      </c>
    </row>
    <row r="350">
      <c r="A350" s="8" t="str">
        <f>IFERROR(__xludf.DUMMYFUNCTION("""COMPUTED_VALUE"""),"CA-2014-127964")</f>
        <v>CA-2014-127964</v>
      </c>
      <c r="B350" s="9">
        <f>IFERROR(__xludf.DUMMYFUNCTION("""COMPUTED_VALUE"""),41701.0)</f>
        <v>41701</v>
      </c>
      <c r="C350" s="8" t="str">
        <f>IFERROR(__xludf.DUMMYFUNCTION("""COMPUTED_VALUE"""),"Home Office")</f>
        <v>Home Office</v>
      </c>
      <c r="D350" s="8" t="str">
        <f>IFERROR(__xludf.DUMMYFUNCTION("""COMPUTED_VALUE"""),"New York")</f>
        <v>New York</v>
      </c>
      <c r="E350" s="8" t="str">
        <f>IFERROR(__xludf.DUMMYFUNCTION("""COMPUTED_VALUE"""),"East")</f>
        <v>East</v>
      </c>
      <c r="F350" s="10">
        <f>IFERROR(__xludf.DUMMYFUNCTION("""COMPUTED_VALUE"""),9.99)</f>
        <v>9.99</v>
      </c>
      <c r="G350" s="11">
        <f>IFERROR(__xludf.DUMMYFUNCTION("""COMPUTED_VALUE"""),1.0)</f>
        <v>1</v>
      </c>
      <c r="H350" s="11">
        <f>IFERROR(__xludf.DUMMYFUNCTION("""COMPUTED_VALUE"""),4.5954)</f>
        <v>4.5954</v>
      </c>
    </row>
    <row r="351">
      <c r="A351" s="8" t="str">
        <f>IFERROR(__xludf.DUMMYFUNCTION("""COMPUTED_VALUE"""),"CA-2014-128055")</f>
        <v>CA-2014-128055</v>
      </c>
      <c r="B351" s="9">
        <f>IFERROR(__xludf.DUMMYFUNCTION("""COMPUTED_VALUE"""),41729.0)</f>
        <v>41729</v>
      </c>
      <c r="C351" s="8" t="str">
        <f>IFERROR(__xludf.DUMMYFUNCTION("""COMPUTED_VALUE"""),"Consumer")</f>
        <v>Consumer</v>
      </c>
      <c r="D351" s="8" t="str">
        <f>IFERROR(__xludf.DUMMYFUNCTION("""COMPUTED_VALUE"""),"California")</f>
        <v>California</v>
      </c>
      <c r="E351" s="8" t="str">
        <f>IFERROR(__xludf.DUMMYFUNCTION("""COMPUTED_VALUE"""),"West")</f>
        <v>West</v>
      </c>
      <c r="F351" s="10">
        <f>IFERROR(__xludf.DUMMYFUNCTION("""COMPUTED_VALUE"""),673.568)</f>
        <v>673.568</v>
      </c>
      <c r="G351" s="11">
        <f>IFERROR(__xludf.DUMMYFUNCTION("""COMPUTED_VALUE"""),2.0)</f>
        <v>2</v>
      </c>
      <c r="H351" s="11">
        <f>IFERROR(__xludf.DUMMYFUNCTION("""COMPUTED_VALUE"""),252.588)</f>
        <v>252.588</v>
      </c>
    </row>
    <row r="352">
      <c r="A352" s="8" t="str">
        <f>IFERROR(__xludf.DUMMYFUNCTION("""COMPUTED_VALUE"""),"CA-2014-128062")</f>
        <v>CA-2014-128062</v>
      </c>
      <c r="B352" s="9">
        <f>IFERROR(__xludf.DUMMYFUNCTION("""COMPUTED_VALUE"""),41962.0)</f>
        <v>41962</v>
      </c>
      <c r="C352" s="8" t="str">
        <f>IFERROR(__xludf.DUMMYFUNCTION("""COMPUTED_VALUE"""),"Home Office")</f>
        <v>Home Office</v>
      </c>
      <c r="D352" s="8" t="str">
        <f>IFERROR(__xludf.DUMMYFUNCTION("""COMPUTED_VALUE"""),"Pennsylvania")</f>
        <v>Pennsylvania</v>
      </c>
      <c r="E352" s="8" t="str">
        <f>IFERROR(__xludf.DUMMYFUNCTION("""COMPUTED_VALUE"""),"East")</f>
        <v>East</v>
      </c>
      <c r="F352" s="10">
        <f>IFERROR(__xludf.DUMMYFUNCTION("""COMPUTED_VALUE"""),5.88)</f>
        <v>5.88</v>
      </c>
      <c r="G352" s="11">
        <f>IFERROR(__xludf.DUMMYFUNCTION("""COMPUTED_VALUE"""),1.0)</f>
        <v>1</v>
      </c>
      <c r="H352" s="11">
        <f>IFERROR(__xludf.DUMMYFUNCTION("""COMPUTED_VALUE"""),1.9845)</f>
        <v>1.9845</v>
      </c>
    </row>
    <row r="353">
      <c r="A353" s="8" t="str">
        <f>IFERROR(__xludf.DUMMYFUNCTION("""COMPUTED_VALUE"""),"CA-2014-128146")</f>
        <v>CA-2014-128146</v>
      </c>
      <c r="B353" s="9">
        <f>IFERROR(__xludf.DUMMYFUNCTION("""COMPUTED_VALUE"""),41811.0)</f>
        <v>41811</v>
      </c>
      <c r="C353" s="8" t="str">
        <f>IFERROR(__xludf.DUMMYFUNCTION("""COMPUTED_VALUE"""),"Consumer")</f>
        <v>Consumer</v>
      </c>
      <c r="D353" s="8" t="str">
        <f>IFERROR(__xludf.DUMMYFUNCTION("""COMPUTED_VALUE"""),"New Jersey")</f>
        <v>New Jersey</v>
      </c>
      <c r="E353" s="8" t="str">
        <f>IFERROR(__xludf.DUMMYFUNCTION("""COMPUTED_VALUE"""),"East")</f>
        <v>East</v>
      </c>
      <c r="F353" s="10">
        <f>IFERROR(__xludf.DUMMYFUNCTION("""COMPUTED_VALUE"""),1322.93)</f>
        <v>1322.93</v>
      </c>
      <c r="G353" s="11">
        <f>IFERROR(__xludf.DUMMYFUNCTION("""COMPUTED_VALUE"""),7.0)</f>
        <v>7</v>
      </c>
      <c r="H353" s="11">
        <f>IFERROR(__xludf.DUMMYFUNCTION("""COMPUTED_VALUE"""),357.1911)</f>
        <v>357.1911</v>
      </c>
    </row>
    <row r="354">
      <c r="A354" s="8" t="str">
        <f>IFERROR(__xludf.DUMMYFUNCTION("""COMPUTED_VALUE"""),"CA-2014-128209")</f>
        <v>CA-2014-128209</v>
      </c>
      <c r="B354" s="9">
        <f>IFERROR(__xludf.DUMMYFUNCTION("""COMPUTED_VALUE"""),41960.0)</f>
        <v>41960</v>
      </c>
      <c r="C354" s="8" t="str">
        <f>IFERROR(__xludf.DUMMYFUNCTION("""COMPUTED_VALUE"""),"Consumer")</f>
        <v>Consumer</v>
      </c>
      <c r="D354" s="8" t="str">
        <f>IFERROR(__xludf.DUMMYFUNCTION("""COMPUTED_VALUE"""),"New York")</f>
        <v>New York</v>
      </c>
      <c r="E354" s="8" t="str">
        <f>IFERROR(__xludf.DUMMYFUNCTION("""COMPUTED_VALUE"""),"East")</f>
        <v>East</v>
      </c>
      <c r="F354" s="10">
        <f>IFERROR(__xludf.DUMMYFUNCTION("""COMPUTED_VALUE"""),2152.776)</f>
        <v>2152.776</v>
      </c>
      <c r="G354" s="11">
        <f>IFERROR(__xludf.DUMMYFUNCTION("""COMPUTED_VALUE"""),3.0)</f>
        <v>3</v>
      </c>
      <c r="H354" s="11">
        <f>IFERROR(__xludf.DUMMYFUNCTION("""COMPUTED_VALUE"""),726.5619)</f>
        <v>726.5619</v>
      </c>
    </row>
    <row r="355">
      <c r="A355" s="8" t="str">
        <f>IFERROR(__xludf.DUMMYFUNCTION("""COMPUTED_VALUE"""),"CA-2014-128237")</f>
        <v>CA-2014-128237</v>
      </c>
      <c r="B355" s="9">
        <f>IFERROR(__xludf.DUMMYFUNCTION("""COMPUTED_VALUE"""),41723.0)</f>
        <v>41723</v>
      </c>
      <c r="C355" s="8" t="str">
        <f>IFERROR(__xludf.DUMMYFUNCTION("""COMPUTED_VALUE"""),"Consumer")</f>
        <v>Consumer</v>
      </c>
      <c r="D355" s="8" t="str">
        <f>IFERROR(__xludf.DUMMYFUNCTION("""COMPUTED_VALUE"""),"California")</f>
        <v>California</v>
      </c>
      <c r="E355" s="8" t="str">
        <f>IFERROR(__xludf.DUMMYFUNCTION("""COMPUTED_VALUE"""),"West")</f>
        <v>West</v>
      </c>
      <c r="F355" s="10">
        <f>IFERROR(__xludf.DUMMYFUNCTION("""COMPUTED_VALUE"""),6.56)</f>
        <v>6.56</v>
      </c>
      <c r="G355" s="11">
        <f>IFERROR(__xludf.DUMMYFUNCTION("""COMPUTED_VALUE"""),2.0)</f>
        <v>2</v>
      </c>
      <c r="H355" s="11">
        <f>IFERROR(__xludf.DUMMYFUNCTION("""COMPUTED_VALUE"""),1.9024)</f>
        <v>1.9024</v>
      </c>
    </row>
    <row r="356">
      <c r="A356" s="8" t="str">
        <f>IFERROR(__xludf.DUMMYFUNCTION("""COMPUTED_VALUE"""),"CA-2014-128524")</f>
        <v>CA-2014-128524</v>
      </c>
      <c r="B356" s="9">
        <f>IFERROR(__xludf.DUMMYFUNCTION("""COMPUTED_VALUE"""),41954.0)</f>
        <v>41954</v>
      </c>
      <c r="C356" s="8" t="str">
        <f>IFERROR(__xludf.DUMMYFUNCTION("""COMPUTED_VALUE"""),"Corporate")</f>
        <v>Corporate</v>
      </c>
      <c r="D356" s="8" t="str">
        <f>IFERROR(__xludf.DUMMYFUNCTION("""COMPUTED_VALUE"""),"Washington")</f>
        <v>Washington</v>
      </c>
      <c r="E356" s="8" t="str">
        <f>IFERROR(__xludf.DUMMYFUNCTION("""COMPUTED_VALUE"""),"West")</f>
        <v>West</v>
      </c>
      <c r="F356" s="10">
        <f>IFERROR(__xludf.DUMMYFUNCTION("""COMPUTED_VALUE"""),22.98)</f>
        <v>22.98</v>
      </c>
      <c r="G356" s="11">
        <f>IFERROR(__xludf.DUMMYFUNCTION("""COMPUTED_VALUE"""),1.0)</f>
        <v>1</v>
      </c>
      <c r="H356" s="11">
        <f>IFERROR(__xludf.DUMMYFUNCTION("""COMPUTED_VALUE"""),6.894)</f>
        <v>6.894</v>
      </c>
    </row>
    <row r="357">
      <c r="A357" s="8" t="str">
        <f>IFERROR(__xludf.DUMMYFUNCTION("""COMPUTED_VALUE"""),"CA-2014-128538")</f>
        <v>CA-2014-128538</v>
      </c>
      <c r="B357" s="9">
        <f>IFERROR(__xludf.DUMMYFUNCTION("""COMPUTED_VALUE"""),41923.0)</f>
        <v>41923</v>
      </c>
      <c r="C357" s="8" t="str">
        <f>IFERROR(__xludf.DUMMYFUNCTION("""COMPUTED_VALUE"""),"Consumer")</f>
        <v>Consumer</v>
      </c>
      <c r="D357" s="8" t="str">
        <f>IFERROR(__xludf.DUMMYFUNCTION("""COMPUTED_VALUE"""),"California")</f>
        <v>California</v>
      </c>
      <c r="E357" s="8" t="str">
        <f>IFERROR(__xludf.DUMMYFUNCTION("""COMPUTED_VALUE"""),"West")</f>
        <v>West</v>
      </c>
      <c r="F357" s="10">
        <f>IFERROR(__xludf.DUMMYFUNCTION("""COMPUTED_VALUE"""),7.64)</f>
        <v>7.64</v>
      </c>
      <c r="G357" s="11">
        <f>IFERROR(__xludf.DUMMYFUNCTION("""COMPUTED_VALUE"""),1.0)</f>
        <v>1</v>
      </c>
      <c r="H357" s="11">
        <f>IFERROR(__xludf.DUMMYFUNCTION("""COMPUTED_VALUE"""),3.7436)</f>
        <v>3.7436</v>
      </c>
    </row>
    <row r="358">
      <c r="A358" s="8" t="str">
        <f>IFERROR(__xludf.DUMMYFUNCTION("""COMPUTED_VALUE"""),"CA-2014-128622")</f>
        <v>CA-2014-128622</v>
      </c>
      <c r="B358" s="9">
        <f>IFERROR(__xludf.DUMMYFUNCTION("""COMPUTED_VALUE"""),41958.0)</f>
        <v>41958</v>
      </c>
      <c r="C358" s="8" t="str">
        <f>IFERROR(__xludf.DUMMYFUNCTION("""COMPUTED_VALUE"""),"Corporate")</f>
        <v>Corporate</v>
      </c>
      <c r="D358" s="8" t="str">
        <f>IFERROR(__xludf.DUMMYFUNCTION("""COMPUTED_VALUE"""),"California")</f>
        <v>California</v>
      </c>
      <c r="E358" s="8" t="str">
        <f>IFERROR(__xludf.DUMMYFUNCTION("""COMPUTED_VALUE"""),"West")</f>
        <v>West</v>
      </c>
      <c r="F358" s="10">
        <f>IFERROR(__xludf.DUMMYFUNCTION("""COMPUTED_VALUE"""),10.95)</f>
        <v>10.95</v>
      </c>
      <c r="G358" s="11">
        <f>IFERROR(__xludf.DUMMYFUNCTION("""COMPUTED_VALUE"""),3.0)</f>
        <v>3</v>
      </c>
      <c r="H358" s="11">
        <f>IFERROR(__xludf.DUMMYFUNCTION("""COMPUTED_VALUE"""),3.285)</f>
        <v>3.285</v>
      </c>
    </row>
    <row r="359">
      <c r="A359" s="8" t="str">
        <f>IFERROR(__xludf.DUMMYFUNCTION("""COMPUTED_VALUE"""),"CA-2014-128839")</f>
        <v>CA-2014-128839</v>
      </c>
      <c r="B359" s="9">
        <f>IFERROR(__xludf.DUMMYFUNCTION("""COMPUTED_VALUE"""),41890.0)</f>
        <v>41890</v>
      </c>
      <c r="C359" s="8" t="str">
        <f>IFERROR(__xludf.DUMMYFUNCTION("""COMPUTED_VALUE"""),"Consumer")</f>
        <v>Consumer</v>
      </c>
      <c r="D359" s="8" t="str">
        <f>IFERROR(__xludf.DUMMYFUNCTION("""COMPUTED_VALUE"""),"Virginia")</f>
        <v>Virginia</v>
      </c>
      <c r="E359" s="8" t="str">
        <f>IFERROR(__xludf.DUMMYFUNCTION("""COMPUTED_VALUE"""),"South")</f>
        <v>South</v>
      </c>
      <c r="F359" s="10">
        <f>IFERROR(__xludf.DUMMYFUNCTION("""COMPUTED_VALUE"""),45.0)</f>
        <v>45</v>
      </c>
      <c r="G359" s="11">
        <f>IFERROR(__xludf.DUMMYFUNCTION("""COMPUTED_VALUE"""),9.0)</f>
        <v>9</v>
      </c>
      <c r="H359" s="11">
        <f>IFERROR(__xludf.DUMMYFUNCTION("""COMPUTED_VALUE"""),21.6)</f>
        <v>21.6</v>
      </c>
    </row>
    <row r="360">
      <c r="A360" s="8" t="str">
        <f>IFERROR(__xludf.DUMMYFUNCTION("""COMPUTED_VALUE"""),"CA-2014-128846")</f>
        <v>CA-2014-128846</v>
      </c>
      <c r="B360" s="9">
        <f>IFERROR(__xludf.DUMMYFUNCTION("""COMPUTED_VALUE"""),41736.0)</f>
        <v>41736</v>
      </c>
      <c r="C360" s="8" t="str">
        <f>IFERROR(__xludf.DUMMYFUNCTION("""COMPUTED_VALUE"""),"Corporate")</f>
        <v>Corporate</v>
      </c>
      <c r="D360" s="8" t="str">
        <f>IFERROR(__xludf.DUMMYFUNCTION("""COMPUTED_VALUE"""),"South Carolina")</f>
        <v>South Carolina</v>
      </c>
      <c r="E360" s="8" t="str">
        <f>IFERROR(__xludf.DUMMYFUNCTION("""COMPUTED_VALUE"""),"South")</f>
        <v>South</v>
      </c>
      <c r="F360" s="10">
        <f>IFERROR(__xludf.DUMMYFUNCTION("""COMPUTED_VALUE"""),629.95)</f>
        <v>629.95</v>
      </c>
      <c r="G360" s="11">
        <f>IFERROR(__xludf.DUMMYFUNCTION("""COMPUTED_VALUE"""),5.0)</f>
        <v>5</v>
      </c>
      <c r="H360" s="11">
        <f>IFERROR(__xludf.DUMMYFUNCTION("""COMPUTED_VALUE"""),163.787)</f>
        <v>163.787</v>
      </c>
    </row>
    <row r="361">
      <c r="A361" s="8" t="str">
        <f>IFERROR(__xludf.DUMMYFUNCTION("""COMPUTED_VALUE"""),"CA-2014-128888")</f>
        <v>CA-2014-128888</v>
      </c>
      <c r="B361" s="9">
        <f>IFERROR(__xludf.DUMMYFUNCTION("""COMPUTED_VALUE"""),41958.0)</f>
        <v>41958</v>
      </c>
      <c r="C361" s="8" t="str">
        <f>IFERROR(__xludf.DUMMYFUNCTION("""COMPUTED_VALUE"""),"Consumer")</f>
        <v>Consumer</v>
      </c>
      <c r="D361" s="8" t="str">
        <f>IFERROR(__xludf.DUMMYFUNCTION("""COMPUTED_VALUE"""),"Texas")</f>
        <v>Texas</v>
      </c>
      <c r="E361" s="8" t="str">
        <f>IFERROR(__xludf.DUMMYFUNCTION("""COMPUTED_VALUE"""),"Central")</f>
        <v>Central</v>
      </c>
      <c r="F361" s="10">
        <f>IFERROR(__xludf.DUMMYFUNCTION("""COMPUTED_VALUE"""),604.656)</f>
        <v>604.656</v>
      </c>
      <c r="G361" s="11">
        <f>IFERROR(__xludf.DUMMYFUNCTION("""COMPUTED_VALUE"""),9.0)</f>
        <v>9</v>
      </c>
      <c r="H361" s="11">
        <f>IFERROR(__xludf.DUMMYFUNCTION("""COMPUTED_VALUE"""),204.0714)</f>
        <v>204.0714</v>
      </c>
    </row>
    <row r="362">
      <c r="A362" s="8" t="str">
        <f>IFERROR(__xludf.DUMMYFUNCTION("""COMPUTED_VALUE"""),"CA-2014-128986")</f>
        <v>CA-2014-128986</v>
      </c>
      <c r="B362" s="9">
        <f>IFERROR(__xludf.DUMMYFUNCTION("""COMPUTED_VALUE"""),41854.0)</f>
        <v>41854</v>
      </c>
      <c r="C362" s="8" t="str">
        <f>IFERROR(__xludf.DUMMYFUNCTION("""COMPUTED_VALUE"""),"Home Office")</f>
        <v>Home Office</v>
      </c>
      <c r="D362" s="8" t="str">
        <f>IFERROR(__xludf.DUMMYFUNCTION("""COMPUTED_VALUE"""),"Arizona")</f>
        <v>Arizona</v>
      </c>
      <c r="E362" s="8" t="str">
        <f>IFERROR(__xludf.DUMMYFUNCTION("""COMPUTED_VALUE"""),"West")</f>
        <v>West</v>
      </c>
      <c r="F362" s="10">
        <f>IFERROR(__xludf.DUMMYFUNCTION("""COMPUTED_VALUE"""),93.024)</f>
        <v>93.024</v>
      </c>
      <c r="G362" s="11">
        <f>IFERROR(__xludf.DUMMYFUNCTION("""COMPUTED_VALUE"""),3.0)</f>
        <v>3</v>
      </c>
      <c r="H362" s="11">
        <f>IFERROR(__xludf.DUMMYFUNCTION("""COMPUTED_VALUE"""),33.7212)</f>
        <v>33.7212</v>
      </c>
    </row>
    <row r="363">
      <c r="A363" s="8" t="str">
        <f>IFERROR(__xludf.DUMMYFUNCTION("""COMPUTED_VALUE"""),"CA-2014-129091")</f>
        <v>CA-2014-129091</v>
      </c>
      <c r="B363" s="9">
        <f>IFERROR(__xludf.DUMMYFUNCTION("""COMPUTED_VALUE"""),41965.0)</f>
        <v>41965</v>
      </c>
      <c r="C363" s="8" t="str">
        <f>IFERROR(__xludf.DUMMYFUNCTION("""COMPUTED_VALUE"""),"Corporate")</f>
        <v>Corporate</v>
      </c>
      <c r="D363" s="8" t="str">
        <f>IFERROR(__xludf.DUMMYFUNCTION("""COMPUTED_VALUE"""),"Georgia")</f>
        <v>Georgia</v>
      </c>
      <c r="E363" s="8" t="str">
        <f>IFERROR(__xludf.DUMMYFUNCTION("""COMPUTED_VALUE"""),"South")</f>
        <v>South</v>
      </c>
      <c r="F363" s="10">
        <f>IFERROR(__xludf.DUMMYFUNCTION("""COMPUTED_VALUE"""),16.23)</f>
        <v>16.23</v>
      </c>
      <c r="G363" s="11">
        <f>IFERROR(__xludf.DUMMYFUNCTION("""COMPUTED_VALUE"""),3.0)</f>
        <v>3</v>
      </c>
      <c r="H363" s="11">
        <f>IFERROR(__xludf.DUMMYFUNCTION("""COMPUTED_VALUE"""),7.9527)</f>
        <v>7.9527</v>
      </c>
    </row>
    <row r="364">
      <c r="A364" s="8" t="str">
        <f>IFERROR(__xludf.DUMMYFUNCTION("""COMPUTED_VALUE"""),"CA-2014-129147")</f>
        <v>CA-2014-129147</v>
      </c>
      <c r="B364" s="9">
        <f>IFERROR(__xludf.DUMMYFUNCTION("""COMPUTED_VALUE"""),41945.0)</f>
        <v>41945</v>
      </c>
      <c r="C364" s="8" t="str">
        <f>IFERROR(__xludf.DUMMYFUNCTION("""COMPUTED_VALUE"""),"Consumer")</f>
        <v>Consumer</v>
      </c>
      <c r="D364" s="8" t="str">
        <f>IFERROR(__xludf.DUMMYFUNCTION("""COMPUTED_VALUE"""),"Ohio")</f>
        <v>Ohio</v>
      </c>
      <c r="E364" s="8" t="str">
        <f>IFERROR(__xludf.DUMMYFUNCTION("""COMPUTED_VALUE"""),"East")</f>
        <v>East</v>
      </c>
      <c r="F364" s="10">
        <f>IFERROR(__xludf.DUMMYFUNCTION("""COMPUTED_VALUE"""),539.964)</f>
        <v>539.964</v>
      </c>
      <c r="G364" s="11">
        <f>IFERROR(__xludf.DUMMYFUNCTION("""COMPUTED_VALUE"""),6.0)</f>
        <v>6</v>
      </c>
      <c r="H364" s="11">
        <f>IFERROR(__xludf.DUMMYFUNCTION("""COMPUTED_VALUE"""),-107.9928)</f>
        <v>-107.9928</v>
      </c>
    </row>
    <row r="365">
      <c r="A365" s="8" t="str">
        <f>IFERROR(__xludf.DUMMYFUNCTION("""COMPUTED_VALUE"""),"CA-2014-129168")</f>
        <v>CA-2014-129168</v>
      </c>
      <c r="B365" s="9">
        <f>IFERROR(__xludf.DUMMYFUNCTION("""COMPUTED_VALUE"""),41868.0)</f>
        <v>41868</v>
      </c>
      <c r="C365" s="8" t="str">
        <f>IFERROR(__xludf.DUMMYFUNCTION("""COMPUTED_VALUE"""),"Corporate")</f>
        <v>Corporate</v>
      </c>
      <c r="D365" s="8" t="str">
        <f>IFERROR(__xludf.DUMMYFUNCTION("""COMPUTED_VALUE"""),"Texas")</f>
        <v>Texas</v>
      </c>
      <c r="E365" s="8" t="str">
        <f>IFERROR(__xludf.DUMMYFUNCTION("""COMPUTED_VALUE"""),"Central")</f>
        <v>Central</v>
      </c>
      <c r="F365" s="10">
        <f>IFERROR(__xludf.DUMMYFUNCTION("""COMPUTED_VALUE"""),15.552)</f>
        <v>15.552</v>
      </c>
      <c r="G365" s="11">
        <f>IFERROR(__xludf.DUMMYFUNCTION("""COMPUTED_VALUE"""),3.0)</f>
        <v>3</v>
      </c>
      <c r="H365" s="11">
        <f>IFERROR(__xludf.DUMMYFUNCTION("""COMPUTED_VALUE"""),5.4432)</f>
        <v>5.4432</v>
      </c>
    </row>
    <row r="366">
      <c r="A366" s="8" t="str">
        <f>IFERROR(__xludf.DUMMYFUNCTION("""COMPUTED_VALUE"""),"CA-2014-129189")</f>
        <v>CA-2014-129189</v>
      </c>
      <c r="B366" s="9">
        <f>IFERROR(__xludf.DUMMYFUNCTION("""COMPUTED_VALUE"""),41841.0)</f>
        <v>41841</v>
      </c>
      <c r="C366" s="8" t="str">
        <f>IFERROR(__xludf.DUMMYFUNCTION("""COMPUTED_VALUE"""),"Corporate")</f>
        <v>Corporate</v>
      </c>
      <c r="D366" s="8" t="str">
        <f>IFERROR(__xludf.DUMMYFUNCTION("""COMPUTED_VALUE"""),"Texas")</f>
        <v>Texas</v>
      </c>
      <c r="E366" s="8" t="str">
        <f>IFERROR(__xludf.DUMMYFUNCTION("""COMPUTED_VALUE"""),"Central")</f>
        <v>Central</v>
      </c>
      <c r="F366" s="10">
        <f>IFERROR(__xludf.DUMMYFUNCTION("""COMPUTED_VALUE"""),4.992)</f>
        <v>4.992</v>
      </c>
      <c r="G366" s="11">
        <f>IFERROR(__xludf.DUMMYFUNCTION("""COMPUTED_VALUE"""),3.0)</f>
        <v>3</v>
      </c>
      <c r="H366" s="11">
        <f>IFERROR(__xludf.DUMMYFUNCTION("""COMPUTED_VALUE"""),-12.9792)</f>
        <v>-12.9792</v>
      </c>
    </row>
    <row r="367">
      <c r="A367" s="8" t="str">
        <f>IFERROR(__xludf.DUMMYFUNCTION("""COMPUTED_VALUE"""),"CA-2014-129364")</f>
        <v>CA-2014-129364</v>
      </c>
      <c r="B367" s="9">
        <f>IFERROR(__xludf.DUMMYFUNCTION("""COMPUTED_VALUE"""),41981.0)</f>
        <v>41981</v>
      </c>
      <c r="C367" s="8" t="str">
        <f>IFERROR(__xludf.DUMMYFUNCTION("""COMPUTED_VALUE"""),"Consumer")</f>
        <v>Consumer</v>
      </c>
      <c r="D367" s="8" t="str">
        <f>IFERROR(__xludf.DUMMYFUNCTION("""COMPUTED_VALUE"""),"Oregon")</f>
        <v>Oregon</v>
      </c>
      <c r="E367" s="8" t="str">
        <f>IFERROR(__xludf.DUMMYFUNCTION("""COMPUTED_VALUE"""),"West")</f>
        <v>West</v>
      </c>
      <c r="F367" s="10">
        <f>IFERROR(__xludf.DUMMYFUNCTION("""COMPUTED_VALUE"""),27.888)</f>
        <v>27.888</v>
      </c>
      <c r="G367" s="11">
        <f>IFERROR(__xludf.DUMMYFUNCTION("""COMPUTED_VALUE"""),7.0)</f>
        <v>7</v>
      </c>
      <c r="H367" s="11">
        <f>IFERROR(__xludf.DUMMYFUNCTION("""COMPUTED_VALUE"""),9.0636)</f>
        <v>9.0636</v>
      </c>
    </row>
    <row r="368">
      <c r="A368" s="8" t="str">
        <f>IFERROR(__xludf.DUMMYFUNCTION("""COMPUTED_VALUE"""),"CA-2014-129574")</f>
        <v>CA-2014-129574</v>
      </c>
      <c r="B368" s="9">
        <f>IFERROR(__xludf.DUMMYFUNCTION("""COMPUTED_VALUE"""),41785.0)</f>
        <v>41785</v>
      </c>
      <c r="C368" s="8" t="str">
        <f>IFERROR(__xludf.DUMMYFUNCTION("""COMPUTED_VALUE"""),"Home Office")</f>
        <v>Home Office</v>
      </c>
      <c r="D368" s="8" t="str">
        <f>IFERROR(__xludf.DUMMYFUNCTION("""COMPUTED_VALUE"""),"Utah")</f>
        <v>Utah</v>
      </c>
      <c r="E368" s="8" t="str">
        <f>IFERROR(__xludf.DUMMYFUNCTION("""COMPUTED_VALUE"""),"West")</f>
        <v>West</v>
      </c>
      <c r="F368" s="10">
        <f>IFERROR(__xludf.DUMMYFUNCTION("""COMPUTED_VALUE"""),48.4)</f>
        <v>48.4</v>
      </c>
      <c r="G368" s="11">
        <f>IFERROR(__xludf.DUMMYFUNCTION("""COMPUTED_VALUE"""),5.0)</f>
        <v>5</v>
      </c>
      <c r="H368" s="11">
        <f>IFERROR(__xludf.DUMMYFUNCTION("""COMPUTED_VALUE"""),23.232)</f>
        <v>23.232</v>
      </c>
    </row>
    <row r="369">
      <c r="A369" s="8" t="str">
        <f>IFERROR(__xludf.DUMMYFUNCTION("""COMPUTED_VALUE"""),"CA-2014-129819")</f>
        <v>CA-2014-129819</v>
      </c>
      <c r="B369" s="9">
        <f>IFERROR(__xludf.DUMMYFUNCTION("""COMPUTED_VALUE"""),41986.0)</f>
        <v>41986</v>
      </c>
      <c r="C369" s="8" t="str">
        <f>IFERROR(__xludf.DUMMYFUNCTION("""COMPUTED_VALUE"""),"Corporate")</f>
        <v>Corporate</v>
      </c>
      <c r="D369" s="8" t="str">
        <f>IFERROR(__xludf.DUMMYFUNCTION("""COMPUTED_VALUE"""),"Kentucky")</f>
        <v>Kentucky</v>
      </c>
      <c r="E369" s="8" t="str">
        <f>IFERROR(__xludf.DUMMYFUNCTION("""COMPUTED_VALUE"""),"South")</f>
        <v>South</v>
      </c>
      <c r="F369" s="10">
        <f>IFERROR(__xludf.DUMMYFUNCTION("""COMPUTED_VALUE"""),12.39)</f>
        <v>12.39</v>
      </c>
      <c r="G369" s="11">
        <f>IFERROR(__xludf.DUMMYFUNCTION("""COMPUTED_VALUE"""),3.0)</f>
        <v>3</v>
      </c>
      <c r="H369" s="11">
        <f>IFERROR(__xludf.DUMMYFUNCTION("""COMPUTED_VALUE"""),5.8233)</f>
        <v>5.8233</v>
      </c>
    </row>
    <row r="370">
      <c r="A370" s="8" t="str">
        <f>IFERROR(__xludf.DUMMYFUNCTION("""COMPUTED_VALUE"""),"CA-2014-129924")</f>
        <v>CA-2014-129924</v>
      </c>
      <c r="B370" s="9">
        <f>IFERROR(__xludf.DUMMYFUNCTION("""COMPUTED_VALUE"""),41832.0)</f>
        <v>41832</v>
      </c>
      <c r="C370" s="8" t="str">
        <f>IFERROR(__xludf.DUMMYFUNCTION("""COMPUTED_VALUE"""),"Corporate")</f>
        <v>Corporate</v>
      </c>
      <c r="D370" s="8" t="str">
        <f>IFERROR(__xludf.DUMMYFUNCTION("""COMPUTED_VALUE"""),"California")</f>
        <v>California</v>
      </c>
      <c r="E370" s="8" t="str">
        <f>IFERROR(__xludf.DUMMYFUNCTION("""COMPUTED_VALUE"""),"West")</f>
        <v>West</v>
      </c>
      <c r="F370" s="10">
        <f>IFERROR(__xludf.DUMMYFUNCTION("""COMPUTED_VALUE"""),7.712)</f>
        <v>7.712</v>
      </c>
      <c r="G370" s="11">
        <f>IFERROR(__xludf.DUMMYFUNCTION("""COMPUTED_VALUE"""),2.0)</f>
        <v>2</v>
      </c>
      <c r="H370" s="11">
        <f>IFERROR(__xludf.DUMMYFUNCTION("""COMPUTED_VALUE"""),2.7956)</f>
        <v>2.7956</v>
      </c>
    </row>
    <row r="371">
      <c r="A371" s="8" t="str">
        <f>IFERROR(__xludf.DUMMYFUNCTION("""COMPUTED_VALUE"""),"CA-2014-129938")</f>
        <v>CA-2014-129938</v>
      </c>
      <c r="B371" s="9">
        <f>IFERROR(__xludf.DUMMYFUNCTION("""COMPUTED_VALUE"""),41988.0)</f>
        <v>41988</v>
      </c>
      <c r="C371" s="8" t="str">
        <f>IFERROR(__xludf.DUMMYFUNCTION("""COMPUTED_VALUE"""),"Corporate")</f>
        <v>Corporate</v>
      </c>
      <c r="D371" s="8" t="str">
        <f>IFERROR(__xludf.DUMMYFUNCTION("""COMPUTED_VALUE"""),"Pennsylvania")</f>
        <v>Pennsylvania</v>
      </c>
      <c r="E371" s="8" t="str">
        <f>IFERROR(__xludf.DUMMYFUNCTION("""COMPUTED_VALUE"""),"East")</f>
        <v>East</v>
      </c>
      <c r="F371" s="10">
        <f>IFERROR(__xludf.DUMMYFUNCTION("""COMPUTED_VALUE"""),445.802)</f>
        <v>445.802</v>
      </c>
      <c r="G371" s="11">
        <f>IFERROR(__xludf.DUMMYFUNCTION("""COMPUTED_VALUE"""),7.0)</f>
        <v>7</v>
      </c>
      <c r="H371" s="11">
        <f>IFERROR(__xludf.DUMMYFUNCTION("""COMPUTED_VALUE"""),-108.2662)</f>
        <v>-108.2662</v>
      </c>
    </row>
    <row r="372">
      <c r="A372" s="8" t="str">
        <f>IFERROR(__xludf.DUMMYFUNCTION("""COMPUTED_VALUE"""),"CA-2014-130092")</f>
        <v>CA-2014-130092</v>
      </c>
      <c r="B372" s="9">
        <f>IFERROR(__xludf.DUMMYFUNCTION("""COMPUTED_VALUE"""),41650.0)</f>
        <v>41650</v>
      </c>
      <c r="C372" s="8" t="str">
        <f>IFERROR(__xludf.DUMMYFUNCTION("""COMPUTED_VALUE"""),"Consumer")</f>
        <v>Consumer</v>
      </c>
      <c r="D372" s="8" t="str">
        <f>IFERROR(__xludf.DUMMYFUNCTION("""COMPUTED_VALUE"""),"Delaware")</f>
        <v>Delaware</v>
      </c>
      <c r="E372" s="8" t="str">
        <f>IFERROR(__xludf.DUMMYFUNCTION("""COMPUTED_VALUE"""),"East")</f>
        <v>East</v>
      </c>
      <c r="F372" s="10">
        <f>IFERROR(__xludf.DUMMYFUNCTION("""COMPUTED_VALUE"""),9.94)</f>
        <v>9.94</v>
      </c>
      <c r="G372" s="11">
        <f>IFERROR(__xludf.DUMMYFUNCTION("""COMPUTED_VALUE"""),2.0)</f>
        <v>2</v>
      </c>
      <c r="H372" s="11">
        <f>IFERROR(__xludf.DUMMYFUNCTION("""COMPUTED_VALUE"""),3.0814)</f>
        <v>3.0814</v>
      </c>
    </row>
    <row r="373">
      <c r="A373" s="8" t="str">
        <f>IFERROR(__xludf.DUMMYFUNCTION("""COMPUTED_VALUE"""),"CA-2014-130155")</f>
        <v>CA-2014-130155</v>
      </c>
      <c r="B373" s="9">
        <f>IFERROR(__xludf.DUMMYFUNCTION("""COMPUTED_VALUE"""),41778.0)</f>
        <v>41778</v>
      </c>
      <c r="C373" s="8" t="str">
        <f>IFERROR(__xludf.DUMMYFUNCTION("""COMPUTED_VALUE"""),"Consumer")</f>
        <v>Consumer</v>
      </c>
      <c r="D373" s="8" t="str">
        <f>IFERROR(__xludf.DUMMYFUNCTION("""COMPUTED_VALUE"""),"Virginia")</f>
        <v>Virginia</v>
      </c>
      <c r="E373" s="8" t="str">
        <f>IFERROR(__xludf.DUMMYFUNCTION("""COMPUTED_VALUE"""),"South")</f>
        <v>South</v>
      </c>
      <c r="F373" s="10">
        <f>IFERROR(__xludf.DUMMYFUNCTION("""COMPUTED_VALUE"""),34.2)</f>
        <v>34.2</v>
      </c>
      <c r="G373" s="11">
        <f>IFERROR(__xludf.DUMMYFUNCTION("""COMPUTED_VALUE"""),5.0)</f>
        <v>5</v>
      </c>
      <c r="H373" s="11">
        <f>IFERROR(__xludf.DUMMYFUNCTION("""COMPUTED_VALUE"""),9.234)</f>
        <v>9.234</v>
      </c>
    </row>
    <row r="374">
      <c r="A374" s="8" t="str">
        <f>IFERROR(__xludf.DUMMYFUNCTION("""COMPUTED_VALUE"""),"CA-2014-130274")</f>
        <v>CA-2014-130274</v>
      </c>
      <c r="B374" s="9">
        <f>IFERROR(__xludf.DUMMYFUNCTION("""COMPUTED_VALUE"""),41762.0)</f>
        <v>41762</v>
      </c>
      <c r="C374" s="8" t="str">
        <f>IFERROR(__xludf.DUMMYFUNCTION("""COMPUTED_VALUE"""),"Home Office")</f>
        <v>Home Office</v>
      </c>
      <c r="D374" s="8" t="str">
        <f>IFERROR(__xludf.DUMMYFUNCTION("""COMPUTED_VALUE"""),"Wisconsin")</f>
        <v>Wisconsin</v>
      </c>
      <c r="E374" s="8" t="str">
        <f>IFERROR(__xludf.DUMMYFUNCTION("""COMPUTED_VALUE"""),"Central")</f>
        <v>Central</v>
      </c>
      <c r="F374" s="10">
        <f>IFERROR(__xludf.DUMMYFUNCTION("""COMPUTED_VALUE"""),21.56)</f>
        <v>21.56</v>
      </c>
      <c r="G374" s="11">
        <f>IFERROR(__xludf.DUMMYFUNCTION("""COMPUTED_VALUE"""),7.0)</f>
        <v>7</v>
      </c>
      <c r="H374" s="11">
        <f>IFERROR(__xludf.DUMMYFUNCTION("""COMPUTED_VALUE"""),10.3488)</f>
        <v>10.3488</v>
      </c>
    </row>
    <row r="375">
      <c r="A375" s="8" t="str">
        <f>IFERROR(__xludf.DUMMYFUNCTION("""COMPUTED_VALUE"""),"CA-2014-130421")</f>
        <v>CA-2014-130421</v>
      </c>
      <c r="B375" s="9">
        <f>IFERROR(__xludf.DUMMYFUNCTION("""COMPUTED_VALUE"""),41701.0)</f>
        <v>41701</v>
      </c>
      <c r="C375" s="8" t="str">
        <f>IFERROR(__xludf.DUMMYFUNCTION("""COMPUTED_VALUE"""),"Consumer")</f>
        <v>Consumer</v>
      </c>
      <c r="D375" s="8" t="str">
        <f>IFERROR(__xludf.DUMMYFUNCTION("""COMPUTED_VALUE"""),"Texas")</f>
        <v>Texas</v>
      </c>
      <c r="E375" s="8" t="str">
        <f>IFERROR(__xludf.DUMMYFUNCTION("""COMPUTED_VALUE"""),"Central")</f>
        <v>Central</v>
      </c>
      <c r="F375" s="10">
        <f>IFERROR(__xludf.DUMMYFUNCTION("""COMPUTED_VALUE"""),176.772)</f>
        <v>176.772</v>
      </c>
      <c r="G375" s="11">
        <f>IFERROR(__xludf.DUMMYFUNCTION("""COMPUTED_VALUE"""),3.0)</f>
        <v>3</v>
      </c>
      <c r="H375" s="11">
        <f>IFERROR(__xludf.DUMMYFUNCTION("""COMPUTED_VALUE"""),-459.6072)</f>
        <v>-459.6072</v>
      </c>
    </row>
    <row r="376">
      <c r="A376" s="8" t="str">
        <f>IFERROR(__xludf.DUMMYFUNCTION("""COMPUTED_VALUE"""),"CA-2014-130428")</f>
        <v>CA-2014-130428</v>
      </c>
      <c r="B376" s="9">
        <f>IFERROR(__xludf.DUMMYFUNCTION("""COMPUTED_VALUE"""),41729.0)</f>
        <v>41729</v>
      </c>
      <c r="C376" s="8" t="str">
        <f>IFERROR(__xludf.DUMMYFUNCTION("""COMPUTED_VALUE"""),"Consumer")</f>
        <v>Consumer</v>
      </c>
      <c r="D376" s="8" t="str">
        <f>IFERROR(__xludf.DUMMYFUNCTION("""COMPUTED_VALUE"""),"Florida")</f>
        <v>Florida</v>
      </c>
      <c r="E376" s="8" t="str">
        <f>IFERROR(__xludf.DUMMYFUNCTION("""COMPUTED_VALUE"""),"South")</f>
        <v>South</v>
      </c>
      <c r="F376" s="10">
        <f>IFERROR(__xludf.DUMMYFUNCTION("""COMPUTED_VALUE"""),1125.488)</f>
        <v>1125.488</v>
      </c>
      <c r="G376" s="11">
        <f>IFERROR(__xludf.DUMMYFUNCTION("""COMPUTED_VALUE"""),7.0)</f>
        <v>7</v>
      </c>
      <c r="H376" s="11">
        <f>IFERROR(__xludf.DUMMYFUNCTION("""COMPUTED_VALUE"""),98.4802)</f>
        <v>98.4802</v>
      </c>
    </row>
    <row r="377">
      <c r="A377" s="8" t="str">
        <f>IFERROR(__xludf.DUMMYFUNCTION("""COMPUTED_VALUE"""),"CA-2014-130449")</f>
        <v>CA-2014-130449</v>
      </c>
      <c r="B377" s="9">
        <f>IFERROR(__xludf.DUMMYFUNCTION("""COMPUTED_VALUE"""),41888.0)</f>
        <v>41888</v>
      </c>
      <c r="C377" s="8" t="str">
        <f>IFERROR(__xludf.DUMMYFUNCTION("""COMPUTED_VALUE"""),"Corporate")</f>
        <v>Corporate</v>
      </c>
      <c r="D377" s="8" t="str">
        <f>IFERROR(__xludf.DUMMYFUNCTION("""COMPUTED_VALUE"""),"California")</f>
        <v>California</v>
      </c>
      <c r="E377" s="8" t="str">
        <f>IFERROR(__xludf.DUMMYFUNCTION("""COMPUTED_VALUE"""),"West")</f>
        <v>West</v>
      </c>
      <c r="F377" s="10">
        <f>IFERROR(__xludf.DUMMYFUNCTION("""COMPUTED_VALUE"""),41.88)</f>
        <v>41.88</v>
      </c>
      <c r="G377" s="11">
        <f>IFERROR(__xludf.DUMMYFUNCTION("""COMPUTED_VALUE"""),6.0)</f>
        <v>6</v>
      </c>
      <c r="H377" s="11">
        <f>IFERROR(__xludf.DUMMYFUNCTION("""COMPUTED_VALUE"""),12.1452)</f>
        <v>12.1452</v>
      </c>
    </row>
    <row r="378">
      <c r="A378" s="8" t="str">
        <f>IFERROR(__xludf.DUMMYFUNCTION("""COMPUTED_VALUE"""),"CA-2014-130575")</f>
        <v>CA-2014-130575</v>
      </c>
      <c r="B378" s="9">
        <f>IFERROR(__xludf.DUMMYFUNCTION("""COMPUTED_VALUE"""),41987.0)</f>
        <v>41987</v>
      </c>
      <c r="C378" s="8" t="str">
        <f>IFERROR(__xludf.DUMMYFUNCTION("""COMPUTED_VALUE"""),"Corporate")</f>
        <v>Corporate</v>
      </c>
      <c r="D378" s="8" t="str">
        <f>IFERROR(__xludf.DUMMYFUNCTION("""COMPUTED_VALUE"""),"Illinois")</f>
        <v>Illinois</v>
      </c>
      <c r="E378" s="8" t="str">
        <f>IFERROR(__xludf.DUMMYFUNCTION("""COMPUTED_VALUE"""),"Central")</f>
        <v>Central</v>
      </c>
      <c r="F378" s="10">
        <f>IFERROR(__xludf.DUMMYFUNCTION("""COMPUTED_VALUE"""),9.264)</f>
        <v>9.264</v>
      </c>
      <c r="G378" s="11">
        <f>IFERROR(__xludf.DUMMYFUNCTION("""COMPUTED_VALUE"""),3.0)</f>
        <v>3</v>
      </c>
      <c r="H378" s="11">
        <f>IFERROR(__xludf.DUMMYFUNCTION("""COMPUTED_VALUE"""),-13.896)</f>
        <v>-13.896</v>
      </c>
    </row>
    <row r="379">
      <c r="A379" s="8" t="str">
        <f>IFERROR(__xludf.DUMMYFUNCTION("""COMPUTED_VALUE"""),"CA-2014-130624")</f>
        <v>CA-2014-130624</v>
      </c>
      <c r="B379" s="9">
        <f>IFERROR(__xludf.DUMMYFUNCTION("""COMPUTED_VALUE"""),41811.0)</f>
        <v>41811</v>
      </c>
      <c r="C379" s="8" t="str">
        <f>IFERROR(__xludf.DUMMYFUNCTION("""COMPUTED_VALUE"""),"Consumer")</f>
        <v>Consumer</v>
      </c>
      <c r="D379" s="8" t="str">
        <f>IFERROR(__xludf.DUMMYFUNCTION("""COMPUTED_VALUE"""),"New York")</f>
        <v>New York</v>
      </c>
      <c r="E379" s="8" t="str">
        <f>IFERROR(__xludf.DUMMYFUNCTION("""COMPUTED_VALUE"""),"East")</f>
        <v>East</v>
      </c>
      <c r="F379" s="10">
        <f>IFERROR(__xludf.DUMMYFUNCTION("""COMPUTED_VALUE"""),19.65)</f>
        <v>19.65</v>
      </c>
      <c r="G379" s="11">
        <f>IFERROR(__xludf.DUMMYFUNCTION("""COMPUTED_VALUE"""),3.0)</f>
        <v>3</v>
      </c>
      <c r="H379" s="11">
        <f>IFERROR(__xludf.DUMMYFUNCTION("""COMPUTED_VALUE"""),9.039)</f>
        <v>9.039</v>
      </c>
    </row>
    <row r="380">
      <c r="A380" s="8" t="str">
        <f>IFERROR(__xludf.DUMMYFUNCTION("""COMPUTED_VALUE"""),"CA-2014-130673")</f>
        <v>CA-2014-130673</v>
      </c>
      <c r="B380" s="9">
        <f>IFERROR(__xludf.DUMMYFUNCTION("""COMPUTED_VALUE"""),41779.0)</f>
        <v>41779</v>
      </c>
      <c r="C380" s="8" t="str">
        <f>IFERROR(__xludf.DUMMYFUNCTION("""COMPUTED_VALUE"""),"Corporate")</f>
        <v>Corporate</v>
      </c>
      <c r="D380" s="8" t="str">
        <f>IFERROR(__xludf.DUMMYFUNCTION("""COMPUTED_VALUE"""),"Texas")</f>
        <v>Texas</v>
      </c>
      <c r="E380" s="8" t="str">
        <f>IFERROR(__xludf.DUMMYFUNCTION("""COMPUTED_VALUE"""),"Central")</f>
        <v>Central</v>
      </c>
      <c r="F380" s="10">
        <f>IFERROR(__xludf.DUMMYFUNCTION("""COMPUTED_VALUE"""),10.332)</f>
        <v>10.332</v>
      </c>
      <c r="G380" s="11">
        <f>IFERROR(__xludf.DUMMYFUNCTION("""COMPUTED_VALUE"""),3.0)</f>
        <v>3</v>
      </c>
      <c r="H380" s="11">
        <f>IFERROR(__xludf.DUMMYFUNCTION("""COMPUTED_VALUE"""),-5.9409)</f>
        <v>-5.9409</v>
      </c>
    </row>
    <row r="381">
      <c r="A381" s="8" t="str">
        <f>IFERROR(__xludf.DUMMYFUNCTION("""COMPUTED_VALUE"""),"CA-2014-130729")</f>
        <v>CA-2014-130729</v>
      </c>
      <c r="B381" s="9">
        <f>IFERROR(__xludf.DUMMYFUNCTION("""COMPUTED_VALUE"""),41936.0)</f>
        <v>41936</v>
      </c>
      <c r="C381" s="8" t="str">
        <f>IFERROR(__xludf.DUMMYFUNCTION("""COMPUTED_VALUE"""),"Consumer")</f>
        <v>Consumer</v>
      </c>
      <c r="D381" s="8" t="str">
        <f>IFERROR(__xludf.DUMMYFUNCTION("""COMPUTED_VALUE"""),"California")</f>
        <v>California</v>
      </c>
      <c r="E381" s="8" t="str">
        <f>IFERROR(__xludf.DUMMYFUNCTION("""COMPUTED_VALUE"""),"West")</f>
        <v>West</v>
      </c>
      <c r="F381" s="10">
        <f>IFERROR(__xludf.DUMMYFUNCTION("""COMPUTED_VALUE"""),34.272)</f>
        <v>34.272</v>
      </c>
      <c r="G381" s="11">
        <f>IFERROR(__xludf.DUMMYFUNCTION("""COMPUTED_VALUE"""),3.0)</f>
        <v>3</v>
      </c>
      <c r="H381" s="11">
        <f>IFERROR(__xludf.DUMMYFUNCTION("""COMPUTED_VALUE"""),11.1384)</f>
        <v>11.1384</v>
      </c>
    </row>
    <row r="382">
      <c r="A382" s="8" t="str">
        <f>IFERROR(__xludf.DUMMYFUNCTION("""COMPUTED_VALUE"""),"CA-2014-130813")</f>
        <v>CA-2014-130813</v>
      </c>
      <c r="B382" s="9">
        <f>IFERROR(__xludf.DUMMYFUNCTION("""COMPUTED_VALUE"""),41645.0)</f>
        <v>41645</v>
      </c>
      <c r="C382" s="8" t="str">
        <f>IFERROR(__xludf.DUMMYFUNCTION("""COMPUTED_VALUE"""),"Consumer")</f>
        <v>Consumer</v>
      </c>
      <c r="D382" s="8" t="str">
        <f>IFERROR(__xludf.DUMMYFUNCTION("""COMPUTED_VALUE"""),"California")</f>
        <v>California</v>
      </c>
      <c r="E382" s="8" t="str">
        <f>IFERROR(__xludf.DUMMYFUNCTION("""COMPUTED_VALUE"""),"West")</f>
        <v>West</v>
      </c>
      <c r="F382" s="10">
        <f>IFERROR(__xludf.DUMMYFUNCTION("""COMPUTED_VALUE"""),19.44)</f>
        <v>19.44</v>
      </c>
      <c r="G382" s="11">
        <f>IFERROR(__xludf.DUMMYFUNCTION("""COMPUTED_VALUE"""),3.0)</f>
        <v>3</v>
      </c>
      <c r="H382" s="11">
        <f>IFERROR(__xludf.DUMMYFUNCTION("""COMPUTED_VALUE"""),9.3312)</f>
        <v>9.3312</v>
      </c>
    </row>
    <row r="383">
      <c r="A383" s="8" t="str">
        <f>IFERROR(__xludf.DUMMYFUNCTION("""COMPUTED_VALUE"""),"CA-2014-130869")</f>
        <v>CA-2014-130869</v>
      </c>
      <c r="B383" s="9">
        <f>IFERROR(__xludf.DUMMYFUNCTION("""COMPUTED_VALUE"""),41960.0)</f>
        <v>41960</v>
      </c>
      <c r="C383" s="8" t="str">
        <f>IFERROR(__xludf.DUMMYFUNCTION("""COMPUTED_VALUE"""),"Consumer")</f>
        <v>Consumer</v>
      </c>
      <c r="D383" s="8" t="str">
        <f>IFERROR(__xludf.DUMMYFUNCTION("""COMPUTED_VALUE"""),"Texas")</f>
        <v>Texas</v>
      </c>
      <c r="E383" s="8" t="str">
        <f>IFERROR(__xludf.DUMMYFUNCTION("""COMPUTED_VALUE"""),"Central")</f>
        <v>Central</v>
      </c>
      <c r="F383" s="10">
        <f>IFERROR(__xludf.DUMMYFUNCTION("""COMPUTED_VALUE"""),7.08)</f>
        <v>7.08</v>
      </c>
      <c r="G383" s="11">
        <f>IFERROR(__xludf.DUMMYFUNCTION("""COMPUTED_VALUE"""),3.0)</f>
        <v>3</v>
      </c>
      <c r="H383" s="11">
        <f>IFERROR(__xludf.DUMMYFUNCTION("""COMPUTED_VALUE"""),2.478)</f>
        <v>2.478</v>
      </c>
    </row>
    <row r="384">
      <c r="A384" s="8" t="str">
        <f>IFERROR(__xludf.DUMMYFUNCTION("""COMPUTED_VALUE"""),"CA-2014-130918")</f>
        <v>CA-2014-130918</v>
      </c>
      <c r="B384" s="9">
        <f>IFERROR(__xludf.DUMMYFUNCTION("""COMPUTED_VALUE"""),41873.0)</f>
        <v>41873</v>
      </c>
      <c r="C384" s="8" t="str">
        <f>IFERROR(__xludf.DUMMYFUNCTION("""COMPUTED_VALUE"""),"Consumer")</f>
        <v>Consumer</v>
      </c>
      <c r="D384" s="8" t="str">
        <f>IFERROR(__xludf.DUMMYFUNCTION("""COMPUTED_VALUE"""),"Florida")</f>
        <v>Florida</v>
      </c>
      <c r="E384" s="8" t="str">
        <f>IFERROR(__xludf.DUMMYFUNCTION("""COMPUTED_VALUE"""),"South")</f>
        <v>South</v>
      </c>
      <c r="F384" s="10">
        <f>IFERROR(__xludf.DUMMYFUNCTION("""COMPUTED_VALUE"""),7.632)</f>
        <v>7.632</v>
      </c>
      <c r="G384" s="11">
        <f>IFERROR(__xludf.DUMMYFUNCTION("""COMPUTED_VALUE"""),3.0)</f>
        <v>3</v>
      </c>
      <c r="H384" s="11">
        <f>IFERROR(__xludf.DUMMYFUNCTION("""COMPUTED_VALUE"""),-1.8126)</f>
        <v>-1.8126</v>
      </c>
    </row>
    <row r="385">
      <c r="A385" s="8" t="str">
        <f>IFERROR(__xludf.DUMMYFUNCTION("""COMPUTED_VALUE"""),"CA-2014-130960")</f>
        <v>CA-2014-130960</v>
      </c>
      <c r="B385" s="9">
        <f>IFERROR(__xludf.DUMMYFUNCTION("""COMPUTED_VALUE"""),42003.0)</f>
        <v>42003</v>
      </c>
      <c r="C385" s="8" t="str">
        <f>IFERROR(__xludf.DUMMYFUNCTION("""COMPUTED_VALUE"""),"Corporate")</f>
        <v>Corporate</v>
      </c>
      <c r="D385" s="8" t="str">
        <f>IFERROR(__xludf.DUMMYFUNCTION("""COMPUTED_VALUE"""),"Michigan")</f>
        <v>Michigan</v>
      </c>
      <c r="E385" s="8" t="str">
        <f>IFERROR(__xludf.DUMMYFUNCTION("""COMPUTED_VALUE"""),"Central")</f>
        <v>Central</v>
      </c>
      <c r="F385" s="10">
        <f>IFERROR(__xludf.DUMMYFUNCTION("""COMPUTED_VALUE"""),9.84)</f>
        <v>9.84</v>
      </c>
      <c r="G385" s="11">
        <f>IFERROR(__xludf.DUMMYFUNCTION("""COMPUTED_VALUE"""),3.0)</f>
        <v>3</v>
      </c>
      <c r="H385" s="11">
        <f>IFERROR(__xludf.DUMMYFUNCTION("""COMPUTED_VALUE"""),2.8536)</f>
        <v>2.8536</v>
      </c>
    </row>
    <row r="386">
      <c r="A386" s="8" t="str">
        <f>IFERROR(__xludf.DUMMYFUNCTION("""COMPUTED_VALUE"""),"CA-2014-131002")</f>
        <v>CA-2014-131002</v>
      </c>
      <c r="B386" s="9">
        <f>IFERROR(__xludf.DUMMYFUNCTION("""COMPUTED_VALUE"""),41889.0)</f>
        <v>41889</v>
      </c>
      <c r="C386" s="8" t="str">
        <f>IFERROR(__xludf.DUMMYFUNCTION("""COMPUTED_VALUE"""),"Consumer")</f>
        <v>Consumer</v>
      </c>
      <c r="D386" s="8" t="str">
        <f>IFERROR(__xludf.DUMMYFUNCTION("""COMPUTED_VALUE"""),"Oklahoma")</f>
        <v>Oklahoma</v>
      </c>
      <c r="E386" s="8" t="str">
        <f>IFERROR(__xludf.DUMMYFUNCTION("""COMPUTED_VALUE"""),"Central")</f>
        <v>Central</v>
      </c>
      <c r="F386" s="10">
        <f>IFERROR(__xludf.DUMMYFUNCTION("""COMPUTED_VALUE"""),57.69)</f>
        <v>57.69</v>
      </c>
      <c r="G386" s="11">
        <f>IFERROR(__xludf.DUMMYFUNCTION("""COMPUTED_VALUE"""),3.0)</f>
        <v>3</v>
      </c>
      <c r="H386" s="11">
        <f>IFERROR(__xludf.DUMMYFUNCTION("""COMPUTED_VALUE"""),23.6529)</f>
        <v>23.6529</v>
      </c>
    </row>
    <row r="387">
      <c r="A387" s="8" t="str">
        <f>IFERROR(__xludf.DUMMYFUNCTION("""COMPUTED_VALUE"""),"CA-2014-131009")</f>
        <v>CA-2014-131009</v>
      </c>
      <c r="B387" s="9">
        <f>IFERROR(__xludf.DUMMYFUNCTION("""COMPUTED_VALUE"""),41699.0)</f>
        <v>41699</v>
      </c>
      <c r="C387" s="8" t="str">
        <f>IFERROR(__xludf.DUMMYFUNCTION("""COMPUTED_VALUE"""),"Consumer")</f>
        <v>Consumer</v>
      </c>
      <c r="D387" s="8" t="str">
        <f>IFERROR(__xludf.DUMMYFUNCTION("""COMPUTED_VALUE"""),"Texas")</f>
        <v>Texas</v>
      </c>
      <c r="E387" s="8" t="str">
        <f>IFERROR(__xludf.DUMMYFUNCTION("""COMPUTED_VALUE"""),"Central")</f>
        <v>Central</v>
      </c>
      <c r="F387" s="10">
        <f>IFERROR(__xludf.DUMMYFUNCTION("""COMPUTED_VALUE"""),18.84)</f>
        <v>18.84</v>
      </c>
      <c r="G387" s="11">
        <f>IFERROR(__xludf.DUMMYFUNCTION("""COMPUTED_VALUE"""),5.0)</f>
        <v>5</v>
      </c>
      <c r="H387" s="11">
        <f>IFERROR(__xludf.DUMMYFUNCTION("""COMPUTED_VALUE"""),-3.5325)</f>
        <v>-3.5325</v>
      </c>
    </row>
    <row r="388">
      <c r="A388" s="8" t="str">
        <f>IFERROR(__xludf.DUMMYFUNCTION("""COMPUTED_VALUE"""),"CA-2014-131051")</f>
        <v>CA-2014-131051</v>
      </c>
      <c r="B388" s="9">
        <f>IFERROR(__xludf.DUMMYFUNCTION("""COMPUTED_VALUE"""),41974.0)</f>
        <v>41974</v>
      </c>
      <c r="C388" s="8" t="str">
        <f>IFERROR(__xludf.DUMMYFUNCTION("""COMPUTED_VALUE"""),"Consumer")</f>
        <v>Consumer</v>
      </c>
      <c r="D388" s="8" t="str">
        <f>IFERROR(__xludf.DUMMYFUNCTION("""COMPUTED_VALUE"""),"California")</f>
        <v>California</v>
      </c>
      <c r="E388" s="8" t="str">
        <f>IFERROR(__xludf.DUMMYFUNCTION("""COMPUTED_VALUE"""),"West")</f>
        <v>West</v>
      </c>
      <c r="F388" s="10">
        <f>IFERROR(__xludf.DUMMYFUNCTION("""COMPUTED_VALUE"""),58.2)</f>
        <v>58.2</v>
      </c>
      <c r="G388" s="11">
        <f>IFERROR(__xludf.DUMMYFUNCTION("""COMPUTED_VALUE"""),3.0)</f>
        <v>3</v>
      </c>
      <c r="H388" s="11">
        <f>IFERROR(__xludf.DUMMYFUNCTION("""COMPUTED_VALUE"""),28.518)</f>
        <v>28.518</v>
      </c>
    </row>
    <row r="389">
      <c r="A389" s="8" t="str">
        <f>IFERROR(__xludf.DUMMYFUNCTION("""COMPUTED_VALUE"""),"CA-2014-131247")</f>
        <v>CA-2014-131247</v>
      </c>
      <c r="B389" s="9">
        <f>IFERROR(__xludf.DUMMYFUNCTION("""COMPUTED_VALUE"""),41728.0)</f>
        <v>41728</v>
      </c>
      <c r="C389" s="8" t="str">
        <f>IFERROR(__xludf.DUMMYFUNCTION("""COMPUTED_VALUE"""),"Consumer")</f>
        <v>Consumer</v>
      </c>
      <c r="D389" s="8" t="str">
        <f>IFERROR(__xludf.DUMMYFUNCTION("""COMPUTED_VALUE"""),"California")</f>
        <v>California</v>
      </c>
      <c r="E389" s="8" t="str">
        <f>IFERROR(__xludf.DUMMYFUNCTION("""COMPUTED_VALUE"""),"West")</f>
        <v>West</v>
      </c>
      <c r="F389" s="10">
        <f>IFERROR(__xludf.DUMMYFUNCTION("""COMPUTED_VALUE"""),205.666)</f>
        <v>205.666</v>
      </c>
      <c r="G389" s="11">
        <f>IFERROR(__xludf.DUMMYFUNCTION("""COMPUTED_VALUE"""),2.0)</f>
        <v>2</v>
      </c>
      <c r="H389" s="11">
        <f>IFERROR(__xludf.DUMMYFUNCTION("""COMPUTED_VALUE"""),-12.098)</f>
        <v>-12.098</v>
      </c>
    </row>
    <row r="390">
      <c r="A390" s="8" t="str">
        <f>IFERROR(__xludf.DUMMYFUNCTION("""COMPUTED_VALUE"""),"CA-2014-131310")</f>
        <v>CA-2014-131310</v>
      </c>
      <c r="B390" s="9">
        <f>IFERROR(__xludf.DUMMYFUNCTION("""COMPUTED_VALUE"""),41832.0)</f>
        <v>41832</v>
      </c>
      <c r="C390" s="8" t="str">
        <f>IFERROR(__xludf.DUMMYFUNCTION("""COMPUTED_VALUE"""),"Consumer")</f>
        <v>Consumer</v>
      </c>
      <c r="D390" s="8" t="str">
        <f>IFERROR(__xludf.DUMMYFUNCTION("""COMPUTED_VALUE"""),"Washington")</f>
        <v>Washington</v>
      </c>
      <c r="E390" s="8" t="str">
        <f>IFERROR(__xludf.DUMMYFUNCTION("""COMPUTED_VALUE"""),"West")</f>
        <v>West</v>
      </c>
      <c r="F390" s="10">
        <f>IFERROR(__xludf.DUMMYFUNCTION("""COMPUTED_VALUE"""),123.136)</f>
        <v>123.136</v>
      </c>
      <c r="G390" s="11">
        <f>IFERROR(__xludf.DUMMYFUNCTION("""COMPUTED_VALUE"""),4.0)</f>
        <v>4</v>
      </c>
      <c r="H390" s="11">
        <f>IFERROR(__xludf.DUMMYFUNCTION("""COMPUTED_VALUE"""),13.8528)</f>
        <v>13.8528</v>
      </c>
    </row>
    <row r="391">
      <c r="A391" s="8" t="str">
        <f>IFERROR(__xludf.DUMMYFUNCTION("""COMPUTED_VALUE"""),"CA-2014-131387")</f>
        <v>CA-2014-131387</v>
      </c>
      <c r="B391" s="9">
        <f>IFERROR(__xludf.DUMMYFUNCTION("""COMPUTED_VALUE"""),41757.0)</f>
        <v>41757</v>
      </c>
      <c r="C391" s="8" t="str">
        <f>IFERROR(__xludf.DUMMYFUNCTION("""COMPUTED_VALUE"""),"Consumer")</f>
        <v>Consumer</v>
      </c>
      <c r="D391" s="8" t="str">
        <f>IFERROR(__xludf.DUMMYFUNCTION("""COMPUTED_VALUE"""),"California")</f>
        <v>California</v>
      </c>
      <c r="E391" s="8" t="str">
        <f>IFERROR(__xludf.DUMMYFUNCTION("""COMPUTED_VALUE"""),"West")</f>
        <v>West</v>
      </c>
      <c r="F391" s="10">
        <f>IFERROR(__xludf.DUMMYFUNCTION("""COMPUTED_VALUE"""),1679.96)</f>
        <v>1679.96</v>
      </c>
      <c r="G391" s="11">
        <f>IFERROR(__xludf.DUMMYFUNCTION("""COMPUTED_VALUE"""),5.0)</f>
        <v>5</v>
      </c>
      <c r="H391" s="11">
        <f>IFERROR(__xludf.DUMMYFUNCTION("""COMPUTED_VALUE"""),125.997)</f>
        <v>125.997</v>
      </c>
    </row>
    <row r="392">
      <c r="A392" s="8" t="str">
        <f>IFERROR(__xludf.DUMMYFUNCTION("""COMPUTED_VALUE"""),"CA-2014-131450")</f>
        <v>CA-2014-131450</v>
      </c>
      <c r="B392" s="9">
        <f>IFERROR(__xludf.DUMMYFUNCTION("""COMPUTED_VALUE"""),41859.0)</f>
        <v>41859</v>
      </c>
      <c r="C392" s="8" t="str">
        <f>IFERROR(__xludf.DUMMYFUNCTION("""COMPUTED_VALUE"""),"Consumer")</f>
        <v>Consumer</v>
      </c>
      <c r="D392" s="8" t="str">
        <f>IFERROR(__xludf.DUMMYFUNCTION("""COMPUTED_VALUE"""),"California")</f>
        <v>California</v>
      </c>
      <c r="E392" s="8" t="str">
        <f>IFERROR(__xludf.DUMMYFUNCTION("""COMPUTED_VALUE"""),"West")</f>
        <v>West</v>
      </c>
      <c r="F392" s="10">
        <f>IFERROR(__xludf.DUMMYFUNCTION("""COMPUTED_VALUE"""),76.12)</f>
        <v>76.12</v>
      </c>
      <c r="G392" s="11">
        <f>IFERROR(__xludf.DUMMYFUNCTION("""COMPUTED_VALUE"""),2.0)</f>
        <v>2</v>
      </c>
      <c r="H392" s="11">
        <f>IFERROR(__xludf.DUMMYFUNCTION("""COMPUTED_VALUE"""),22.0748)</f>
        <v>22.0748</v>
      </c>
    </row>
    <row r="393">
      <c r="A393" s="8" t="str">
        <f>IFERROR(__xludf.DUMMYFUNCTION("""COMPUTED_VALUE"""),"CA-2014-131527")</f>
        <v>CA-2014-131527</v>
      </c>
      <c r="B393" s="9">
        <f>IFERROR(__xludf.DUMMYFUNCTION("""COMPUTED_VALUE"""),41974.0)</f>
        <v>41974</v>
      </c>
      <c r="C393" s="8" t="str">
        <f>IFERROR(__xludf.DUMMYFUNCTION("""COMPUTED_VALUE"""),"Consumer")</f>
        <v>Consumer</v>
      </c>
      <c r="D393" s="8" t="str">
        <f>IFERROR(__xludf.DUMMYFUNCTION("""COMPUTED_VALUE"""),"North Carolina")</f>
        <v>North Carolina</v>
      </c>
      <c r="E393" s="8" t="str">
        <f>IFERROR(__xludf.DUMMYFUNCTION("""COMPUTED_VALUE"""),"South")</f>
        <v>South</v>
      </c>
      <c r="F393" s="10">
        <f>IFERROR(__xludf.DUMMYFUNCTION("""COMPUTED_VALUE"""),95.968)</f>
        <v>95.968</v>
      </c>
      <c r="G393" s="11">
        <f>IFERROR(__xludf.DUMMYFUNCTION("""COMPUTED_VALUE"""),4.0)</f>
        <v>4</v>
      </c>
      <c r="H393" s="11">
        <f>IFERROR(__xludf.DUMMYFUNCTION("""COMPUTED_VALUE"""),9.5968)</f>
        <v>9.5968</v>
      </c>
    </row>
    <row r="394">
      <c r="A394" s="8" t="str">
        <f>IFERROR(__xludf.DUMMYFUNCTION("""COMPUTED_VALUE"""),"CA-2014-131541")</f>
        <v>CA-2014-131541</v>
      </c>
      <c r="B394" s="9">
        <f>IFERROR(__xludf.DUMMYFUNCTION("""COMPUTED_VALUE"""),41848.0)</f>
        <v>41848</v>
      </c>
      <c r="C394" s="8" t="str">
        <f>IFERROR(__xludf.DUMMYFUNCTION("""COMPUTED_VALUE"""),"Consumer")</f>
        <v>Consumer</v>
      </c>
      <c r="D394" s="8" t="str">
        <f>IFERROR(__xludf.DUMMYFUNCTION("""COMPUTED_VALUE"""),"Florida")</f>
        <v>Florida</v>
      </c>
      <c r="E394" s="8" t="str">
        <f>IFERROR(__xludf.DUMMYFUNCTION("""COMPUTED_VALUE"""),"South")</f>
        <v>South</v>
      </c>
      <c r="F394" s="10">
        <f>IFERROR(__xludf.DUMMYFUNCTION("""COMPUTED_VALUE"""),14.32)</f>
        <v>14.32</v>
      </c>
      <c r="G394" s="11">
        <f>IFERROR(__xludf.DUMMYFUNCTION("""COMPUTED_VALUE"""),5.0)</f>
        <v>5</v>
      </c>
      <c r="H394" s="11">
        <f>IFERROR(__xludf.DUMMYFUNCTION("""COMPUTED_VALUE"""),5.191)</f>
        <v>5.191</v>
      </c>
    </row>
    <row r="395">
      <c r="A395" s="8" t="str">
        <f>IFERROR(__xludf.DUMMYFUNCTION("""COMPUTED_VALUE"""),"CA-2014-131800")</f>
        <v>CA-2014-131800</v>
      </c>
      <c r="B395" s="9">
        <f>IFERROR(__xludf.DUMMYFUNCTION("""COMPUTED_VALUE"""),42003.0)</f>
        <v>42003</v>
      </c>
      <c r="C395" s="8" t="str">
        <f>IFERROR(__xludf.DUMMYFUNCTION("""COMPUTED_VALUE"""),"Consumer")</f>
        <v>Consumer</v>
      </c>
      <c r="D395" s="8" t="str">
        <f>IFERROR(__xludf.DUMMYFUNCTION("""COMPUTED_VALUE"""),"New York")</f>
        <v>New York</v>
      </c>
      <c r="E395" s="8" t="str">
        <f>IFERROR(__xludf.DUMMYFUNCTION("""COMPUTED_VALUE"""),"East")</f>
        <v>East</v>
      </c>
      <c r="F395" s="10">
        <f>IFERROR(__xludf.DUMMYFUNCTION("""COMPUTED_VALUE"""),122.94)</f>
        <v>122.94</v>
      </c>
      <c r="G395" s="11">
        <f>IFERROR(__xludf.DUMMYFUNCTION("""COMPUTED_VALUE"""),3.0)</f>
        <v>3</v>
      </c>
      <c r="H395" s="11">
        <f>IFERROR(__xludf.DUMMYFUNCTION("""COMPUTED_VALUE"""),30.735)</f>
        <v>30.735</v>
      </c>
    </row>
    <row r="396">
      <c r="A396" s="8" t="str">
        <f>IFERROR(__xludf.DUMMYFUNCTION("""COMPUTED_VALUE"""),"CA-2014-131905")</f>
        <v>CA-2014-131905</v>
      </c>
      <c r="B396" s="9">
        <f>IFERROR(__xludf.DUMMYFUNCTION("""COMPUTED_VALUE"""),41676.0)</f>
        <v>41676</v>
      </c>
      <c r="C396" s="8" t="str">
        <f>IFERROR(__xludf.DUMMYFUNCTION("""COMPUTED_VALUE"""),"Corporate")</f>
        <v>Corporate</v>
      </c>
      <c r="D396" s="8" t="str">
        <f>IFERROR(__xludf.DUMMYFUNCTION("""COMPUTED_VALUE"""),"Virginia")</f>
        <v>Virginia</v>
      </c>
      <c r="E396" s="8" t="str">
        <f>IFERROR(__xludf.DUMMYFUNCTION("""COMPUTED_VALUE"""),"South")</f>
        <v>South</v>
      </c>
      <c r="F396" s="10">
        <f>IFERROR(__xludf.DUMMYFUNCTION("""COMPUTED_VALUE"""),15.0)</f>
        <v>15</v>
      </c>
      <c r="G396" s="11">
        <f>IFERROR(__xludf.DUMMYFUNCTION("""COMPUTED_VALUE"""),4.0)</f>
        <v>4</v>
      </c>
      <c r="H396" s="11">
        <f>IFERROR(__xludf.DUMMYFUNCTION("""COMPUTED_VALUE"""),7.2)</f>
        <v>7.2</v>
      </c>
    </row>
    <row r="397">
      <c r="A397" s="8" t="str">
        <f>IFERROR(__xludf.DUMMYFUNCTION("""COMPUTED_VALUE"""),"CA-2014-131926")</f>
        <v>CA-2014-131926</v>
      </c>
      <c r="B397" s="9">
        <f>IFERROR(__xludf.DUMMYFUNCTION("""COMPUTED_VALUE"""),41791.0)</f>
        <v>41791</v>
      </c>
      <c r="C397" s="8" t="str">
        <f>IFERROR(__xludf.DUMMYFUNCTION("""COMPUTED_VALUE"""),"Home Office")</f>
        <v>Home Office</v>
      </c>
      <c r="D397" s="8" t="str">
        <f>IFERROR(__xludf.DUMMYFUNCTION("""COMPUTED_VALUE"""),"Minnesota")</f>
        <v>Minnesota</v>
      </c>
      <c r="E397" s="8" t="str">
        <f>IFERROR(__xludf.DUMMYFUNCTION("""COMPUTED_VALUE"""),"Central")</f>
        <v>Central</v>
      </c>
      <c r="F397" s="10">
        <f>IFERROR(__xludf.DUMMYFUNCTION("""COMPUTED_VALUE"""),2001.86)</f>
        <v>2001.86</v>
      </c>
      <c r="G397" s="11">
        <f>IFERROR(__xludf.DUMMYFUNCTION("""COMPUTED_VALUE"""),7.0)</f>
        <v>7</v>
      </c>
      <c r="H397" s="11">
        <f>IFERROR(__xludf.DUMMYFUNCTION("""COMPUTED_VALUE"""),580.5394)</f>
        <v>580.5394</v>
      </c>
    </row>
    <row r="398">
      <c r="A398" s="8" t="str">
        <f>IFERROR(__xludf.DUMMYFUNCTION("""COMPUTED_VALUE"""),"CA-2014-131947")</f>
        <v>CA-2014-131947</v>
      </c>
      <c r="B398" s="9">
        <f>IFERROR(__xludf.DUMMYFUNCTION("""COMPUTED_VALUE"""),41899.0)</f>
        <v>41899</v>
      </c>
      <c r="C398" s="8" t="str">
        <f>IFERROR(__xludf.DUMMYFUNCTION("""COMPUTED_VALUE"""),"Consumer")</f>
        <v>Consumer</v>
      </c>
      <c r="D398" s="8" t="str">
        <f>IFERROR(__xludf.DUMMYFUNCTION("""COMPUTED_VALUE"""),"Oregon")</f>
        <v>Oregon</v>
      </c>
      <c r="E398" s="8" t="str">
        <f>IFERROR(__xludf.DUMMYFUNCTION("""COMPUTED_VALUE"""),"West")</f>
        <v>West</v>
      </c>
      <c r="F398" s="10">
        <f>IFERROR(__xludf.DUMMYFUNCTION("""COMPUTED_VALUE"""),5.248)</f>
        <v>5.248</v>
      </c>
      <c r="G398" s="11">
        <f>IFERROR(__xludf.DUMMYFUNCTION("""COMPUTED_VALUE"""),2.0)</f>
        <v>2</v>
      </c>
      <c r="H398" s="11">
        <f>IFERROR(__xludf.DUMMYFUNCTION("""COMPUTED_VALUE"""),0.4592)</f>
        <v>0.4592</v>
      </c>
    </row>
    <row r="399">
      <c r="A399" s="8" t="str">
        <f>IFERROR(__xludf.DUMMYFUNCTION("""COMPUTED_VALUE"""),"CA-2014-132010")</f>
        <v>CA-2014-132010</v>
      </c>
      <c r="B399" s="9">
        <f>IFERROR(__xludf.DUMMYFUNCTION("""COMPUTED_VALUE"""),41925.0)</f>
        <v>41925</v>
      </c>
      <c r="C399" s="8" t="str">
        <f>IFERROR(__xludf.DUMMYFUNCTION("""COMPUTED_VALUE"""),"Home Office")</f>
        <v>Home Office</v>
      </c>
      <c r="D399" s="8" t="str">
        <f>IFERROR(__xludf.DUMMYFUNCTION("""COMPUTED_VALUE"""),"Virginia")</f>
        <v>Virginia</v>
      </c>
      <c r="E399" s="8" t="str">
        <f>IFERROR(__xludf.DUMMYFUNCTION("""COMPUTED_VALUE"""),"South")</f>
        <v>South</v>
      </c>
      <c r="F399" s="10">
        <f>IFERROR(__xludf.DUMMYFUNCTION("""COMPUTED_VALUE"""),36.4)</f>
        <v>36.4</v>
      </c>
      <c r="G399" s="11">
        <f>IFERROR(__xludf.DUMMYFUNCTION("""COMPUTED_VALUE"""),5.0)</f>
        <v>5</v>
      </c>
      <c r="H399" s="11">
        <f>IFERROR(__xludf.DUMMYFUNCTION("""COMPUTED_VALUE"""),17.472)</f>
        <v>17.472</v>
      </c>
    </row>
    <row r="400">
      <c r="A400" s="8" t="str">
        <f>IFERROR(__xludf.DUMMYFUNCTION("""COMPUTED_VALUE"""),"CA-2014-132227")</f>
        <v>CA-2014-132227</v>
      </c>
      <c r="B400" s="9">
        <f>IFERROR(__xludf.DUMMYFUNCTION("""COMPUTED_VALUE"""),41947.0)</f>
        <v>41947</v>
      </c>
      <c r="C400" s="8" t="str">
        <f>IFERROR(__xludf.DUMMYFUNCTION("""COMPUTED_VALUE"""),"Home Office")</f>
        <v>Home Office</v>
      </c>
      <c r="D400" s="8" t="str">
        <f>IFERROR(__xludf.DUMMYFUNCTION("""COMPUTED_VALUE"""),"New York")</f>
        <v>New York</v>
      </c>
      <c r="E400" s="8" t="str">
        <f>IFERROR(__xludf.DUMMYFUNCTION("""COMPUTED_VALUE"""),"East")</f>
        <v>East</v>
      </c>
      <c r="F400" s="10">
        <f>IFERROR(__xludf.DUMMYFUNCTION("""COMPUTED_VALUE"""),52.064)</f>
        <v>52.064</v>
      </c>
      <c r="G400" s="11">
        <f>IFERROR(__xludf.DUMMYFUNCTION("""COMPUTED_VALUE"""),4.0)</f>
        <v>4</v>
      </c>
      <c r="H400" s="11">
        <f>IFERROR(__xludf.DUMMYFUNCTION("""COMPUTED_VALUE"""),18.8732)</f>
        <v>18.8732</v>
      </c>
    </row>
    <row r="401">
      <c r="A401" s="8" t="str">
        <f>IFERROR(__xludf.DUMMYFUNCTION("""COMPUTED_VALUE"""),"CA-2014-132451")</f>
        <v>CA-2014-132451</v>
      </c>
      <c r="B401" s="9">
        <f>IFERROR(__xludf.DUMMYFUNCTION("""COMPUTED_VALUE"""),41908.0)</f>
        <v>41908</v>
      </c>
      <c r="C401" s="8" t="str">
        <f>IFERROR(__xludf.DUMMYFUNCTION("""COMPUTED_VALUE"""),"Home Office")</f>
        <v>Home Office</v>
      </c>
      <c r="D401" s="8" t="str">
        <f>IFERROR(__xludf.DUMMYFUNCTION("""COMPUTED_VALUE"""),"California")</f>
        <v>California</v>
      </c>
      <c r="E401" s="8" t="str">
        <f>IFERROR(__xludf.DUMMYFUNCTION("""COMPUTED_VALUE"""),"West")</f>
        <v>West</v>
      </c>
      <c r="F401" s="10">
        <f>IFERROR(__xludf.DUMMYFUNCTION("""COMPUTED_VALUE"""),585.552)</f>
        <v>585.552</v>
      </c>
      <c r="G401" s="11">
        <f>IFERROR(__xludf.DUMMYFUNCTION("""COMPUTED_VALUE"""),3.0)</f>
        <v>3</v>
      </c>
      <c r="H401" s="11">
        <f>IFERROR(__xludf.DUMMYFUNCTION("""COMPUTED_VALUE"""),73.194)</f>
        <v>73.194</v>
      </c>
    </row>
    <row r="402">
      <c r="A402" s="8" t="str">
        <f>IFERROR(__xludf.DUMMYFUNCTION("""COMPUTED_VALUE"""),"CA-2014-132500")</f>
        <v>CA-2014-132500</v>
      </c>
      <c r="B402" s="9">
        <f>IFERROR(__xludf.DUMMYFUNCTION("""COMPUTED_VALUE"""),41890.0)</f>
        <v>41890</v>
      </c>
      <c r="C402" s="8" t="str">
        <f>IFERROR(__xludf.DUMMYFUNCTION("""COMPUTED_VALUE"""),"Consumer")</f>
        <v>Consumer</v>
      </c>
      <c r="D402" s="8" t="str">
        <f>IFERROR(__xludf.DUMMYFUNCTION("""COMPUTED_VALUE"""),"California")</f>
        <v>California</v>
      </c>
      <c r="E402" s="8" t="str">
        <f>IFERROR(__xludf.DUMMYFUNCTION("""COMPUTED_VALUE"""),"West")</f>
        <v>West</v>
      </c>
      <c r="F402" s="10">
        <f>IFERROR(__xludf.DUMMYFUNCTION("""COMPUTED_VALUE"""),49.98)</f>
        <v>49.98</v>
      </c>
      <c r="G402" s="11">
        <f>IFERROR(__xludf.DUMMYFUNCTION("""COMPUTED_VALUE"""),2.0)</f>
        <v>2</v>
      </c>
      <c r="H402" s="11">
        <f>IFERROR(__xludf.DUMMYFUNCTION("""COMPUTED_VALUE"""),8.4966)</f>
        <v>8.4966</v>
      </c>
    </row>
    <row r="403">
      <c r="A403" s="8" t="str">
        <f>IFERROR(__xludf.DUMMYFUNCTION("""COMPUTED_VALUE"""),"CA-2014-132542")</f>
        <v>CA-2014-132542</v>
      </c>
      <c r="B403" s="9">
        <f>IFERROR(__xludf.DUMMYFUNCTION("""COMPUTED_VALUE"""),41918.0)</f>
        <v>41918</v>
      </c>
      <c r="C403" s="8" t="str">
        <f>IFERROR(__xludf.DUMMYFUNCTION("""COMPUTED_VALUE"""),"Corporate")</f>
        <v>Corporate</v>
      </c>
      <c r="D403" s="8" t="str">
        <f>IFERROR(__xludf.DUMMYFUNCTION("""COMPUTED_VALUE"""),"Nebraska")</f>
        <v>Nebraska</v>
      </c>
      <c r="E403" s="8" t="str">
        <f>IFERROR(__xludf.DUMMYFUNCTION("""COMPUTED_VALUE"""),"Central")</f>
        <v>Central</v>
      </c>
      <c r="F403" s="10">
        <f>IFERROR(__xludf.DUMMYFUNCTION("""COMPUTED_VALUE"""),15.36)</f>
        <v>15.36</v>
      </c>
      <c r="G403" s="11">
        <f>IFERROR(__xludf.DUMMYFUNCTION("""COMPUTED_VALUE"""),2.0)</f>
        <v>2</v>
      </c>
      <c r="H403" s="11">
        <f>IFERROR(__xludf.DUMMYFUNCTION("""COMPUTED_VALUE"""),7.68)</f>
        <v>7.68</v>
      </c>
    </row>
    <row r="404">
      <c r="A404" s="8" t="str">
        <f>IFERROR(__xludf.DUMMYFUNCTION("""COMPUTED_VALUE"""),"CA-2014-132612")</f>
        <v>CA-2014-132612</v>
      </c>
      <c r="B404" s="9">
        <f>IFERROR(__xludf.DUMMYFUNCTION("""COMPUTED_VALUE"""),41799.0)</f>
        <v>41799</v>
      </c>
      <c r="C404" s="8" t="str">
        <f>IFERROR(__xludf.DUMMYFUNCTION("""COMPUTED_VALUE"""),"Consumer")</f>
        <v>Consumer</v>
      </c>
      <c r="D404" s="8" t="str">
        <f>IFERROR(__xludf.DUMMYFUNCTION("""COMPUTED_VALUE"""),"Virginia")</f>
        <v>Virginia</v>
      </c>
      <c r="E404" s="8" t="str">
        <f>IFERROR(__xludf.DUMMYFUNCTION("""COMPUTED_VALUE"""),"South")</f>
        <v>South</v>
      </c>
      <c r="F404" s="10">
        <f>IFERROR(__xludf.DUMMYFUNCTION("""COMPUTED_VALUE"""),1441.3)</f>
        <v>1441.3</v>
      </c>
      <c r="G404" s="11">
        <f>IFERROR(__xludf.DUMMYFUNCTION("""COMPUTED_VALUE"""),7.0)</f>
        <v>7</v>
      </c>
      <c r="H404" s="11">
        <f>IFERROR(__xludf.DUMMYFUNCTION("""COMPUTED_VALUE"""),245.021)</f>
        <v>245.021</v>
      </c>
    </row>
    <row r="405">
      <c r="A405" s="8" t="str">
        <f>IFERROR(__xludf.DUMMYFUNCTION("""COMPUTED_VALUE"""),"CA-2014-132787")</f>
        <v>CA-2014-132787</v>
      </c>
      <c r="B405" s="9">
        <f>IFERROR(__xludf.DUMMYFUNCTION("""COMPUTED_VALUE"""),41901.0)</f>
        <v>41901</v>
      </c>
      <c r="C405" s="8" t="str">
        <f>IFERROR(__xludf.DUMMYFUNCTION("""COMPUTED_VALUE"""),"Corporate")</f>
        <v>Corporate</v>
      </c>
      <c r="D405" s="8" t="str">
        <f>IFERROR(__xludf.DUMMYFUNCTION("""COMPUTED_VALUE"""),"Washington")</f>
        <v>Washington</v>
      </c>
      <c r="E405" s="8" t="str">
        <f>IFERROR(__xludf.DUMMYFUNCTION("""COMPUTED_VALUE"""),"West")</f>
        <v>West</v>
      </c>
      <c r="F405" s="10">
        <f>IFERROR(__xludf.DUMMYFUNCTION("""COMPUTED_VALUE"""),92.52)</f>
        <v>92.52</v>
      </c>
      <c r="G405" s="11">
        <f>IFERROR(__xludf.DUMMYFUNCTION("""COMPUTED_VALUE"""),6.0)</f>
        <v>6</v>
      </c>
      <c r="H405" s="11">
        <f>IFERROR(__xludf.DUMMYFUNCTION("""COMPUTED_VALUE"""),24.9804)</f>
        <v>24.9804</v>
      </c>
    </row>
    <row r="406">
      <c r="A406" s="8" t="str">
        <f>IFERROR(__xludf.DUMMYFUNCTION("""COMPUTED_VALUE"""),"CA-2014-132801")</f>
        <v>CA-2014-132801</v>
      </c>
      <c r="B406" s="9">
        <f>IFERROR(__xludf.DUMMYFUNCTION("""COMPUTED_VALUE"""),41919.0)</f>
        <v>41919</v>
      </c>
      <c r="C406" s="8" t="str">
        <f>IFERROR(__xludf.DUMMYFUNCTION("""COMPUTED_VALUE"""),"Corporate")</f>
        <v>Corporate</v>
      </c>
      <c r="D406" s="8" t="str">
        <f>IFERROR(__xludf.DUMMYFUNCTION("""COMPUTED_VALUE"""),"Texas")</f>
        <v>Texas</v>
      </c>
      <c r="E406" s="8" t="str">
        <f>IFERROR(__xludf.DUMMYFUNCTION("""COMPUTED_VALUE"""),"Central")</f>
        <v>Central</v>
      </c>
      <c r="F406" s="10">
        <f>IFERROR(__xludf.DUMMYFUNCTION("""COMPUTED_VALUE"""),107.44)</f>
        <v>107.44</v>
      </c>
      <c r="G406" s="11">
        <f>IFERROR(__xludf.DUMMYFUNCTION("""COMPUTED_VALUE"""),10.0)</f>
        <v>10</v>
      </c>
      <c r="H406" s="11">
        <f>IFERROR(__xludf.DUMMYFUNCTION("""COMPUTED_VALUE"""),10.744)</f>
        <v>10.744</v>
      </c>
    </row>
    <row r="407">
      <c r="A407" s="8" t="str">
        <f>IFERROR(__xludf.DUMMYFUNCTION("""COMPUTED_VALUE"""),"CA-2014-132864")</f>
        <v>CA-2014-132864</v>
      </c>
      <c r="B407" s="9">
        <f>IFERROR(__xludf.DUMMYFUNCTION("""COMPUTED_VALUE"""),41975.0)</f>
        <v>41975</v>
      </c>
      <c r="C407" s="8" t="str">
        <f>IFERROR(__xludf.DUMMYFUNCTION("""COMPUTED_VALUE"""),"Corporate")</f>
        <v>Corporate</v>
      </c>
      <c r="D407" s="8" t="str">
        <f>IFERROR(__xludf.DUMMYFUNCTION("""COMPUTED_VALUE"""),"Ohio")</f>
        <v>Ohio</v>
      </c>
      <c r="E407" s="8" t="str">
        <f>IFERROR(__xludf.DUMMYFUNCTION("""COMPUTED_VALUE"""),"East")</f>
        <v>East</v>
      </c>
      <c r="F407" s="10">
        <f>IFERROR(__xludf.DUMMYFUNCTION("""COMPUTED_VALUE"""),119.8)</f>
        <v>119.8</v>
      </c>
      <c r="G407" s="11">
        <f>IFERROR(__xludf.DUMMYFUNCTION("""COMPUTED_VALUE"""),5.0)</f>
        <v>5</v>
      </c>
      <c r="H407" s="11">
        <f>IFERROR(__xludf.DUMMYFUNCTION("""COMPUTED_VALUE"""),29.95)</f>
        <v>29.95</v>
      </c>
    </row>
    <row r="408">
      <c r="A408" s="8" t="str">
        <f>IFERROR(__xludf.DUMMYFUNCTION("""COMPUTED_VALUE"""),"CA-2014-132913")</f>
        <v>CA-2014-132913</v>
      </c>
      <c r="B408" s="9">
        <f>IFERROR(__xludf.DUMMYFUNCTION("""COMPUTED_VALUE"""),41997.0)</f>
        <v>41997</v>
      </c>
      <c r="C408" s="8" t="str">
        <f>IFERROR(__xludf.DUMMYFUNCTION("""COMPUTED_VALUE"""),"Consumer")</f>
        <v>Consumer</v>
      </c>
      <c r="D408" s="8" t="str">
        <f>IFERROR(__xludf.DUMMYFUNCTION("""COMPUTED_VALUE"""),"California")</f>
        <v>California</v>
      </c>
      <c r="E408" s="8" t="str">
        <f>IFERROR(__xludf.DUMMYFUNCTION("""COMPUTED_VALUE"""),"West")</f>
        <v>West</v>
      </c>
      <c r="F408" s="10">
        <f>IFERROR(__xludf.DUMMYFUNCTION("""COMPUTED_VALUE"""),13.97)</f>
        <v>13.97</v>
      </c>
      <c r="G408" s="11">
        <f>IFERROR(__xludf.DUMMYFUNCTION("""COMPUTED_VALUE"""),1.0)</f>
        <v>1</v>
      </c>
      <c r="H408" s="11">
        <f>IFERROR(__xludf.DUMMYFUNCTION("""COMPUTED_VALUE"""),3.6322)</f>
        <v>3.6322</v>
      </c>
    </row>
    <row r="409">
      <c r="A409" s="8" t="str">
        <f>IFERROR(__xludf.DUMMYFUNCTION("""COMPUTED_VALUE"""),"CA-2014-132962")</f>
        <v>CA-2014-132962</v>
      </c>
      <c r="B409" s="9">
        <f>IFERROR(__xludf.DUMMYFUNCTION("""COMPUTED_VALUE"""),41895.0)</f>
        <v>41895</v>
      </c>
      <c r="C409" s="8" t="str">
        <f>IFERROR(__xludf.DUMMYFUNCTION("""COMPUTED_VALUE"""),"Consumer")</f>
        <v>Consumer</v>
      </c>
      <c r="D409" s="8" t="str">
        <f>IFERROR(__xludf.DUMMYFUNCTION("""COMPUTED_VALUE"""),"Pennsylvania")</f>
        <v>Pennsylvania</v>
      </c>
      <c r="E409" s="8" t="str">
        <f>IFERROR(__xludf.DUMMYFUNCTION("""COMPUTED_VALUE"""),"East")</f>
        <v>East</v>
      </c>
      <c r="F409" s="10">
        <f>IFERROR(__xludf.DUMMYFUNCTION("""COMPUTED_VALUE"""),15.552)</f>
        <v>15.552</v>
      </c>
      <c r="G409" s="11">
        <f>IFERROR(__xludf.DUMMYFUNCTION("""COMPUTED_VALUE"""),3.0)</f>
        <v>3</v>
      </c>
      <c r="H409" s="11">
        <f>IFERROR(__xludf.DUMMYFUNCTION("""COMPUTED_VALUE"""),5.4432)</f>
        <v>5.4432</v>
      </c>
    </row>
    <row r="410">
      <c r="A410" s="8" t="str">
        <f>IFERROR(__xludf.DUMMYFUNCTION("""COMPUTED_VALUE"""),"CA-2014-132983")</f>
        <v>CA-2014-132983</v>
      </c>
      <c r="B410" s="9">
        <f>IFERROR(__xludf.DUMMYFUNCTION("""COMPUTED_VALUE"""),41757.0)</f>
        <v>41757</v>
      </c>
      <c r="C410" s="8" t="str">
        <f>IFERROR(__xludf.DUMMYFUNCTION("""COMPUTED_VALUE"""),"Corporate")</f>
        <v>Corporate</v>
      </c>
      <c r="D410" s="8" t="str">
        <f>IFERROR(__xludf.DUMMYFUNCTION("""COMPUTED_VALUE"""),"New York")</f>
        <v>New York</v>
      </c>
      <c r="E410" s="8" t="str">
        <f>IFERROR(__xludf.DUMMYFUNCTION("""COMPUTED_VALUE"""),"East")</f>
        <v>East</v>
      </c>
      <c r="F410" s="10">
        <f>IFERROR(__xludf.DUMMYFUNCTION("""COMPUTED_VALUE"""),159.98)</f>
        <v>159.98</v>
      </c>
      <c r="G410" s="11">
        <f>IFERROR(__xludf.DUMMYFUNCTION("""COMPUTED_VALUE"""),2.0)</f>
        <v>2</v>
      </c>
      <c r="H410" s="11">
        <f>IFERROR(__xludf.DUMMYFUNCTION("""COMPUTED_VALUE"""),57.5928)</f>
        <v>57.5928</v>
      </c>
    </row>
    <row r="411">
      <c r="A411" s="8" t="str">
        <f>IFERROR(__xludf.DUMMYFUNCTION("""COMPUTED_VALUE"""),"CA-2014-133158")</f>
        <v>CA-2014-133158</v>
      </c>
      <c r="B411" s="9">
        <f>IFERROR(__xludf.DUMMYFUNCTION("""COMPUTED_VALUE"""),41870.0)</f>
        <v>41870</v>
      </c>
      <c r="C411" s="8" t="str">
        <f>IFERROR(__xludf.DUMMYFUNCTION("""COMPUTED_VALUE"""),"Corporate")</f>
        <v>Corporate</v>
      </c>
      <c r="D411" s="8" t="str">
        <f>IFERROR(__xludf.DUMMYFUNCTION("""COMPUTED_VALUE"""),"California")</f>
        <v>California</v>
      </c>
      <c r="E411" s="8" t="str">
        <f>IFERROR(__xludf.DUMMYFUNCTION("""COMPUTED_VALUE"""),"West")</f>
        <v>West</v>
      </c>
      <c r="F411" s="10">
        <f>IFERROR(__xludf.DUMMYFUNCTION("""COMPUTED_VALUE"""),289.24)</f>
        <v>289.24</v>
      </c>
      <c r="G411" s="11">
        <f>IFERROR(__xludf.DUMMYFUNCTION("""COMPUTED_VALUE"""),7.0)</f>
        <v>7</v>
      </c>
      <c r="H411" s="11">
        <f>IFERROR(__xludf.DUMMYFUNCTION("""COMPUTED_VALUE"""),26.0316)</f>
        <v>26.0316</v>
      </c>
    </row>
    <row r="412">
      <c r="A412" s="8" t="str">
        <f>IFERROR(__xludf.DUMMYFUNCTION("""COMPUTED_VALUE"""),"CA-2014-133228")</f>
        <v>CA-2014-133228</v>
      </c>
      <c r="B412" s="9">
        <f>IFERROR(__xludf.DUMMYFUNCTION("""COMPUTED_VALUE"""),41733.0)</f>
        <v>41733</v>
      </c>
      <c r="C412" s="8" t="str">
        <f>IFERROR(__xludf.DUMMYFUNCTION("""COMPUTED_VALUE"""),"Consumer")</f>
        <v>Consumer</v>
      </c>
      <c r="D412" s="8" t="str">
        <f>IFERROR(__xludf.DUMMYFUNCTION("""COMPUTED_VALUE"""),"Michigan")</f>
        <v>Michigan</v>
      </c>
      <c r="E412" s="8" t="str">
        <f>IFERROR(__xludf.DUMMYFUNCTION("""COMPUTED_VALUE"""),"Central")</f>
        <v>Central</v>
      </c>
      <c r="F412" s="10">
        <f>IFERROR(__xludf.DUMMYFUNCTION("""COMPUTED_VALUE"""),5.47)</f>
        <v>5.47</v>
      </c>
      <c r="G412" s="11">
        <f>IFERROR(__xludf.DUMMYFUNCTION("""COMPUTED_VALUE"""),1.0)</f>
        <v>1</v>
      </c>
      <c r="H412" s="11">
        <f>IFERROR(__xludf.DUMMYFUNCTION("""COMPUTED_VALUE"""),2.3521)</f>
        <v>2.3521</v>
      </c>
    </row>
    <row r="413">
      <c r="A413" s="8" t="str">
        <f>IFERROR(__xludf.DUMMYFUNCTION("""COMPUTED_VALUE"""),"CA-2014-133270")</f>
        <v>CA-2014-133270</v>
      </c>
      <c r="B413" s="9">
        <f>IFERROR(__xludf.DUMMYFUNCTION("""COMPUTED_VALUE"""),41796.0)</f>
        <v>41796</v>
      </c>
      <c r="C413" s="8" t="str">
        <f>IFERROR(__xludf.DUMMYFUNCTION("""COMPUTED_VALUE"""),"Consumer")</f>
        <v>Consumer</v>
      </c>
      <c r="D413" s="8" t="str">
        <f>IFERROR(__xludf.DUMMYFUNCTION("""COMPUTED_VALUE"""),"New York")</f>
        <v>New York</v>
      </c>
      <c r="E413" s="8" t="str">
        <f>IFERROR(__xludf.DUMMYFUNCTION("""COMPUTED_VALUE"""),"East")</f>
        <v>East</v>
      </c>
      <c r="F413" s="10">
        <f>IFERROR(__xludf.DUMMYFUNCTION("""COMPUTED_VALUE"""),13.36)</f>
        <v>13.36</v>
      </c>
      <c r="G413" s="11">
        <f>IFERROR(__xludf.DUMMYFUNCTION("""COMPUTED_VALUE"""),2.0)</f>
        <v>2</v>
      </c>
      <c r="H413" s="11">
        <f>IFERROR(__xludf.DUMMYFUNCTION("""COMPUTED_VALUE"""),4.9432)</f>
        <v>4.9432</v>
      </c>
    </row>
    <row r="414">
      <c r="A414" s="8" t="str">
        <f>IFERROR(__xludf.DUMMYFUNCTION("""COMPUTED_VALUE"""),"CA-2014-133305")</f>
        <v>CA-2014-133305</v>
      </c>
      <c r="B414" s="9">
        <f>IFERROR(__xludf.DUMMYFUNCTION("""COMPUTED_VALUE"""),41831.0)</f>
        <v>41831</v>
      </c>
      <c r="C414" s="8" t="str">
        <f>IFERROR(__xludf.DUMMYFUNCTION("""COMPUTED_VALUE"""),"Consumer")</f>
        <v>Consumer</v>
      </c>
      <c r="D414" s="8" t="str">
        <f>IFERROR(__xludf.DUMMYFUNCTION("""COMPUTED_VALUE"""),"New York")</f>
        <v>New York</v>
      </c>
      <c r="E414" s="8" t="str">
        <f>IFERROR(__xludf.DUMMYFUNCTION("""COMPUTED_VALUE"""),"East")</f>
        <v>East</v>
      </c>
      <c r="F414" s="10">
        <f>IFERROR(__xludf.DUMMYFUNCTION("""COMPUTED_VALUE"""),49.12)</f>
        <v>49.12</v>
      </c>
      <c r="G414" s="11">
        <f>IFERROR(__xludf.DUMMYFUNCTION("""COMPUTED_VALUE"""),4.0)</f>
        <v>4</v>
      </c>
      <c r="H414" s="11">
        <f>IFERROR(__xludf.DUMMYFUNCTION("""COMPUTED_VALUE"""),23.0864)</f>
        <v>23.0864</v>
      </c>
    </row>
    <row r="415">
      <c r="A415" s="8" t="str">
        <f>IFERROR(__xludf.DUMMYFUNCTION("""COMPUTED_VALUE"""),"CA-2014-133354")</f>
        <v>CA-2014-133354</v>
      </c>
      <c r="B415" s="9">
        <f>IFERROR(__xludf.DUMMYFUNCTION("""COMPUTED_VALUE"""),41692.0)</f>
        <v>41692</v>
      </c>
      <c r="C415" s="8" t="str">
        <f>IFERROR(__xludf.DUMMYFUNCTION("""COMPUTED_VALUE"""),"Consumer")</f>
        <v>Consumer</v>
      </c>
      <c r="D415" s="8" t="str">
        <f>IFERROR(__xludf.DUMMYFUNCTION("""COMPUTED_VALUE"""),"California")</f>
        <v>California</v>
      </c>
      <c r="E415" s="8" t="str">
        <f>IFERROR(__xludf.DUMMYFUNCTION("""COMPUTED_VALUE"""),"West")</f>
        <v>West</v>
      </c>
      <c r="F415" s="10">
        <f>IFERROR(__xludf.DUMMYFUNCTION("""COMPUTED_VALUE"""),19.44)</f>
        <v>19.44</v>
      </c>
      <c r="G415" s="11">
        <f>IFERROR(__xludf.DUMMYFUNCTION("""COMPUTED_VALUE"""),3.0)</f>
        <v>3</v>
      </c>
      <c r="H415" s="11">
        <f>IFERROR(__xludf.DUMMYFUNCTION("""COMPUTED_VALUE"""),9.3312)</f>
        <v>9.3312</v>
      </c>
    </row>
    <row r="416">
      <c r="A416" s="8" t="str">
        <f>IFERROR(__xludf.DUMMYFUNCTION("""COMPUTED_VALUE"""),"CA-2014-133389")</f>
        <v>CA-2014-133389</v>
      </c>
      <c r="B416" s="9">
        <f>IFERROR(__xludf.DUMMYFUNCTION("""COMPUTED_VALUE"""),41812.0)</f>
        <v>41812</v>
      </c>
      <c r="C416" s="8" t="str">
        <f>IFERROR(__xludf.DUMMYFUNCTION("""COMPUTED_VALUE"""),"Consumer")</f>
        <v>Consumer</v>
      </c>
      <c r="D416" s="8" t="str">
        <f>IFERROR(__xludf.DUMMYFUNCTION("""COMPUTED_VALUE"""),"Arizona")</f>
        <v>Arizona</v>
      </c>
      <c r="E416" s="8" t="str">
        <f>IFERROR(__xludf.DUMMYFUNCTION("""COMPUTED_VALUE"""),"West")</f>
        <v>West</v>
      </c>
      <c r="F416" s="10">
        <f>IFERROR(__xludf.DUMMYFUNCTION("""COMPUTED_VALUE"""),8.226)</f>
        <v>8.226</v>
      </c>
      <c r="G416" s="11">
        <f>IFERROR(__xludf.DUMMYFUNCTION("""COMPUTED_VALUE"""),3.0)</f>
        <v>3</v>
      </c>
      <c r="H416" s="11">
        <f>IFERROR(__xludf.DUMMYFUNCTION("""COMPUTED_VALUE"""),-6.0324)</f>
        <v>-6.0324</v>
      </c>
    </row>
    <row r="417">
      <c r="A417" s="8" t="str">
        <f>IFERROR(__xludf.DUMMYFUNCTION("""COMPUTED_VALUE"""),"CA-2014-133424")</f>
        <v>CA-2014-133424</v>
      </c>
      <c r="B417" s="9">
        <f>IFERROR(__xludf.DUMMYFUNCTION("""COMPUTED_VALUE"""),41728.0)</f>
        <v>41728</v>
      </c>
      <c r="C417" s="8" t="str">
        <f>IFERROR(__xludf.DUMMYFUNCTION("""COMPUTED_VALUE"""),"Corporate")</f>
        <v>Corporate</v>
      </c>
      <c r="D417" s="8" t="str">
        <f>IFERROR(__xludf.DUMMYFUNCTION("""COMPUTED_VALUE"""),"Washington")</f>
        <v>Washington</v>
      </c>
      <c r="E417" s="8" t="str">
        <f>IFERROR(__xludf.DUMMYFUNCTION("""COMPUTED_VALUE"""),"West")</f>
        <v>West</v>
      </c>
      <c r="F417" s="10">
        <f>IFERROR(__xludf.DUMMYFUNCTION("""COMPUTED_VALUE"""),15.84)</f>
        <v>15.84</v>
      </c>
      <c r="G417" s="11">
        <f>IFERROR(__xludf.DUMMYFUNCTION("""COMPUTED_VALUE"""),3.0)</f>
        <v>3</v>
      </c>
      <c r="H417" s="11">
        <f>IFERROR(__xludf.DUMMYFUNCTION("""COMPUTED_VALUE"""),0.0)</f>
        <v>0</v>
      </c>
    </row>
    <row r="418">
      <c r="A418" s="8" t="str">
        <f>IFERROR(__xludf.DUMMYFUNCTION("""COMPUTED_VALUE"""),"CA-2014-133543")</f>
        <v>CA-2014-133543</v>
      </c>
      <c r="B418" s="9">
        <f>IFERROR(__xludf.DUMMYFUNCTION("""COMPUTED_VALUE"""),41995.0)</f>
        <v>41995</v>
      </c>
      <c r="C418" s="8" t="str">
        <f>IFERROR(__xludf.DUMMYFUNCTION("""COMPUTED_VALUE"""),"Consumer")</f>
        <v>Consumer</v>
      </c>
      <c r="D418" s="8" t="str">
        <f>IFERROR(__xludf.DUMMYFUNCTION("""COMPUTED_VALUE"""),"California")</f>
        <v>California</v>
      </c>
      <c r="E418" s="8" t="str">
        <f>IFERROR(__xludf.DUMMYFUNCTION("""COMPUTED_VALUE"""),"West")</f>
        <v>West</v>
      </c>
      <c r="F418" s="10">
        <f>IFERROR(__xludf.DUMMYFUNCTION("""COMPUTED_VALUE"""),11.76)</f>
        <v>11.76</v>
      </c>
      <c r="G418" s="11">
        <f>IFERROR(__xludf.DUMMYFUNCTION("""COMPUTED_VALUE"""),4.0)</f>
        <v>4</v>
      </c>
      <c r="H418" s="11">
        <f>IFERROR(__xludf.DUMMYFUNCTION("""COMPUTED_VALUE"""),3.1752)</f>
        <v>3.1752</v>
      </c>
    </row>
    <row r="419">
      <c r="A419" s="8" t="str">
        <f>IFERROR(__xludf.DUMMYFUNCTION("""COMPUTED_VALUE"""),"CA-2014-133592")</f>
        <v>CA-2014-133592</v>
      </c>
      <c r="B419" s="9">
        <f>IFERROR(__xludf.DUMMYFUNCTION("""COMPUTED_VALUE"""),42004.0)</f>
        <v>42004</v>
      </c>
      <c r="C419" s="8" t="str">
        <f>IFERROR(__xludf.DUMMYFUNCTION("""COMPUTED_VALUE"""),"Home Office")</f>
        <v>Home Office</v>
      </c>
      <c r="D419" s="8" t="str">
        <f>IFERROR(__xludf.DUMMYFUNCTION("""COMPUTED_VALUE"""),"Rhode Island")</f>
        <v>Rhode Island</v>
      </c>
      <c r="E419" s="8" t="str">
        <f>IFERROR(__xludf.DUMMYFUNCTION("""COMPUTED_VALUE"""),"East")</f>
        <v>East</v>
      </c>
      <c r="F419" s="10">
        <f>IFERROR(__xludf.DUMMYFUNCTION("""COMPUTED_VALUE"""),195.64)</f>
        <v>195.64</v>
      </c>
      <c r="G419" s="11">
        <f>IFERROR(__xludf.DUMMYFUNCTION("""COMPUTED_VALUE"""),4.0)</f>
        <v>4</v>
      </c>
      <c r="H419" s="11">
        <f>IFERROR(__xludf.DUMMYFUNCTION("""COMPUTED_VALUE"""),91.9508)</f>
        <v>91.9508</v>
      </c>
    </row>
    <row r="420">
      <c r="A420" s="8" t="str">
        <f>IFERROR(__xludf.DUMMYFUNCTION("""COMPUTED_VALUE"""),"CA-2014-133634")</f>
        <v>CA-2014-133634</v>
      </c>
      <c r="B420" s="9">
        <f>IFERROR(__xludf.DUMMYFUNCTION("""COMPUTED_VALUE"""),41948.0)</f>
        <v>41948</v>
      </c>
      <c r="C420" s="8" t="str">
        <f>IFERROR(__xludf.DUMMYFUNCTION("""COMPUTED_VALUE"""),"Home Office")</f>
        <v>Home Office</v>
      </c>
      <c r="D420" s="8" t="str">
        <f>IFERROR(__xludf.DUMMYFUNCTION("""COMPUTED_VALUE"""),"Virginia")</f>
        <v>Virginia</v>
      </c>
      <c r="E420" s="8" t="str">
        <f>IFERROR(__xludf.DUMMYFUNCTION("""COMPUTED_VALUE"""),"South")</f>
        <v>South</v>
      </c>
      <c r="F420" s="10">
        <f>IFERROR(__xludf.DUMMYFUNCTION("""COMPUTED_VALUE"""),47.79)</f>
        <v>47.79</v>
      </c>
      <c r="G420" s="11">
        <f>IFERROR(__xludf.DUMMYFUNCTION("""COMPUTED_VALUE"""),3.0)</f>
        <v>3</v>
      </c>
      <c r="H420" s="11">
        <f>IFERROR(__xludf.DUMMYFUNCTION("""COMPUTED_VALUE"""),16.2486)</f>
        <v>16.2486</v>
      </c>
    </row>
    <row r="421">
      <c r="A421" s="8" t="str">
        <f>IFERROR(__xludf.DUMMYFUNCTION("""COMPUTED_VALUE"""),"CA-2014-133690")</f>
        <v>CA-2014-133690</v>
      </c>
      <c r="B421" s="9">
        <f>IFERROR(__xludf.DUMMYFUNCTION("""COMPUTED_VALUE"""),41854.0)</f>
        <v>41854</v>
      </c>
      <c r="C421" s="8" t="str">
        <f>IFERROR(__xludf.DUMMYFUNCTION("""COMPUTED_VALUE"""),"Consumer")</f>
        <v>Consumer</v>
      </c>
      <c r="D421" s="8" t="str">
        <f>IFERROR(__xludf.DUMMYFUNCTION("""COMPUTED_VALUE"""),"Colorado")</f>
        <v>Colorado</v>
      </c>
      <c r="E421" s="8" t="str">
        <f>IFERROR(__xludf.DUMMYFUNCTION("""COMPUTED_VALUE"""),"West")</f>
        <v>West</v>
      </c>
      <c r="F421" s="10">
        <f>IFERROR(__xludf.DUMMYFUNCTION("""COMPUTED_VALUE"""),218.75)</f>
        <v>218.75</v>
      </c>
      <c r="G421" s="11">
        <f>IFERROR(__xludf.DUMMYFUNCTION("""COMPUTED_VALUE"""),2.0)</f>
        <v>2</v>
      </c>
      <c r="H421" s="11">
        <f>IFERROR(__xludf.DUMMYFUNCTION("""COMPUTED_VALUE"""),-161.875)</f>
        <v>-161.875</v>
      </c>
    </row>
    <row r="422">
      <c r="A422" s="8" t="str">
        <f>IFERROR(__xludf.DUMMYFUNCTION("""COMPUTED_VALUE"""),"CA-2014-133704")</f>
        <v>CA-2014-133704</v>
      </c>
      <c r="B422" s="9">
        <f>IFERROR(__xludf.DUMMYFUNCTION("""COMPUTED_VALUE"""),41902.0)</f>
        <v>41902</v>
      </c>
      <c r="C422" s="8" t="str">
        <f>IFERROR(__xludf.DUMMYFUNCTION("""COMPUTED_VALUE"""),"Home Office")</f>
        <v>Home Office</v>
      </c>
      <c r="D422" s="8" t="str">
        <f>IFERROR(__xludf.DUMMYFUNCTION("""COMPUTED_VALUE"""),"California")</f>
        <v>California</v>
      </c>
      <c r="E422" s="8" t="str">
        <f>IFERROR(__xludf.DUMMYFUNCTION("""COMPUTED_VALUE"""),"West")</f>
        <v>West</v>
      </c>
      <c r="F422" s="10">
        <f>IFERROR(__xludf.DUMMYFUNCTION("""COMPUTED_VALUE"""),43.92)</f>
        <v>43.92</v>
      </c>
      <c r="G422" s="11">
        <f>IFERROR(__xludf.DUMMYFUNCTION("""COMPUTED_VALUE"""),4.0)</f>
        <v>4</v>
      </c>
      <c r="H422" s="11">
        <f>IFERROR(__xludf.DUMMYFUNCTION("""COMPUTED_VALUE"""),11.8584)</f>
        <v>11.8584</v>
      </c>
    </row>
    <row r="423">
      <c r="A423" s="8" t="str">
        <f>IFERROR(__xludf.DUMMYFUNCTION("""COMPUTED_VALUE"""),"CA-2014-133753")</f>
        <v>CA-2014-133753</v>
      </c>
      <c r="B423" s="9">
        <f>IFERROR(__xludf.DUMMYFUNCTION("""COMPUTED_VALUE"""),41799.0)</f>
        <v>41799</v>
      </c>
      <c r="C423" s="8" t="str">
        <f>IFERROR(__xludf.DUMMYFUNCTION("""COMPUTED_VALUE"""),"Home Office")</f>
        <v>Home Office</v>
      </c>
      <c r="D423" s="8" t="str">
        <f>IFERROR(__xludf.DUMMYFUNCTION("""COMPUTED_VALUE"""),"Texas")</f>
        <v>Texas</v>
      </c>
      <c r="E423" s="8" t="str">
        <f>IFERROR(__xludf.DUMMYFUNCTION("""COMPUTED_VALUE"""),"Central")</f>
        <v>Central</v>
      </c>
      <c r="F423" s="10">
        <f>IFERROR(__xludf.DUMMYFUNCTION("""COMPUTED_VALUE"""),7.992)</f>
        <v>7.992</v>
      </c>
      <c r="G423" s="11">
        <f>IFERROR(__xludf.DUMMYFUNCTION("""COMPUTED_VALUE"""),1.0)</f>
        <v>1</v>
      </c>
      <c r="H423" s="11">
        <f>IFERROR(__xludf.DUMMYFUNCTION("""COMPUTED_VALUE"""),0.5994)</f>
        <v>0.5994</v>
      </c>
    </row>
    <row r="424">
      <c r="A424" s="8" t="str">
        <f>IFERROR(__xludf.DUMMYFUNCTION("""COMPUTED_VALUE"""),"CA-2014-133809")</f>
        <v>CA-2014-133809</v>
      </c>
      <c r="B424" s="9">
        <f>IFERROR(__xludf.DUMMYFUNCTION("""COMPUTED_VALUE"""),41961.0)</f>
        <v>41961</v>
      </c>
      <c r="C424" s="8" t="str">
        <f>IFERROR(__xludf.DUMMYFUNCTION("""COMPUTED_VALUE"""),"Consumer")</f>
        <v>Consumer</v>
      </c>
      <c r="D424" s="8" t="str">
        <f>IFERROR(__xludf.DUMMYFUNCTION("""COMPUTED_VALUE"""),"Ohio")</f>
        <v>Ohio</v>
      </c>
      <c r="E424" s="8" t="str">
        <f>IFERROR(__xludf.DUMMYFUNCTION("""COMPUTED_VALUE"""),"East")</f>
        <v>East</v>
      </c>
      <c r="F424" s="10">
        <f>IFERROR(__xludf.DUMMYFUNCTION("""COMPUTED_VALUE"""),11.808)</f>
        <v>11.808</v>
      </c>
      <c r="G424" s="11">
        <f>IFERROR(__xludf.DUMMYFUNCTION("""COMPUTED_VALUE"""),8.0)</f>
        <v>8</v>
      </c>
      <c r="H424" s="11">
        <f>IFERROR(__xludf.DUMMYFUNCTION("""COMPUTED_VALUE"""),-8.6592)</f>
        <v>-8.6592</v>
      </c>
    </row>
    <row r="425">
      <c r="A425" s="8" t="str">
        <f>IFERROR(__xludf.DUMMYFUNCTION("""COMPUTED_VALUE"""),"CA-2014-133830")</f>
        <v>CA-2014-133830</v>
      </c>
      <c r="B425" s="9">
        <f>IFERROR(__xludf.DUMMYFUNCTION("""COMPUTED_VALUE"""),41978.0)</f>
        <v>41978</v>
      </c>
      <c r="C425" s="8" t="str">
        <f>IFERROR(__xludf.DUMMYFUNCTION("""COMPUTED_VALUE"""),"Consumer")</f>
        <v>Consumer</v>
      </c>
      <c r="D425" s="8" t="str">
        <f>IFERROR(__xludf.DUMMYFUNCTION("""COMPUTED_VALUE"""),"California")</f>
        <v>California</v>
      </c>
      <c r="E425" s="8" t="str">
        <f>IFERROR(__xludf.DUMMYFUNCTION("""COMPUTED_VALUE"""),"West")</f>
        <v>West</v>
      </c>
      <c r="F425" s="10">
        <f>IFERROR(__xludf.DUMMYFUNCTION("""COMPUTED_VALUE"""),26.46)</f>
        <v>26.46</v>
      </c>
      <c r="G425" s="11">
        <f>IFERROR(__xludf.DUMMYFUNCTION("""COMPUTED_VALUE"""),9.0)</f>
        <v>9</v>
      </c>
      <c r="H425" s="11">
        <f>IFERROR(__xludf.DUMMYFUNCTION("""COMPUTED_VALUE"""),11.907)</f>
        <v>11.907</v>
      </c>
    </row>
    <row r="426">
      <c r="A426" s="8" t="str">
        <f>IFERROR(__xludf.DUMMYFUNCTION("""COMPUTED_VALUE"""),"CA-2014-133851")</f>
        <v>CA-2014-133851</v>
      </c>
      <c r="B426" s="9">
        <f>IFERROR(__xludf.DUMMYFUNCTION("""COMPUTED_VALUE"""),41799.0)</f>
        <v>41799</v>
      </c>
      <c r="C426" s="8" t="str">
        <f>IFERROR(__xludf.DUMMYFUNCTION("""COMPUTED_VALUE"""),"Consumer")</f>
        <v>Consumer</v>
      </c>
      <c r="D426" s="8" t="str">
        <f>IFERROR(__xludf.DUMMYFUNCTION("""COMPUTED_VALUE"""),"California")</f>
        <v>California</v>
      </c>
      <c r="E426" s="8" t="str">
        <f>IFERROR(__xludf.DUMMYFUNCTION("""COMPUTED_VALUE"""),"West")</f>
        <v>West</v>
      </c>
      <c r="F426" s="10">
        <f>IFERROR(__xludf.DUMMYFUNCTION("""COMPUTED_VALUE"""),7.36)</f>
        <v>7.36</v>
      </c>
      <c r="G426" s="11">
        <f>IFERROR(__xludf.DUMMYFUNCTION("""COMPUTED_VALUE"""),2.0)</f>
        <v>2</v>
      </c>
      <c r="H426" s="11">
        <f>IFERROR(__xludf.DUMMYFUNCTION("""COMPUTED_VALUE"""),0.1472)</f>
        <v>0.1472</v>
      </c>
    </row>
    <row r="427">
      <c r="A427" s="8" t="str">
        <f>IFERROR(__xludf.DUMMYFUNCTION("""COMPUTED_VALUE"""),"CA-2014-133963")</f>
        <v>CA-2014-133963</v>
      </c>
      <c r="B427" s="9">
        <f>IFERROR(__xludf.DUMMYFUNCTION("""COMPUTED_VALUE"""),41777.0)</f>
        <v>41777</v>
      </c>
      <c r="C427" s="8" t="str">
        <f>IFERROR(__xludf.DUMMYFUNCTION("""COMPUTED_VALUE"""),"Consumer")</f>
        <v>Consumer</v>
      </c>
      <c r="D427" s="8" t="str">
        <f>IFERROR(__xludf.DUMMYFUNCTION("""COMPUTED_VALUE"""),"Texas")</f>
        <v>Texas</v>
      </c>
      <c r="E427" s="8" t="str">
        <f>IFERROR(__xludf.DUMMYFUNCTION("""COMPUTED_VALUE"""),"Central")</f>
        <v>Central</v>
      </c>
      <c r="F427" s="10">
        <f>IFERROR(__xludf.DUMMYFUNCTION("""COMPUTED_VALUE"""),3.984)</f>
        <v>3.984</v>
      </c>
      <c r="G427" s="11">
        <f>IFERROR(__xludf.DUMMYFUNCTION("""COMPUTED_VALUE"""),1.0)</f>
        <v>1</v>
      </c>
      <c r="H427" s="11">
        <f>IFERROR(__xludf.DUMMYFUNCTION("""COMPUTED_VALUE"""),1.4442)</f>
        <v>1.4442</v>
      </c>
    </row>
    <row r="428">
      <c r="A428" s="8" t="str">
        <f>IFERROR(__xludf.DUMMYFUNCTION("""COMPUTED_VALUE"""),"CA-2014-134061")</f>
        <v>CA-2014-134061</v>
      </c>
      <c r="B428" s="9">
        <f>IFERROR(__xludf.DUMMYFUNCTION("""COMPUTED_VALUE"""),41758.0)</f>
        <v>41758</v>
      </c>
      <c r="C428" s="8" t="str">
        <f>IFERROR(__xludf.DUMMYFUNCTION("""COMPUTED_VALUE"""),"Consumer")</f>
        <v>Consumer</v>
      </c>
      <c r="D428" s="8" t="str">
        <f>IFERROR(__xludf.DUMMYFUNCTION("""COMPUTED_VALUE"""),"New York")</f>
        <v>New York</v>
      </c>
      <c r="E428" s="8" t="str">
        <f>IFERROR(__xludf.DUMMYFUNCTION("""COMPUTED_VALUE"""),"East")</f>
        <v>East</v>
      </c>
      <c r="F428" s="10">
        <f>IFERROR(__xludf.DUMMYFUNCTION("""COMPUTED_VALUE"""),17.46)</f>
        <v>17.46</v>
      </c>
      <c r="G428" s="11">
        <f>IFERROR(__xludf.DUMMYFUNCTION("""COMPUTED_VALUE"""),2.0)</f>
        <v>2</v>
      </c>
      <c r="H428" s="11">
        <f>IFERROR(__xludf.DUMMYFUNCTION("""COMPUTED_VALUE"""),5.9364)</f>
        <v>5.9364</v>
      </c>
    </row>
    <row r="429">
      <c r="A429" s="8" t="str">
        <f>IFERROR(__xludf.DUMMYFUNCTION("""COMPUTED_VALUE"""),"CA-2014-134103")</f>
        <v>CA-2014-134103</v>
      </c>
      <c r="B429" s="9">
        <f>IFERROR(__xludf.DUMMYFUNCTION("""COMPUTED_VALUE"""),41669.0)</f>
        <v>41669</v>
      </c>
      <c r="C429" s="8" t="str">
        <f>IFERROR(__xludf.DUMMYFUNCTION("""COMPUTED_VALUE"""),"Consumer")</f>
        <v>Consumer</v>
      </c>
      <c r="D429" s="8" t="str">
        <f>IFERROR(__xludf.DUMMYFUNCTION("""COMPUTED_VALUE"""),"Michigan")</f>
        <v>Michigan</v>
      </c>
      <c r="E429" s="8" t="str">
        <f>IFERROR(__xludf.DUMMYFUNCTION("""COMPUTED_VALUE"""),"Central")</f>
        <v>Central</v>
      </c>
      <c r="F429" s="10">
        <f>IFERROR(__xludf.DUMMYFUNCTION("""COMPUTED_VALUE"""),10.56)</f>
        <v>10.56</v>
      </c>
      <c r="G429" s="11">
        <f>IFERROR(__xludf.DUMMYFUNCTION("""COMPUTED_VALUE"""),2.0)</f>
        <v>2</v>
      </c>
      <c r="H429" s="11">
        <f>IFERROR(__xludf.DUMMYFUNCTION("""COMPUTED_VALUE"""),4.752)</f>
        <v>4.752</v>
      </c>
    </row>
    <row r="430">
      <c r="A430" s="8" t="str">
        <f>IFERROR(__xludf.DUMMYFUNCTION("""COMPUTED_VALUE"""),"CA-2014-134215")</f>
        <v>CA-2014-134215</v>
      </c>
      <c r="B430" s="9">
        <f>IFERROR(__xludf.DUMMYFUNCTION("""COMPUTED_VALUE"""),41855.0)</f>
        <v>41855</v>
      </c>
      <c r="C430" s="8" t="str">
        <f>IFERROR(__xludf.DUMMYFUNCTION("""COMPUTED_VALUE"""),"Corporate")</f>
        <v>Corporate</v>
      </c>
      <c r="D430" s="8" t="str">
        <f>IFERROR(__xludf.DUMMYFUNCTION("""COMPUTED_VALUE"""),"Maine")</f>
        <v>Maine</v>
      </c>
      <c r="E430" s="8" t="str">
        <f>IFERROR(__xludf.DUMMYFUNCTION("""COMPUTED_VALUE"""),"East")</f>
        <v>East</v>
      </c>
      <c r="F430" s="10">
        <f>IFERROR(__xludf.DUMMYFUNCTION("""COMPUTED_VALUE"""),101.96)</f>
        <v>101.96</v>
      </c>
      <c r="G430" s="11">
        <f>IFERROR(__xludf.DUMMYFUNCTION("""COMPUTED_VALUE"""),2.0)</f>
        <v>2</v>
      </c>
      <c r="H430" s="11">
        <f>IFERROR(__xludf.DUMMYFUNCTION("""COMPUTED_VALUE"""),27.5292)</f>
        <v>27.5292</v>
      </c>
    </row>
    <row r="431">
      <c r="A431" s="8" t="str">
        <f>IFERROR(__xludf.DUMMYFUNCTION("""COMPUTED_VALUE"""),"CA-2014-134278")</f>
        <v>CA-2014-134278</v>
      </c>
      <c r="B431" s="9">
        <f>IFERROR(__xludf.DUMMYFUNCTION("""COMPUTED_VALUE"""),41826.0)</f>
        <v>41826</v>
      </c>
      <c r="C431" s="8" t="str">
        <f>IFERROR(__xludf.DUMMYFUNCTION("""COMPUTED_VALUE"""),"Consumer")</f>
        <v>Consumer</v>
      </c>
      <c r="D431" s="8" t="str">
        <f>IFERROR(__xludf.DUMMYFUNCTION("""COMPUTED_VALUE"""),"New York")</f>
        <v>New York</v>
      </c>
      <c r="E431" s="8" t="str">
        <f>IFERROR(__xludf.DUMMYFUNCTION("""COMPUTED_VALUE"""),"East")</f>
        <v>East</v>
      </c>
      <c r="F431" s="10">
        <f>IFERROR(__xludf.DUMMYFUNCTION("""COMPUTED_VALUE"""),559.992)</f>
        <v>559.992</v>
      </c>
      <c r="G431" s="11">
        <f>IFERROR(__xludf.DUMMYFUNCTION("""COMPUTED_VALUE"""),1.0)</f>
        <v>1</v>
      </c>
      <c r="H431" s="11">
        <f>IFERROR(__xludf.DUMMYFUNCTION("""COMPUTED_VALUE"""),174.9975)</f>
        <v>174.9975</v>
      </c>
    </row>
    <row r="432">
      <c r="A432" s="8" t="str">
        <f>IFERROR(__xludf.DUMMYFUNCTION("""COMPUTED_VALUE"""),"CA-2014-134313")</f>
        <v>CA-2014-134313</v>
      </c>
      <c r="B432" s="9">
        <f>IFERROR(__xludf.DUMMYFUNCTION("""COMPUTED_VALUE"""),41944.0)</f>
        <v>41944</v>
      </c>
      <c r="C432" s="8" t="str">
        <f>IFERROR(__xludf.DUMMYFUNCTION("""COMPUTED_VALUE"""),"Consumer")</f>
        <v>Consumer</v>
      </c>
      <c r="D432" s="8" t="str">
        <f>IFERROR(__xludf.DUMMYFUNCTION("""COMPUTED_VALUE"""),"Colorado")</f>
        <v>Colorado</v>
      </c>
      <c r="E432" s="8" t="str">
        <f>IFERROR(__xludf.DUMMYFUNCTION("""COMPUTED_VALUE"""),"West")</f>
        <v>West</v>
      </c>
      <c r="F432" s="10">
        <f>IFERROR(__xludf.DUMMYFUNCTION("""COMPUTED_VALUE"""),43.176)</f>
        <v>43.176</v>
      </c>
      <c r="G432" s="11">
        <f>IFERROR(__xludf.DUMMYFUNCTION("""COMPUTED_VALUE"""),3.0)</f>
        <v>3</v>
      </c>
      <c r="H432" s="11">
        <f>IFERROR(__xludf.DUMMYFUNCTION("""COMPUTED_VALUE"""),4.3176)</f>
        <v>4.3176</v>
      </c>
    </row>
    <row r="433">
      <c r="A433" s="8" t="str">
        <f>IFERROR(__xludf.DUMMYFUNCTION("""COMPUTED_VALUE"""),"CA-2014-134551")</f>
        <v>CA-2014-134551</v>
      </c>
      <c r="B433" s="9">
        <f>IFERROR(__xludf.DUMMYFUNCTION("""COMPUTED_VALUE"""),41993.0)</f>
        <v>41993</v>
      </c>
      <c r="C433" s="8" t="str">
        <f>IFERROR(__xludf.DUMMYFUNCTION("""COMPUTED_VALUE"""),"Consumer")</f>
        <v>Consumer</v>
      </c>
      <c r="D433" s="8" t="str">
        <f>IFERROR(__xludf.DUMMYFUNCTION("""COMPUTED_VALUE"""),"Tennessee")</f>
        <v>Tennessee</v>
      </c>
      <c r="E433" s="8" t="str">
        <f>IFERROR(__xludf.DUMMYFUNCTION("""COMPUTED_VALUE"""),"South")</f>
        <v>South</v>
      </c>
      <c r="F433" s="10">
        <f>IFERROR(__xludf.DUMMYFUNCTION("""COMPUTED_VALUE"""),43.512)</f>
        <v>43.512</v>
      </c>
      <c r="G433" s="11">
        <f>IFERROR(__xludf.DUMMYFUNCTION("""COMPUTED_VALUE"""),7.0)</f>
        <v>7</v>
      </c>
      <c r="H433" s="11">
        <f>IFERROR(__xludf.DUMMYFUNCTION("""COMPUTED_VALUE"""),3.8073)</f>
        <v>3.8073</v>
      </c>
    </row>
    <row r="434">
      <c r="A434" s="8" t="str">
        <f>IFERROR(__xludf.DUMMYFUNCTION("""COMPUTED_VALUE"""),"CA-2014-134572")</f>
        <v>CA-2014-134572</v>
      </c>
      <c r="B434" s="9">
        <f>IFERROR(__xludf.DUMMYFUNCTION("""COMPUTED_VALUE"""),41749.0)</f>
        <v>41749</v>
      </c>
      <c r="C434" s="8" t="str">
        <f>IFERROR(__xludf.DUMMYFUNCTION("""COMPUTED_VALUE"""),"Consumer")</f>
        <v>Consumer</v>
      </c>
      <c r="D434" s="8" t="str">
        <f>IFERROR(__xludf.DUMMYFUNCTION("""COMPUTED_VALUE"""),"Texas")</f>
        <v>Texas</v>
      </c>
      <c r="E434" s="8" t="str">
        <f>IFERROR(__xludf.DUMMYFUNCTION("""COMPUTED_VALUE"""),"Central")</f>
        <v>Central</v>
      </c>
      <c r="F434" s="10">
        <f>IFERROR(__xludf.DUMMYFUNCTION("""COMPUTED_VALUE"""),744.1)</f>
        <v>744.1</v>
      </c>
      <c r="G434" s="11">
        <f>IFERROR(__xludf.DUMMYFUNCTION("""COMPUTED_VALUE"""),5.0)</f>
        <v>5</v>
      </c>
      <c r="H434" s="11">
        <f>IFERROR(__xludf.DUMMYFUNCTION("""COMPUTED_VALUE"""),-95.67)</f>
        <v>-95.67</v>
      </c>
    </row>
    <row r="435">
      <c r="A435" s="8" t="str">
        <f>IFERROR(__xludf.DUMMYFUNCTION("""COMPUTED_VALUE"""),"CA-2014-134621")</f>
        <v>CA-2014-134621</v>
      </c>
      <c r="B435" s="9">
        <f>IFERROR(__xludf.DUMMYFUNCTION("""COMPUTED_VALUE"""),41994.0)</f>
        <v>41994</v>
      </c>
      <c r="C435" s="8" t="str">
        <f>IFERROR(__xludf.DUMMYFUNCTION("""COMPUTED_VALUE"""),"Home Office")</f>
        <v>Home Office</v>
      </c>
      <c r="D435" s="8" t="str">
        <f>IFERROR(__xludf.DUMMYFUNCTION("""COMPUTED_VALUE"""),"Tennessee")</f>
        <v>Tennessee</v>
      </c>
      <c r="E435" s="8" t="str">
        <f>IFERROR(__xludf.DUMMYFUNCTION("""COMPUTED_VALUE"""),"South")</f>
        <v>South</v>
      </c>
      <c r="F435" s="10">
        <f>IFERROR(__xludf.DUMMYFUNCTION("""COMPUTED_VALUE"""),18.24)</f>
        <v>18.24</v>
      </c>
      <c r="G435" s="11">
        <f>IFERROR(__xludf.DUMMYFUNCTION("""COMPUTED_VALUE"""),2.0)</f>
        <v>2</v>
      </c>
      <c r="H435" s="11">
        <f>IFERROR(__xludf.DUMMYFUNCTION("""COMPUTED_VALUE"""),-14.592)</f>
        <v>-14.592</v>
      </c>
    </row>
    <row r="436">
      <c r="A436" s="8" t="str">
        <f>IFERROR(__xludf.DUMMYFUNCTION("""COMPUTED_VALUE"""),"CA-2014-134677")</f>
        <v>CA-2014-134677</v>
      </c>
      <c r="B436" s="9">
        <f>IFERROR(__xludf.DUMMYFUNCTION("""COMPUTED_VALUE"""),41918.0)</f>
        <v>41918</v>
      </c>
      <c r="C436" s="8" t="str">
        <f>IFERROR(__xludf.DUMMYFUNCTION("""COMPUTED_VALUE"""),"Consumer")</f>
        <v>Consumer</v>
      </c>
      <c r="D436" s="8" t="str">
        <f>IFERROR(__xludf.DUMMYFUNCTION("""COMPUTED_VALUE"""),"California")</f>
        <v>California</v>
      </c>
      <c r="E436" s="8" t="str">
        <f>IFERROR(__xludf.DUMMYFUNCTION("""COMPUTED_VALUE"""),"West")</f>
        <v>West</v>
      </c>
      <c r="F436" s="10">
        <f>IFERROR(__xludf.DUMMYFUNCTION("""COMPUTED_VALUE"""),9.09)</f>
        <v>9.09</v>
      </c>
      <c r="G436" s="11">
        <f>IFERROR(__xludf.DUMMYFUNCTION("""COMPUTED_VALUE"""),3.0)</f>
        <v>3</v>
      </c>
      <c r="H436" s="11">
        <f>IFERROR(__xludf.DUMMYFUNCTION("""COMPUTED_VALUE"""),1.9089)</f>
        <v>1.9089</v>
      </c>
    </row>
    <row r="437">
      <c r="A437" s="8" t="str">
        <f>IFERROR(__xludf.DUMMYFUNCTION("""COMPUTED_VALUE"""),"CA-2014-134726")</f>
        <v>CA-2014-134726</v>
      </c>
      <c r="B437" s="9">
        <f>IFERROR(__xludf.DUMMYFUNCTION("""COMPUTED_VALUE"""),41945.0)</f>
        <v>41945</v>
      </c>
      <c r="C437" s="8" t="str">
        <f>IFERROR(__xludf.DUMMYFUNCTION("""COMPUTED_VALUE"""),"Corporate")</f>
        <v>Corporate</v>
      </c>
      <c r="D437" s="8" t="str">
        <f>IFERROR(__xludf.DUMMYFUNCTION("""COMPUTED_VALUE"""),"Washington")</f>
        <v>Washington</v>
      </c>
      <c r="E437" s="8" t="str">
        <f>IFERROR(__xludf.DUMMYFUNCTION("""COMPUTED_VALUE"""),"West")</f>
        <v>West</v>
      </c>
      <c r="F437" s="10">
        <f>IFERROR(__xludf.DUMMYFUNCTION("""COMPUTED_VALUE"""),41.94)</f>
        <v>41.94</v>
      </c>
      <c r="G437" s="11">
        <f>IFERROR(__xludf.DUMMYFUNCTION("""COMPUTED_VALUE"""),2.0)</f>
        <v>2</v>
      </c>
      <c r="H437" s="11">
        <f>IFERROR(__xludf.DUMMYFUNCTION("""COMPUTED_VALUE"""),15.0984)</f>
        <v>15.0984</v>
      </c>
    </row>
    <row r="438">
      <c r="A438" s="8" t="str">
        <f>IFERROR(__xludf.DUMMYFUNCTION("""COMPUTED_VALUE"""),"CA-2014-135090")</f>
        <v>CA-2014-135090</v>
      </c>
      <c r="B438" s="9">
        <f>IFERROR(__xludf.DUMMYFUNCTION("""COMPUTED_VALUE"""),41965.0)</f>
        <v>41965</v>
      </c>
      <c r="C438" s="8" t="str">
        <f>IFERROR(__xludf.DUMMYFUNCTION("""COMPUTED_VALUE"""),"Consumer")</f>
        <v>Consumer</v>
      </c>
      <c r="D438" s="8" t="str">
        <f>IFERROR(__xludf.DUMMYFUNCTION("""COMPUTED_VALUE"""),"California")</f>
        <v>California</v>
      </c>
      <c r="E438" s="8" t="str">
        <f>IFERROR(__xludf.DUMMYFUNCTION("""COMPUTED_VALUE"""),"West")</f>
        <v>West</v>
      </c>
      <c r="F438" s="10">
        <f>IFERROR(__xludf.DUMMYFUNCTION("""COMPUTED_VALUE"""),53.82)</f>
        <v>53.82</v>
      </c>
      <c r="G438" s="11">
        <f>IFERROR(__xludf.DUMMYFUNCTION("""COMPUTED_VALUE"""),9.0)</f>
        <v>9</v>
      </c>
      <c r="H438" s="11">
        <f>IFERROR(__xludf.DUMMYFUNCTION("""COMPUTED_VALUE"""),24.219)</f>
        <v>24.219</v>
      </c>
    </row>
    <row r="439">
      <c r="A439" s="8" t="str">
        <f>IFERROR(__xludf.DUMMYFUNCTION("""COMPUTED_VALUE"""),"CA-2014-135405")</f>
        <v>CA-2014-135405</v>
      </c>
      <c r="B439" s="9">
        <f>IFERROR(__xludf.DUMMYFUNCTION("""COMPUTED_VALUE"""),41648.0)</f>
        <v>41648</v>
      </c>
      <c r="C439" s="8" t="str">
        <f>IFERROR(__xludf.DUMMYFUNCTION("""COMPUTED_VALUE"""),"Consumer")</f>
        <v>Consumer</v>
      </c>
      <c r="D439" s="8" t="str">
        <f>IFERROR(__xludf.DUMMYFUNCTION("""COMPUTED_VALUE"""),"Texas")</f>
        <v>Texas</v>
      </c>
      <c r="E439" s="8" t="str">
        <f>IFERROR(__xludf.DUMMYFUNCTION("""COMPUTED_VALUE"""),"Central")</f>
        <v>Central</v>
      </c>
      <c r="F439" s="10">
        <f>IFERROR(__xludf.DUMMYFUNCTION("""COMPUTED_VALUE"""),9.344)</f>
        <v>9.344</v>
      </c>
      <c r="G439" s="11">
        <f>IFERROR(__xludf.DUMMYFUNCTION("""COMPUTED_VALUE"""),2.0)</f>
        <v>2</v>
      </c>
      <c r="H439" s="11">
        <f>IFERROR(__xludf.DUMMYFUNCTION("""COMPUTED_VALUE"""),1.168)</f>
        <v>1.168</v>
      </c>
    </row>
    <row r="440">
      <c r="A440" s="8" t="str">
        <f>IFERROR(__xludf.DUMMYFUNCTION("""COMPUTED_VALUE"""),"CA-2014-135608")</f>
        <v>CA-2014-135608</v>
      </c>
      <c r="B440" s="9">
        <f>IFERROR(__xludf.DUMMYFUNCTION("""COMPUTED_VALUE"""),41981.0)</f>
        <v>41981</v>
      </c>
      <c r="C440" s="8" t="str">
        <f>IFERROR(__xludf.DUMMYFUNCTION("""COMPUTED_VALUE"""),"Consumer")</f>
        <v>Consumer</v>
      </c>
      <c r="D440" s="8" t="str">
        <f>IFERROR(__xludf.DUMMYFUNCTION("""COMPUTED_VALUE"""),"Washington")</f>
        <v>Washington</v>
      </c>
      <c r="E440" s="8" t="str">
        <f>IFERROR(__xludf.DUMMYFUNCTION("""COMPUTED_VALUE"""),"West")</f>
        <v>West</v>
      </c>
      <c r="F440" s="10">
        <f>IFERROR(__xludf.DUMMYFUNCTION("""COMPUTED_VALUE"""),45.68)</f>
        <v>45.68</v>
      </c>
      <c r="G440" s="11">
        <f>IFERROR(__xludf.DUMMYFUNCTION("""COMPUTED_VALUE"""),2.0)</f>
        <v>2</v>
      </c>
      <c r="H440" s="11">
        <f>IFERROR(__xludf.DUMMYFUNCTION("""COMPUTED_VALUE"""),21.0128)</f>
        <v>21.0128</v>
      </c>
    </row>
    <row r="441">
      <c r="A441" s="8" t="str">
        <f>IFERROR(__xludf.DUMMYFUNCTION("""COMPUTED_VALUE"""),"CA-2014-135657")</f>
        <v>CA-2014-135657</v>
      </c>
      <c r="B441" s="9">
        <f>IFERROR(__xludf.DUMMYFUNCTION("""COMPUTED_VALUE"""),41793.0)</f>
        <v>41793</v>
      </c>
      <c r="C441" s="8" t="str">
        <f>IFERROR(__xludf.DUMMYFUNCTION("""COMPUTED_VALUE"""),"Consumer")</f>
        <v>Consumer</v>
      </c>
      <c r="D441" s="8" t="str">
        <f>IFERROR(__xludf.DUMMYFUNCTION("""COMPUTED_VALUE"""),"Washington")</f>
        <v>Washington</v>
      </c>
      <c r="E441" s="8" t="str">
        <f>IFERROR(__xludf.DUMMYFUNCTION("""COMPUTED_VALUE"""),"West")</f>
        <v>West</v>
      </c>
      <c r="F441" s="10">
        <f>IFERROR(__xludf.DUMMYFUNCTION("""COMPUTED_VALUE"""),515.88)</f>
        <v>515.88</v>
      </c>
      <c r="G441" s="11">
        <f>IFERROR(__xludf.DUMMYFUNCTION("""COMPUTED_VALUE"""),6.0)</f>
        <v>6</v>
      </c>
      <c r="H441" s="11">
        <f>IFERROR(__xludf.DUMMYFUNCTION("""COMPUTED_VALUE"""),113.4936)</f>
        <v>113.4936</v>
      </c>
    </row>
    <row r="442">
      <c r="A442" s="8" t="str">
        <f>IFERROR(__xludf.DUMMYFUNCTION("""COMPUTED_VALUE"""),"CA-2014-135699")</f>
        <v>CA-2014-135699</v>
      </c>
      <c r="B442" s="9">
        <f>IFERROR(__xludf.DUMMYFUNCTION("""COMPUTED_VALUE"""),41880.0)</f>
        <v>41880</v>
      </c>
      <c r="C442" s="8" t="str">
        <f>IFERROR(__xludf.DUMMYFUNCTION("""COMPUTED_VALUE"""),"Corporate")</f>
        <v>Corporate</v>
      </c>
      <c r="D442" s="8" t="str">
        <f>IFERROR(__xludf.DUMMYFUNCTION("""COMPUTED_VALUE"""),"California")</f>
        <v>California</v>
      </c>
      <c r="E442" s="8" t="str">
        <f>IFERROR(__xludf.DUMMYFUNCTION("""COMPUTED_VALUE"""),"West")</f>
        <v>West</v>
      </c>
      <c r="F442" s="10">
        <f>IFERROR(__xludf.DUMMYFUNCTION("""COMPUTED_VALUE"""),109.92)</f>
        <v>109.92</v>
      </c>
      <c r="G442" s="11">
        <f>IFERROR(__xludf.DUMMYFUNCTION("""COMPUTED_VALUE"""),2.0)</f>
        <v>2</v>
      </c>
      <c r="H442" s="11">
        <f>IFERROR(__xludf.DUMMYFUNCTION("""COMPUTED_VALUE"""),53.8608)</f>
        <v>53.8608</v>
      </c>
    </row>
    <row r="443">
      <c r="A443" s="8" t="str">
        <f>IFERROR(__xludf.DUMMYFUNCTION("""COMPUTED_VALUE"""),"CA-2014-135755")</f>
        <v>CA-2014-135755</v>
      </c>
      <c r="B443" s="9">
        <f>IFERROR(__xludf.DUMMYFUNCTION("""COMPUTED_VALUE"""),41762.0)</f>
        <v>41762</v>
      </c>
      <c r="C443" s="8" t="str">
        <f>IFERROR(__xludf.DUMMYFUNCTION("""COMPUTED_VALUE"""),"Consumer")</f>
        <v>Consumer</v>
      </c>
      <c r="D443" s="8" t="str">
        <f>IFERROR(__xludf.DUMMYFUNCTION("""COMPUTED_VALUE"""),"New York")</f>
        <v>New York</v>
      </c>
      <c r="E443" s="8" t="str">
        <f>IFERROR(__xludf.DUMMYFUNCTION("""COMPUTED_VALUE"""),"East")</f>
        <v>East</v>
      </c>
      <c r="F443" s="10">
        <f>IFERROR(__xludf.DUMMYFUNCTION("""COMPUTED_VALUE"""),40.176)</f>
        <v>40.176</v>
      </c>
      <c r="G443" s="11">
        <f>IFERROR(__xludf.DUMMYFUNCTION("""COMPUTED_VALUE"""),3.0)</f>
        <v>3</v>
      </c>
      <c r="H443" s="11">
        <f>IFERROR(__xludf.DUMMYFUNCTION("""COMPUTED_VALUE"""),14.5638)</f>
        <v>14.5638</v>
      </c>
    </row>
    <row r="444">
      <c r="A444" s="8" t="str">
        <f>IFERROR(__xludf.DUMMYFUNCTION("""COMPUTED_VALUE"""),"CA-2014-135993")</f>
        <v>CA-2014-135993</v>
      </c>
      <c r="B444" s="9">
        <f>IFERROR(__xludf.DUMMYFUNCTION("""COMPUTED_VALUE"""),41787.0)</f>
        <v>41787</v>
      </c>
      <c r="C444" s="8" t="str">
        <f>IFERROR(__xludf.DUMMYFUNCTION("""COMPUTED_VALUE"""),"Corporate")</f>
        <v>Corporate</v>
      </c>
      <c r="D444" s="8" t="str">
        <f>IFERROR(__xludf.DUMMYFUNCTION("""COMPUTED_VALUE"""),"Washington")</f>
        <v>Washington</v>
      </c>
      <c r="E444" s="8" t="str">
        <f>IFERROR(__xludf.DUMMYFUNCTION("""COMPUTED_VALUE"""),"West")</f>
        <v>West</v>
      </c>
      <c r="F444" s="10">
        <f>IFERROR(__xludf.DUMMYFUNCTION("""COMPUTED_VALUE"""),57.408)</f>
        <v>57.408</v>
      </c>
      <c r="G444" s="11">
        <f>IFERROR(__xludf.DUMMYFUNCTION("""COMPUTED_VALUE"""),6.0)</f>
        <v>6</v>
      </c>
      <c r="H444" s="11">
        <f>IFERROR(__xludf.DUMMYFUNCTION("""COMPUTED_VALUE"""),5.7408)</f>
        <v>5.7408</v>
      </c>
    </row>
    <row r="445">
      <c r="A445" s="8" t="str">
        <f>IFERROR(__xludf.DUMMYFUNCTION("""COMPUTED_VALUE"""),"CA-2014-136280")</f>
        <v>CA-2014-136280</v>
      </c>
      <c r="B445" s="9">
        <f>IFERROR(__xludf.DUMMYFUNCTION("""COMPUTED_VALUE"""),41972.0)</f>
        <v>41972</v>
      </c>
      <c r="C445" s="8" t="str">
        <f>IFERROR(__xludf.DUMMYFUNCTION("""COMPUTED_VALUE"""),"Consumer")</f>
        <v>Consumer</v>
      </c>
      <c r="D445" s="8" t="str">
        <f>IFERROR(__xludf.DUMMYFUNCTION("""COMPUTED_VALUE"""),"Pennsylvania")</f>
        <v>Pennsylvania</v>
      </c>
      <c r="E445" s="8" t="str">
        <f>IFERROR(__xludf.DUMMYFUNCTION("""COMPUTED_VALUE"""),"East")</f>
        <v>East</v>
      </c>
      <c r="F445" s="10">
        <f>IFERROR(__xludf.DUMMYFUNCTION("""COMPUTED_VALUE"""),5.04)</f>
        <v>5.04</v>
      </c>
      <c r="G445" s="11">
        <f>IFERROR(__xludf.DUMMYFUNCTION("""COMPUTED_VALUE"""),2.0)</f>
        <v>2</v>
      </c>
      <c r="H445" s="11">
        <f>IFERROR(__xludf.DUMMYFUNCTION("""COMPUTED_VALUE"""),1.764)</f>
        <v>1.764</v>
      </c>
    </row>
    <row r="446">
      <c r="A446" s="8" t="str">
        <f>IFERROR(__xludf.DUMMYFUNCTION("""COMPUTED_VALUE"""),"CA-2014-136336")</f>
        <v>CA-2014-136336</v>
      </c>
      <c r="B446" s="9">
        <f>IFERROR(__xludf.DUMMYFUNCTION("""COMPUTED_VALUE"""),41750.0)</f>
        <v>41750</v>
      </c>
      <c r="C446" s="8" t="str">
        <f>IFERROR(__xludf.DUMMYFUNCTION("""COMPUTED_VALUE"""),"Corporate")</f>
        <v>Corporate</v>
      </c>
      <c r="D446" s="8" t="str">
        <f>IFERROR(__xludf.DUMMYFUNCTION("""COMPUTED_VALUE"""),"Kentucky")</f>
        <v>Kentucky</v>
      </c>
      <c r="E446" s="8" t="str">
        <f>IFERROR(__xludf.DUMMYFUNCTION("""COMPUTED_VALUE"""),"South")</f>
        <v>South</v>
      </c>
      <c r="F446" s="10">
        <f>IFERROR(__xludf.DUMMYFUNCTION("""COMPUTED_VALUE"""),828.84)</f>
        <v>828.84</v>
      </c>
      <c r="G446" s="11">
        <f>IFERROR(__xludf.DUMMYFUNCTION("""COMPUTED_VALUE"""),6.0)</f>
        <v>6</v>
      </c>
      <c r="H446" s="11">
        <f>IFERROR(__xludf.DUMMYFUNCTION("""COMPUTED_VALUE"""),0.0)</f>
        <v>0</v>
      </c>
    </row>
    <row r="447">
      <c r="A447" s="8" t="str">
        <f>IFERROR(__xludf.DUMMYFUNCTION("""COMPUTED_VALUE"""),"CA-2014-136399")</f>
        <v>CA-2014-136399</v>
      </c>
      <c r="B447" s="9">
        <f>IFERROR(__xludf.DUMMYFUNCTION("""COMPUTED_VALUE"""),41989.0)</f>
        <v>41989</v>
      </c>
      <c r="C447" s="8" t="str">
        <f>IFERROR(__xludf.DUMMYFUNCTION("""COMPUTED_VALUE"""),"Home Office")</f>
        <v>Home Office</v>
      </c>
      <c r="D447" s="8" t="str">
        <f>IFERROR(__xludf.DUMMYFUNCTION("""COMPUTED_VALUE"""),"California")</f>
        <v>California</v>
      </c>
      <c r="E447" s="8" t="str">
        <f>IFERROR(__xludf.DUMMYFUNCTION("""COMPUTED_VALUE"""),"West")</f>
        <v>West</v>
      </c>
      <c r="F447" s="10">
        <f>IFERROR(__xludf.DUMMYFUNCTION("""COMPUTED_VALUE"""),44.46)</f>
        <v>44.46</v>
      </c>
      <c r="G447" s="11">
        <f>IFERROR(__xludf.DUMMYFUNCTION("""COMPUTED_VALUE"""),2.0)</f>
        <v>2</v>
      </c>
      <c r="H447" s="11">
        <f>IFERROR(__xludf.DUMMYFUNCTION("""COMPUTED_VALUE"""),14.6718)</f>
        <v>14.6718</v>
      </c>
    </row>
    <row r="448">
      <c r="A448" s="8" t="str">
        <f>IFERROR(__xludf.DUMMYFUNCTION("""COMPUTED_VALUE"""),"CA-2014-136567")</f>
        <v>CA-2014-136567</v>
      </c>
      <c r="B448" s="9">
        <f>IFERROR(__xludf.DUMMYFUNCTION("""COMPUTED_VALUE"""),41993.0)</f>
        <v>41993</v>
      </c>
      <c r="C448" s="8" t="str">
        <f>IFERROR(__xludf.DUMMYFUNCTION("""COMPUTED_VALUE"""),"Home Office")</f>
        <v>Home Office</v>
      </c>
      <c r="D448" s="8" t="str">
        <f>IFERROR(__xludf.DUMMYFUNCTION("""COMPUTED_VALUE"""),"Virginia")</f>
        <v>Virginia</v>
      </c>
      <c r="E448" s="8" t="str">
        <f>IFERROR(__xludf.DUMMYFUNCTION("""COMPUTED_VALUE"""),"South")</f>
        <v>South</v>
      </c>
      <c r="F448" s="10">
        <f>IFERROR(__xludf.DUMMYFUNCTION("""COMPUTED_VALUE"""),122.48)</f>
        <v>122.48</v>
      </c>
      <c r="G448" s="11">
        <f>IFERROR(__xludf.DUMMYFUNCTION("""COMPUTED_VALUE"""),2.0)</f>
        <v>2</v>
      </c>
      <c r="H448" s="11">
        <f>IFERROR(__xludf.DUMMYFUNCTION("""COMPUTED_VALUE"""),0.0)</f>
        <v>0</v>
      </c>
    </row>
    <row r="449">
      <c r="A449" s="8" t="str">
        <f>IFERROR(__xludf.DUMMYFUNCTION("""COMPUTED_VALUE"""),"CA-2014-136644")</f>
        <v>CA-2014-136644</v>
      </c>
      <c r="B449" s="9">
        <f>IFERROR(__xludf.DUMMYFUNCTION("""COMPUTED_VALUE"""),41806.0)</f>
        <v>41806</v>
      </c>
      <c r="C449" s="8" t="str">
        <f>IFERROR(__xludf.DUMMYFUNCTION("""COMPUTED_VALUE"""),"Consumer")</f>
        <v>Consumer</v>
      </c>
      <c r="D449" s="8" t="str">
        <f>IFERROR(__xludf.DUMMYFUNCTION("""COMPUTED_VALUE"""),"Indiana")</f>
        <v>Indiana</v>
      </c>
      <c r="E449" s="8" t="str">
        <f>IFERROR(__xludf.DUMMYFUNCTION("""COMPUTED_VALUE"""),"Central")</f>
        <v>Central</v>
      </c>
      <c r="F449" s="10">
        <f>IFERROR(__xludf.DUMMYFUNCTION("""COMPUTED_VALUE"""),647.84)</f>
        <v>647.84</v>
      </c>
      <c r="G449" s="11">
        <f>IFERROR(__xludf.DUMMYFUNCTION("""COMPUTED_VALUE"""),8.0)</f>
        <v>8</v>
      </c>
      <c r="H449" s="11">
        <f>IFERROR(__xludf.DUMMYFUNCTION("""COMPUTED_VALUE"""),32.392)</f>
        <v>32.392</v>
      </c>
    </row>
    <row r="450">
      <c r="A450" s="8" t="str">
        <f>IFERROR(__xludf.DUMMYFUNCTION("""COMPUTED_VALUE"""),"CA-2014-136742")</f>
        <v>CA-2014-136742</v>
      </c>
      <c r="B450" s="9">
        <f>IFERROR(__xludf.DUMMYFUNCTION("""COMPUTED_VALUE"""),41735.0)</f>
        <v>41735</v>
      </c>
      <c r="C450" s="8" t="str">
        <f>IFERROR(__xludf.DUMMYFUNCTION("""COMPUTED_VALUE"""),"Corporate")</f>
        <v>Corporate</v>
      </c>
      <c r="D450" s="8" t="str">
        <f>IFERROR(__xludf.DUMMYFUNCTION("""COMPUTED_VALUE"""),"Pennsylvania")</f>
        <v>Pennsylvania</v>
      </c>
      <c r="E450" s="8" t="str">
        <f>IFERROR(__xludf.DUMMYFUNCTION("""COMPUTED_VALUE"""),"East")</f>
        <v>East</v>
      </c>
      <c r="F450" s="10">
        <f>IFERROR(__xludf.DUMMYFUNCTION("""COMPUTED_VALUE"""),44.91)</f>
        <v>44.91</v>
      </c>
      <c r="G450" s="11">
        <f>IFERROR(__xludf.DUMMYFUNCTION("""COMPUTED_VALUE"""),6.0)</f>
        <v>6</v>
      </c>
      <c r="H450" s="11">
        <f>IFERROR(__xludf.DUMMYFUNCTION("""COMPUTED_VALUE"""),-35.928)</f>
        <v>-35.928</v>
      </c>
    </row>
    <row r="451">
      <c r="A451" s="8" t="str">
        <f>IFERROR(__xludf.DUMMYFUNCTION("""COMPUTED_VALUE"""),"CA-2014-136861")</f>
        <v>CA-2014-136861</v>
      </c>
      <c r="B451" s="9">
        <f>IFERROR(__xludf.DUMMYFUNCTION("""COMPUTED_VALUE"""),41887.0)</f>
        <v>41887</v>
      </c>
      <c r="C451" s="8" t="str">
        <f>IFERROR(__xludf.DUMMYFUNCTION("""COMPUTED_VALUE"""),"Consumer")</f>
        <v>Consumer</v>
      </c>
      <c r="D451" s="8" t="str">
        <f>IFERROR(__xludf.DUMMYFUNCTION("""COMPUTED_VALUE"""),"Florida")</f>
        <v>Florida</v>
      </c>
      <c r="E451" s="8" t="str">
        <f>IFERROR(__xludf.DUMMYFUNCTION("""COMPUTED_VALUE"""),"South")</f>
        <v>South</v>
      </c>
      <c r="F451" s="10">
        <f>IFERROR(__xludf.DUMMYFUNCTION("""COMPUTED_VALUE"""),31.984)</f>
        <v>31.984</v>
      </c>
      <c r="G451" s="11">
        <f>IFERROR(__xludf.DUMMYFUNCTION("""COMPUTED_VALUE"""),2.0)</f>
        <v>2</v>
      </c>
      <c r="H451" s="11">
        <f>IFERROR(__xludf.DUMMYFUNCTION("""COMPUTED_VALUE"""),1.999)</f>
        <v>1.999</v>
      </c>
    </row>
    <row r="452">
      <c r="A452" s="8" t="str">
        <f>IFERROR(__xludf.DUMMYFUNCTION("""COMPUTED_VALUE"""),"CA-2014-137092")</f>
        <v>CA-2014-137092</v>
      </c>
      <c r="B452" s="9">
        <f>IFERROR(__xludf.DUMMYFUNCTION("""COMPUTED_VALUE"""),41932.0)</f>
        <v>41932</v>
      </c>
      <c r="C452" s="8" t="str">
        <f>IFERROR(__xludf.DUMMYFUNCTION("""COMPUTED_VALUE"""),"Home Office")</f>
        <v>Home Office</v>
      </c>
      <c r="D452" s="8" t="str">
        <f>IFERROR(__xludf.DUMMYFUNCTION("""COMPUTED_VALUE"""),"Illinois")</f>
        <v>Illinois</v>
      </c>
      <c r="E452" s="8" t="str">
        <f>IFERROR(__xludf.DUMMYFUNCTION("""COMPUTED_VALUE"""),"Central")</f>
        <v>Central</v>
      </c>
      <c r="F452" s="10">
        <f>IFERROR(__xludf.DUMMYFUNCTION("""COMPUTED_VALUE"""),319.968)</f>
        <v>319.968</v>
      </c>
      <c r="G452" s="11">
        <f>IFERROR(__xludf.DUMMYFUNCTION("""COMPUTED_VALUE"""),4.0)</f>
        <v>4</v>
      </c>
      <c r="H452" s="11">
        <f>IFERROR(__xludf.DUMMYFUNCTION("""COMPUTED_VALUE"""),71.9928)</f>
        <v>71.9928</v>
      </c>
    </row>
    <row r="453">
      <c r="A453" s="8" t="str">
        <f>IFERROR(__xludf.DUMMYFUNCTION("""COMPUTED_VALUE"""),"CA-2014-137274")</f>
        <v>CA-2014-137274</v>
      </c>
      <c r="B453" s="9">
        <f>IFERROR(__xludf.DUMMYFUNCTION("""COMPUTED_VALUE"""),41727.0)</f>
        <v>41727</v>
      </c>
      <c r="C453" s="8" t="str">
        <f>IFERROR(__xludf.DUMMYFUNCTION("""COMPUTED_VALUE"""),"Consumer")</f>
        <v>Consumer</v>
      </c>
      <c r="D453" s="8" t="str">
        <f>IFERROR(__xludf.DUMMYFUNCTION("""COMPUTED_VALUE"""),"Texas")</f>
        <v>Texas</v>
      </c>
      <c r="E453" s="8" t="str">
        <f>IFERROR(__xludf.DUMMYFUNCTION("""COMPUTED_VALUE"""),"Central")</f>
        <v>Central</v>
      </c>
      <c r="F453" s="10">
        <f>IFERROR(__xludf.DUMMYFUNCTION("""COMPUTED_VALUE"""),890.841)</f>
        <v>890.841</v>
      </c>
      <c r="G453" s="11">
        <f>IFERROR(__xludf.DUMMYFUNCTION("""COMPUTED_VALUE"""),3.0)</f>
        <v>3</v>
      </c>
      <c r="H453" s="11">
        <f>IFERROR(__xludf.DUMMYFUNCTION("""COMPUTED_VALUE"""),-152.7156)</f>
        <v>-152.7156</v>
      </c>
    </row>
    <row r="454">
      <c r="A454" s="8" t="str">
        <f>IFERROR(__xludf.DUMMYFUNCTION("""COMPUTED_VALUE"""),"CA-2014-137351")</f>
        <v>CA-2014-137351</v>
      </c>
      <c r="B454" s="9">
        <f>IFERROR(__xludf.DUMMYFUNCTION("""COMPUTED_VALUE"""),41912.0)</f>
        <v>41912</v>
      </c>
      <c r="C454" s="8" t="str">
        <f>IFERROR(__xludf.DUMMYFUNCTION("""COMPUTED_VALUE"""),"Consumer")</f>
        <v>Consumer</v>
      </c>
      <c r="D454" s="8" t="str">
        <f>IFERROR(__xludf.DUMMYFUNCTION("""COMPUTED_VALUE"""),"Washington")</f>
        <v>Washington</v>
      </c>
      <c r="E454" s="8" t="str">
        <f>IFERROR(__xludf.DUMMYFUNCTION("""COMPUTED_VALUE"""),"West")</f>
        <v>West</v>
      </c>
      <c r="F454" s="10">
        <f>IFERROR(__xludf.DUMMYFUNCTION("""COMPUTED_VALUE"""),43.176)</f>
        <v>43.176</v>
      </c>
      <c r="G454" s="11">
        <f>IFERROR(__xludf.DUMMYFUNCTION("""COMPUTED_VALUE"""),7.0)</f>
        <v>7</v>
      </c>
      <c r="H454" s="11">
        <f>IFERROR(__xludf.DUMMYFUNCTION("""COMPUTED_VALUE"""),13.4925)</f>
        <v>13.4925</v>
      </c>
    </row>
    <row r="455">
      <c r="A455" s="8" t="str">
        <f>IFERROR(__xludf.DUMMYFUNCTION("""COMPUTED_VALUE"""),"CA-2014-137575")</f>
        <v>CA-2014-137575</v>
      </c>
      <c r="B455" s="9">
        <f>IFERROR(__xludf.DUMMYFUNCTION("""COMPUTED_VALUE"""),41857.0)</f>
        <v>41857</v>
      </c>
      <c r="C455" s="8" t="str">
        <f>IFERROR(__xludf.DUMMYFUNCTION("""COMPUTED_VALUE"""),"Consumer")</f>
        <v>Consumer</v>
      </c>
      <c r="D455" s="8" t="str">
        <f>IFERROR(__xludf.DUMMYFUNCTION("""COMPUTED_VALUE"""),"New York")</f>
        <v>New York</v>
      </c>
      <c r="E455" s="8" t="str">
        <f>IFERROR(__xludf.DUMMYFUNCTION("""COMPUTED_VALUE"""),"East")</f>
        <v>East</v>
      </c>
      <c r="F455" s="10">
        <f>IFERROR(__xludf.DUMMYFUNCTION("""COMPUTED_VALUE"""),199.98)</f>
        <v>199.98</v>
      </c>
      <c r="G455" s="11">
        <f>IFERROR(__xludf.DUMMYFUNCTION("""COMPUTED_VALUE"""),2.0)</f>
        <v>2</v>
      </c>
      <c r="H455" s="11">
        <f>IFERROR(__xludf.DUMMYFUNCTION("""COMPUTED_VALUE"""),83.9916)</f>
        <v>83.9916</v>
      </c>
    </row>
    <row r="456">
      <c r="A456" s="8" t="str">
        <f>IFERROR(__xludf.DUMMYFUNCTION("""COMPUTED_VALUE"""),"CA-2014-137589")</f>
        <v>CA-2014-137589</v>
      </c>
      <c r="B456" s="9">
        <f>IFERROR(__xludf.DUMMYFUNCTION("""COMPUTED_VALUE"""),41946.0)</f>
        <v>41946</v>
      </c>
      <c r="C456" s="8" t="str">
        <f>IFERROR(__xludf.DUMMYFUNCTION("""COMPUTED_VALUE"""),"Consumer")</f>
        <v>Consumer</v>
      </c>
      <c r="D456" s="8" t="str">
        <f>IFERROR(__xludf.DUMMYFUNCTION("""COMPUTED_VALUE"""),"Pennsylvania")</f>
        <v>Pennsylvania</v>
      </c>
      <c r="E456" s="8" t="str">
        <f>IFERROR(__xludf.DUMMYFUNCTION("""COMPUTED_VALUE"""),"East")</f>
        <v>East</v>
      </c>
      <c r="F456" s="10">
        <f>IFERROR(__xludf.DUMMYFUNCTION("""COMPUTED_VALUE"""),286.344)</f>
        <v>286.344</v>
      </c>
      <c r="G456" s="11">
        <f>IFERROR(__xludf.DUMMYFUNCTION("""COMPUTED_VALUE"""),3.0)</f>
        <v>3</v>
      </c>
      <c r="H456" s="11">
        <f>IFERROR(__xludf.DUMMYFUNCTION("""COMPUTED_VALUE"""),-64.4274)</f>
        <v>-64.4274</v>
      </c>
    </row>
    <row r="457">
      <c r="A457" s="8" t="str">
        <f>IFERROR(__xludf.DUMMYFUNCTION("""COMPUTED_VALUE"""),"CA-2014-137911")</f>
        <v>CA-2014-137911</v>
      </c>
      <c r="B457" s="9">
        <f>IFERROR(__xludf.DUMMYFUNCTION("""COMPUTED_VALUE"""),41921.0)</f>
        <v>41921</v>
      </c>
      <c r="C457" s="8" t="str">
        <f>IFERROR(__xludf.DUMMYFUNCTION("""COMPUTED_VALUE"""),"Corporate")</f>
        <v>Corporate</v>
      </c>
      <c r="D457" s="8" t="str">
        <f>IFERROR(__xludf.DUMMYFUNCTION("""COMPUTED_VALUE"""),"North Carolina")</f>
        <v>North Carolina</v>
      </c>
      <c r="E457" s="8" t="str">
        <f>IFERROR(__xludf.DUMMYFUNCTION("""COMPUTED_VALUE"""),"South")</f>
        <v>South</v>
      </c>
      <c r="F457" s="10">
        <f>IFERROR(__xludf.DUMMYFUNCTION("""COMPUTED_VALUE"""),88.768)</f>
        <v>88.768</v>
      </c>
      <c r="G457" s="11">
        <f>IFERROR(__xludf.DUMMYFUNCTION("""COMPUTED_VALUE"""),2.0)</f>
        <v>2</v>
      </c>
      <c r="H457" s="11">
        <f>IFERROR(__xludf.DUMMYFUNCTION("""COMPUTED_VALUE"""),31.0688)</f>
        <v>31.0688</v>
      </c>
    </row>
    <row r="458">
      <c r="A458" s="8" t="str">
        <f>IFERROR(__xludf.DUMMYFUNCTION("""COMPUTED_VALUE"""),"CA-2014-138023")</f>
        <v>CA-2014-138023</v>
      </c>
      <c r="B458" s="9">
        <f>IFERROR(__xludf.DUMMYFUNCTION("""COMPUTED_VALUE"""),41866.0)</f>
        <v>41866</v>
      </c>
      <c r="C458" s="8" t="str">
        <f>IFERROR(__xludf.DUMMYFUNCTION("""COMPUTED_VALUE"""),"Consumer")</f>
        <v>Consumer</v>
      </c>
      <c r="D458" s="8" t="str">
        <f>IFERROR(__xludf.DUMMYFUNCTION("""COMPUTED_VALUE"""),"Texas")</f>
        <v>Texas</v>
      </c>
      <c r="E458" s="8" t="str">
        <f>IFERROR(__xludf.DUMMYFUNCTION("""COMPUTED_VALUE"""),"Central")</f>
        <v>Central</v>
      </c>
      <c r="F458" s="10">
        <f>IFERROR(__xludf.DUMMYFUNCTION("""COMPUTED_VALUE"""),30.96)</f>
        <v>30.96</v>
      </c>
      <c r="G458" s="11">
        <f>IFERROR(__xludf.DUMMYFUNCTION("""COMPUTED_VALUE"""),8.0)</f>
        <v>8</v>
      </c>
      <c r="H458" s="11">
        <f>IFERROR(__xludf.DUMMYFUNCTION("""COMPUTED_VALUE"""),-52.632)</f>
        <v>-52.632</v>
      </c>
    </row>
    <row r="459">
      <c r="A459" s="8" t="str">
        <f>IFERROR(__xludf.DUMMYFUNCTION("""COMPUTED_VALUE"""),"CA-2014-138072")</f>
        <v>CA-2014-138072</v>
      </c>
      <c r="B459" s="9">
        <f>IFERROR(__xludf.DUMMYFUNCTION("""COMPUTED_VALUE"""),42003.0)</f>
        <v>42003</v>
      </c>
      <c r="C459" s="8" t="str">
        <f>IFERROR(__xludf.DUMMYFUNCTION("""COMPUTED_VALUE"""),"Consumer")</f>
        <v>Consumer</v>
      </c>
      <c r="D459" s="8" t="str">
        <f>IFERROR(__xludf.DUMMYFUNCTION("""COMPUTED_VALUE"""),"Pennsylvania")</f>
        <v>Pennsylvania</v>
      </c>
      <c r="E459" s="8" t="str">
        <f>IFERROR(__xludf.DUMMYFUNCTION("""COMPUTED_VALUE"""),"East")</f>
        <v>East</v>
      </c>
      <c r="F459" s="10">
        <f>IFERROR(__xludf.DUMMYFUNCTION("""COMPUTED_VALUE"""),27.968)</f>
        <v>27.968</v>
      </c>
      <c r="G459" s="11">
        <f>IFERROR(__xludf.DUMMYFUNCTION("""COMPUTED_VALUE"""),2.0)</f>
        <v>2</v>
      </c>
      <c r="H459" s="11">
        <f>IFERROR(__xludf.DUMMYFUNCTION("""COMPUTED_VALUE"""),6.992)</f>
        <v>6.992</v>
      </c>
    </row>
    <row r="460">
      <c r="A460" s="8" t="str">
        <f>IFERROR(__xludf.DUMMYFUNCTION("""COMPUTED_VALUE"""),"CA-2014-138100")</f>
        <v>CA-2014-138100</v>
      </c>
      <c r="B460" s="9">
        <f>IFERROR(__xludf.DUMMYFUNCTION("""COMPUTED_VALUE"""),41897.0)</f>
        <v>41897</v>
      </c>
      <c r="C460" s="8" t="str">
        <f>IFERROR(__xludf.DUMMYFUNCTION("""COMPUTED_VALUE"""),"Consumer")</f>
        <v>Consumer</v>
      </c>
      <c r="D460" s="8" t="str">
        <f>IFERROR(__xludf.DUMMYFUNCTION("""COMPUTED_VALUE"""),"New York")</f>
        <v>New York</v>
      </c>
      <c r="E460" s="8" t="str">
        <f>IFERROR(__xludf.DUMMYFUNCTION("""COMPUTED_VALUE"""),"East")</f>
        <v>East</v>
      </c>
      <c r="F460" s="10">
        <f>IFERROR(__xludf.DUMMYFUNCTION("""COMPUTED_VALUE"""),14.94)</f>
        <v>14.94</v>
      </c>
      <c r="G460" s="11">
        <f>IFERROR(__xludf.DUMMYFUNCTION("""COMPUTED_VALUE"""),3.0)</f>
        <v>3</v>
      </c>
      <c r="H460" s="11">
        <f>IFERROR(__xludf.DUMMYFUNCTION("""COMPUTED_VALUE"""),7.0218)</f>
        <v>7.0218</v>
      </c>
    </row>
    <row r="461">
      <c r="A461" s="8" t="str">
        <f>IFERROR(__xludf.DUMMYFUNCTION("""COMPUTED_VALUE"""),"CA-2014-138128")</f>
        <v>CA-2014-138128</v>
      </c>
      <c r="B461" s="9">
        <f>IFERROR(__xludf.DUMMYFUNCTION("""COMPUTED_VALUE"""),41982.0)</f>
        <v>41982</v>
      </c>
      <c r="C461" s="8" t="str">
        <f>IFERROR(__xludf.DUMMYFUNCTION("""COMPUTED_VALUE"""),"Consumer")</f>
        <v>Consumer</v>
      </c>
      <c r="D461" s="8" t="str">
        <f>IFERROR(__xludf.DUMMYFUNCTION("""COMPUTED_VALUE"""),"Pennsylvania")</f>
        <v>Pennsylvania</v>
      </c>
      <c r="E461" s="8" t="str">
        <f>IFERROR(__xludf.DUMMYFUNCTION("""COMPUTED_VALUE"""),"East")</f>
        <v>East</v>
      </c>
      <c r="F461" s="10">
        <f>IFERROR(__xludf.DUMMYFUNCTION("""COMPUTED_VALUE"""),30.672)</f>
        <v>30.672</v>
      </c>
      <c r="G461" s="11">
        <f>IFERROR(__xludf.DUMMYFUNCTION("""COMPUTED_VALUE"""),3.0)</f>
        <v>3</v>
      </c>
      <c r="H461" s="11">
        <f>IFERROR(__xludf.DUMMYFUNCTION("""COMPUTED_VALUE"""),9.585)</f>
        <v>9.585</v>
      </c>
    </row>
    <row r="462">
      <c r="A462" s="8" t="str">
        <f>IFERROR(__xludf.DUMMYFUNCTION("""COMPUTED_VALUE"""),"CA-2014-138177")</f>
        <v>CA-2014-138177</v>
      </c>
      <c r="B462" s="9">
        <f>IFERROR(__xludf.DUMMYFUNCTION("""COMPUTED_VALUE"""),41901.0)</f>
        <v>41901</v>
      </c>
      <c r="C462" s="8" t="str">
        <f>IFERROR(__xludf.DUMMYFUNCTION("""COMPUTED_VALUE"""),"Corporate")</f>
        <v>Corporate</v>
      </c>
      <c r="D462" s="8" t="str">
        <f>IFERROR(__xludf.DUMMYFUNCTION("""COMPUTED_VALUE"""),"Arizona")</f>
        <v>Arizona</v>
      </c>
      <c r="E462" s="8" t="str">
        <f>IFERROR(__xludf.DUMMYFUNCTION("""COMPUTED_VALUE"""),"West")</f>
        <v>West</v>
      </c>
      <c r="F462" s="10">
        <f>IFERROR(__xludf.DUMMYFUNCTION("""COMPUTED_VALUE"""),73.915)</f>
        <v>73.915</v>
      </c>
      <c r="G462" s="11">
        <f>IFERROR(__xludf.DUMMYFUNCTION("""COMPUTED_VALUE"""),1.0)</f>
        <v>1</v>
      </c>
      <c r="H462" s="11">
        <f>IFERROR(__xludf.DUMMYFUNCTION("""COMPUTED_VALUE"""),-45.8273)</f>
        <v>-45.8273</v>
      </c>
    </row>
    <row r="463">
      <c r="A463" s="8" t="str">
        <f>IFERROR(__xludf.DUMMYFUNCTION("""COMPUTED_VALUE"""),"CA-2014-138198")</f>
        <v>CA-2014-138198</v>
      </c>
      <c r="B463" s="9">
        <f>IFERROR(__xludf.DUMMYFUNCTION("""COMPUTED_VALUE"""),41838.0)</f>
        <v>41838</v>
      </c>
      <c r="C463" s="8" t="str">
        <f>IFERROR(__xludf.DUMMYFUNCTION("""COMPUTED_VALUE"""),"Consumer")</f>
        <v>Consumer</v>
      </c>
      <c r="D463" s="8" t="str">
        <f>IFERROR(__xludf.DUMMYFUNCTION("""COMPUTED_VALUE"""),"New York")</f>
        <v>New York</v>
      </c>
      <c r="E463" s="8" t="str">
        <f>IFERROR(__xludf.DUMMYFUNCTION("""COMPUTED_VALUE"""),"East")</f>
        <v>East</v>
      </c>
      <c r="F463" s="10">
        <f>IFERROR(__xludf.DUMMYFUNCTION("""COMPUTED_VALUE"""),13.904)</f>
        <v>13.904</v>
      </c>
      <c r="G463" s="11">
        <f>IFERROR(__xludf.DUMMYFUNCTION("""COMPUTED_VALUE"""),2.0)</f>
        <v>2</v>
      </c>
      <c r="H463" s="11">
        <f>IFERROR(__xludf.DUMMYFUNCTION("""COMPUTED_VALUE"""),4.5188)</f>
        <v>4.5188</v>
      </c>
    </row>
    <row r="464">
      <c r="A464" s="8" t="str">
        <f>IFERROR(__xludf.DUMMYFUNCTION("""COMPUTED_VALUE"""),"CA-2014-138240")</f>
        <v>CA-2014-138240</v>
      </c>
      <c r="B464" s="9">
        <f>IFERROR(__xludf.DUMMYFUNCTION("""COMPUTED_VALUE"""),41921.0)</f>
        <v>41921</v>
      </c>
      <c r="C464" s="8" t="str">
        <f>IFERROR(__xludf.DUMMYFUNCTION("""COMPUTED_VALUE"""),"Consumer")</f>
        <v>Consumer</v>
      </c>
      <c r="D464" s="8" t="str">
        <f>IFERROR(__xludf.DUMMYFUNCTION("""COMPUTED_VALUE"""),"California")</f>
        <v>California</v>
      </c>
      <c r="E464" s="8" t="str">
        <f>IFERROR(__xludf.DUMMYFUNCTION("""COMPUTED_VALUE"""),"West")</f>
        <v>West</v>
      </c>
      <c r="F464" s="10">
        <f>IFERROR(__xludf.DUMMYFUNCTION("""COMPUTED_VALUE"""),144.6)</f>
        <v>144.6</v>
      </c>
      <c r="G464" s="11">
        <f>IFERROR(__xludf.DUMMYFUNCTION("""COMPUTED_VALUE"""),3.0)</f>
        <v>3</v>
      </c>
      <c r="H464" s="11">
        <f>IFERROR(__xludf.DUMMYFUNCTION("""COMPUTED_VALUE"""),41.934)</f>
        <v>41.934</v>
      </c>
    </row>
    <row r="465">
      <c r="A465" s="8" t="str">
        <f>IFERROR(__xludf.DUMMYFUNCTION("""COMPUTED_VALUE"""),"CA-2014-138296")</f>
        <v>CA-2014-138296</v>
      </c>
      <c r="B465" s="9">
        <f>IFERROR(__xludf.DUMMYFUNCTION("""COMPUTED_VALUE"""),41978.0)</f>
        <v>41978</v>
      </c>
      <c r="C465" s="8" t="str">
        <f>IFERROR(__xludf.DUMMYFUNCTION("""COMPUTED_VALUE"""),"Consumer")</f>
        <v>Consumer</v>
      </c>
      <c r="D465" s="8" t="str">
        <f>IFERROR(__xludf.DUMMYFUNCTION("""COMPUTED_VALUE"""),"Virginia")</f>
        <v>Virginia</v>
      </c>
      <c r="E465" s="8" t="str">
        <f>IFERROR(__xludf.DUMMYFUNCTION("""COMPUTED_VALUE"""),"South")</f>
        <v>South</v>
      </c>
      <c r="F465" s="10">
        <f>IFERROR(__xludf.DUMMYFUNCTION("""COMPUTED_VALUE"""),24.56)</f>
        <v>24.56</v>
      </c>
      <c r="G465" s="11">
        <f>IFERROR(__xludf.DUMMYFUNCTION("""COMPUTED_VALUE"""),2.0)</f>
        <v>2</v>
      </c>
      <c r="H465" s="11">
        <f>IFERROR(__xludf.DUMMYFUNCTION("""COMPUTED_VALUE"""),6.8768)</f>
        <v>6.8768</v>
      </c>
    </row>
    <row r="466">
      <c r="A466" s="8" t="str">
        <f>IFERROR(__xludf.DUMMYFUNCTION("""COMPUTED_VALUE"""),"CA-2014-138317")</f>
        <v>CA-2014-138317</v>
      </c>
      <c r="B466" s="9">
        <f>IFERROR(__xludf.DUMMYFUNCTION("""COMPUTED_VALUE"""),41811.0)</f>
        <v>41811</v>
      </c>
      <c r="C466" s="8" t="str">
        <f>IFERROR(__xludf.DUMMYFUNCTION("""COMPUTED_VALUE"""),"Consumer")</f>
        <v>Consumer</v>
      </c>
      <c r="D466" s="8" t="str">
        <f>IFERROR(__xludf.DUMMYFUNCTION("""COMPUTED_VALUE"""),"Pennsylvania")</f>
        <v>Pennsylvania</v>
      </c>
      <c r="E466" s="8" t="str">
        <f>IFERROR(__xludf.DUMMYFUNCTION("""COMPUTED_VALUE"""),"East")</f>
        <v>East</v>
      </c>
      <c r="F466" s="10">
        <f>IFERROR(__xludf.DUMMYFUNCTION("""COMPUTED_VALUE"""),24.896)</f>
        <v>24.896</v>
      </c>
      <c r="G466" s="11">
        <f>IFERROR(__xludf.DUMMYFUNCTION("""COMPUTED_VALUE"""),4.0)</f>
        <v>4</v>
      </c>
      <c r="H466" s="11">
        <f>IFERROR(__xludf.DUMMYFUNCTION("""COMPUTED_VALUE"""),8.4024)</f>
        <v>8.4024</v>
      </c>
    </row>
    <row r="467">
      <c r="A467" s="8" t="str">
        <f>IFERROR(__xludf.DUMMYFUNCTION("""COMPUTED_VALUE"""),"CA-2014-138359")</f>
        <v>CA-2014-138359</v>
      </c>
      <c r="B467" s="9">
        <f>IFERROR(__xludf.DUMMYFUNCTION("""COMPUTED_VALUE"""),41730.0)</f>
        <v>41730</v>
      </c>
      <c r="C467" s="8" t="str">
        <f>IFERROR(__xludf.DUMMYFUNCTION("""COMPUTED_VALUE"""),"Corporate")</f>
        <v>Corporate</v>
      </c>
      <c r="D467" s="8" t="str">
        <f>IFERROR(__xludf.DUMMYFUNCTION("""COMPUTED_VALUE"""),"Massachusetts")</f>
        <v>Massachusetts</v>
      </c>
      <c r="E467" s="8" t="str">
        <f>IFERROR(__xludf.DUMMYFUNCTION("""COMPUTED_VALUE"""),"East")</f>
        <v>East</v>
      </c>
      <c r="F467" s="10">
        <f>IFERROR(__xludf.DUMMYFUNCTION("""COMPUTED_VALUE"""),66.96)</f>
        <v>66.96</v>
      </c>
      <c r="G467" s="11">
        <f>IFERROR(__xludf.DUMMYFUNCTION("""COMPUTED_VALUE"""),4.0)</f>
        <v>4</v>
      </c>
      <c r="H467" s="11">
        <f>IFERROR(__xludf.DUMMYFUNCTION("""COMPUTED_VALUE"""),2.6784)</f>
        <v>2.6784</v>
      </c>
    </row>
    <row r="468">
      <c r="A468" s="8" t="str">
        <f>IFERROR(__xludf.DUMMYFUNCTION("""COMPUTED_VALUE"""),"CA-2014-138436")</f>
        <v>CA-2014-138436</v>
      </c>
      <c r="B468" s="9">
        <f>IFERROR(__xludf.DUMMYFUNCTION("""COMPUTED_VALUE"""),41724.0)</f>
        <v>41724</v>
      </c>
      <c r="C468" s="8" t="str">
        <f>IFERROR(__xludf.DUMMYFUNCTION("""COMPUTED_VALUE"""),"Corporate")</f>
        <v>Corporate</v>
      </c>
      <c r="D468" s="8" t="str">
        <f>IFERROR(__xludf.DUMMYFUNCTION("""COMPUTED_VALUE"""),"California")</f>
        <v>California</v>
      </c>
      <c r="E468" s="8" t="str">
        <f>IFERROR(__xludf.DUMMYFUNCTION("""COMPUTED_VALUE"""),"West")</f>
        <v>West</v>
      </c>
      <c r="F468" s="10">
        <f>IFERROR(__xludf.DUMMYFUNCTION("""COMPUTED_VALUE"""),66.3)</f>
        <v>66.3</v>
      </c>
      <c r="G468" s="11">
        <f>IFERROR(__xludf.DUMMYFUNCTION("""COMPUTED_VALUE"""),3.0)</f>
        <v>3</v>
      </c>
      <c r="H468" s="11">
        <f>IFERROR(__xludf.DUMMYFUNCTION("""COMPUTED_VALUE"""),8.619)</f>
        <v>8.619</v>
      </c>
    </row>
    <row r="469">
      <c r="A469" s="8" t="str">
        <f>IFERROR(__xludf.DUMMYFUNCTION("""COMPUTED_VALUE"""),"CA-2014-138450")</f>
        <v>CA-2014-138450</v>
      </c>
      <c r="B469" s="9">
        <f>IFERROR(__xludf.DUMMYFUNCTION("""COMPUTED_VALUE"""),41930.0)</f>
        <v>41930</v>
      </c>
      <c r="C469" s="8" t="str">
        <f>IFERROR(__xludf.DUMMYFUNCTION("""COMPUTED_VALUE"""),"Corporate")</f>
        <v>Corporate</v>
      </c>
      <c r="D469" s="8" t="str">
        <f>IFERROR(__xludf.DUMMYFUNCTION("""COMPUTED_VALUE"""),"Pennsylvania")</f>
        <v>Pennsylvania</v>
      </c>
      <c r="E469" s="8" t="str">
        <f>IFERROR(__xludf.DUMMYFUNCTION("""COMPUTED_VALUE"""),"East")</f>
        <v>East</v>
      </c>
      <c r="F469" s="10">
        <f>IFERROR(__xludf.DUMMYFUNCTION("""COMPUTED_VALUE"""),52.512)</f>
        <v>52.512</v>
      </c>
      <c r="G469" s="11">
        <f>IFERROR(__xludf.DUMMYFUNCTION("""COMPUTED_VALUE"""),6.0)</f>
        <v>6</v>
      </c>
      <c r="H469" s="11">
        <f>IFERROR(__xludf.DUMMYFUNCTION("""COMPUTED_VALUE"""),19.692)</f>
        <v>19.692</v>
      </c>
    </row>
    <row r="470">
      <c r="A470" s="8" t="str">
        <f>IFERROR(__xludf.DUMMYFUNCTION("""COMPUTED_VALUE"""),"CA-2014-138513")</f>
        <v>CA-2014-138513</v>
      </c>
      <c r="B470" s="9">
        <f>IFERROR(__xludf.DUMMYFUNCTION("""COMPUTED_VALUE"""),41782.0)</f>
        <v>41782</v>
      </c>
      <c r="C470" s="8" t="str">
        <f>IFERROR(__xludf.DUMMYFUNCTION("""COMPUTED_VALUE"""),"Consumer")</f>
        <v>Consumer</v>
      </c>
      <c r="D470" s="8" t="str">
        <f>IFERROR(__xludf.DUMMYFUNCTION("""COMPUTED_VALUE"""),"Washington")</f>
        <v>Washington</v>
      </c>
      <c r="E470" s="8" t="str">
        <f>IFERROR(__xludf.DUMMYFUNCTION("""COMPUTED_VALUE"""),"West")</f>
        <v>West</v>
      </c>
      <c r="F470" s="10">
        <f>IFERROR(__xludf.DUMMYFUNCTION("""COMPUTED_VALUE"""),12.96)</f>
        <v>12.96</v>
      </c>
      <c r="G470" s="11">
        <f>IFERROR(__xludf.DUMMYFUNCTION("""COMPUTED_VALUE"""),2.0)</f>
        <v>2</v>
      </c>
      <c r="H470" s="11">
        <f>IFERROR(__xludf.DUMMYFUNCTION("""COMPUTED_VALUE"""),6.2208)</f>
        <v>6.2208</v>
      </c>
    </row>
    <row r="471">
      <c r="A471" s="8" t="str">
        <f>IFERROR(__xludf.DUMMYFUNCTION("""COMPUTED_VALUE"""),"CA-2014-138527")</f>
        <v>CA-2014-138527</v>
      </c>
      <c r="B471" s="9">
        <f>IFERROR(__xludf.DUMMYFUNCTION("""COMPUTED_VALUE"""),41894.0)</f>
        <v>41894</v>
      </c>
      <c r="C471" s="8" t="str">
        <f>IFERROR(__xludf.DUMMYFUNCTION("""COMPUTED_VALUE"""),"Corporate")</f>
        <v>Corporate</v>
      </c>
      <c r="D471" s="8" t="str">
        <f>IFERROR(__xludf.DUMMYFUNCTION("""COMPUTED_VALUE"""),"North Carolina")</f>
        <v>North Carolina</v>
      </c>
      <c r="E471" s="8" t="str">
        <f>IFERROR(__xludf.DUMMYFUNCTION("""COMPUTED_VALUE"""),"South")</f>
        <v>South</v>
      </c>
      <c r="F471" s="10">
        <f>IFERROR(__xludf.DUMMYFUNCTION("""COMPUTED_VALUE"""),10.368)</f>
        <v>10.368</v>
      </c>
      <c r="G471" s="11">
        <f>IFERROR(__xludf.DUMMYFUNCTION("""COMPUTED_VALUE"""),2.0)</f>
        <v>2</v>
      </c>
      <c r="H471" s="11">
        <f>IFERROR(__xludf.DUMMYFUNCTION("""COMPUTED_VALUE"""),3.6288)</f>
        <v>3.6288</v>
      </c>
    </row>
    <row r="472">
      <c r="A472" s="8" t="str">
        <f>IFERROR(__xludf.DUMMYFUNCTION("""COMPUTED_VALUE"""),"CA-2014-138681")</f>
        <v>CA-2014-138681</v>
      </c>
      <c r="B472" s="9">
        <f>IFERROR(__xludf.DUMMYFUNCTION("""COMPUTED_VALUE"""),41993.0)</f>
        <v>41993</v>
      </c>
      <c r="C472" s="8" t="str">
        <f>IFERROR(__xludf.DUMMYFUNCTION("""COMPUTED_VALUE"""),"Consumer")</f>
        <v>Consumer</v>
      </c>
      <c r="D472" s="8" t="str">
        <f>IFERROR(__xludf.DUMMYFUNCTION("""COMPUTED_VALUE"""),"Arizona")</f>
        <v>Arizona</v>
      </c>
      <c r="E472" s="8" t="str">
        <f>IFERROR(__xludf.DUMMYFUNCTION("""COMPUTED_VALUE"""),"West")</f>
        <v>West</v>
      </c>
      <c r="F472" s="10">
        <f>IFERROR(__xludf.DUMMYFUNCTION("""COMPUTED_VALUE"""),51.968)</f>
        <v>51.968</v>
      </c>
      <c r="G472" s="11">
        <f>IFERROR(__xludf.DUMMYFUNCTION("""COMPUTED_VALUE"""),2.0)</f>
        <v>2</v>
      </c>
      <c r="H472" s="11">
        <f>IFERROR(__xludf.DUMMYFUNCTION("""COMPUTED_VALUE"""),10.3936)</f>
        <v>10.3936</v>
      </c>
    </row>
    <row r="473">
      <c r="A473" s="8" t="str">
        <f>IFERROR(__xludf.DUMMYFUNCTION("""COMPUTED_VALUE"""),"CA-2014-138709")</f>
        <v>CA-2014-138709</v>
      </c>
      <c r="B473" s="9">
        <f>IFERROR(__xludf.DUMMYFUNCTION("""COMPUTED_VALUE"""),41824.0)</f>
        <v>41824</v>
      </c>
      <c r="C473" s="8" t="str">
        <f>IFERROR(__xludf.DUMMYFUNCTION("""COMPUTED_VALUE"""),"Consumer")</f>
        <v>Consumer</v>
      </c>
      <c r="D473" s="8" t="str">
        <f>IFERROR(__xludf.DUMMYFUNCTION("""COMPUTED_VALUE"""),"Virginia")</f>
        <v>Virginia</v>
      </c>
      <c r="E473" s="8" t="str">
        <f>IFERROR(__xludf.DUMMYFUNCTION("""COMPUTED_VALUE"""),"South")</f>
        <v>South</v>
      </c>
      <c r="F473" s="10">
        <f>IFERROR(__xludf.DUMMYFUNCTION("""COMPUTED_VALUE"""),21.84)</f>
        <v>21.84</v>
      </c>
      <c r="G473" s="11">
        <f>IFERROR(__xludf.DUMMYFUNCTION("""COMPUTED_VALUE"""),3.0)</f>
        <v>3</v>
      </c>
      <c r="H473" s="11">
        <f>IFERROR(__xludf.DUMMYFUNCTION("""COMPUTED_VALUE"""),10.92)</f>
        <v>10.92</v>
      </c>
    </row>
    <row r="474">
      <c r="A474" s="8" t="str">
        <f>IFERROR(__xludf.DUMMYFUNCTION("""COMPUTED_VALUE"""),"CA-2014-138737")</f>
        <v>CA-2014-138737</v>
      </c>
      <c r="B474" s="9">
        <f>IFERROR(__xludf.DUMMYFUNCTION("""COMPUTED_VALUE"""),41980.0)</f>
        <v>41980</v>
      </c>
      <c r="C474" s="8" t="str">
        <f>IFERROR(__xludf.DUMMYFUNCTION("""COMPUTED_VALUE"""),"Consumer")</f>
        <v>Consumer</v>
      </c>
      <c r="D474" s="8" t="str">
        <f>IFERROR(__xludf.DUMMYFUNCTION("""COMPUTED_VALUE"""),"California")</f>
        <v>California</v>
      </c>
      <c r="E474" s="8" t="str">
        <f>IFERROR(__xludf.DUMMYFUNCTION("""COMPUTED_VALUE"""),"West")</f>
        <v>West</v>
      </c>
      <c r="F474" s="10">
        <f>IFERROR(__xludf.DUMMYFUNCTION("""COMPUTED_VALUE"""),8.64)</f>
        <v>8.64</v>
      </c>
      <c r="G474" s="11">
        <f>IFERROR(__xludf.DUMMYFUNCTION("""COMPUTED_VALUE"""),3.0)</f>
        <v>3</v>
      </c>
      <c r="H474" s="11">
        <f>IFERROR(__xludf.DUMMYFUNCTION("""COMPUTED_VALUE"""),2.4192)</f>
        <v>2.4192</v>
      </c>
    </row>
    <row r="475">
      <c r="A475" s="8" t="str">
        <f>IFERROR(__xludf.DUMMYFUNCTION("""COMPUTED_VALUE"""),"CA-2014-138940")</f>
        <v>CA-2014-138940</v>
      </c>
      <c r="B475" s="9">
        <f>IFERROR(__xludf.DUMMYFUNCTION("""COMPUTED_VALUE"""),41740.0)</f>
        <v>41740</v>
      </c>
      <c r="C475" s="8" t="str">
        <f>IFERROR(__xludf.DUMMYFUNCTION("""COMPUTED_VALUE"""),"Home Office")</f>
        <v>Home Office</v>
      </c>
      <c r="D475" s="8" t="str">
        <f>IFERROR(__xludf.DUMMYFUNCTION("""COMPUTED_VALUE"""),"Texas")</f>
        <v>Texas</v>
      </c>
      <c r="E475" s="8" t="str">
        <f>IFERROR(__xludf.DUMMYFUNCTION("""COMPUTED_VALUE"""),"Central")</f>
        <v>Central</v>
      </c>
      <c r="F475" s="10">
        <f>IFERROR(__xludf.DUMMYFUNCTION("""COMPUTED_VALUE"""),758.352)</f>
        <v>758.352</v>
      </c>
      <c r="G475" s="11">
        <f>IFERROR(__xludf.DUMMYFUNCTION("""COMPUTED_VALUE"""),6.0)</f>
        <v>6</v>
      </c>
      <c r="H475" s="11">
        <f>IFERROR(__xludf.DUMMYFUNCTION("""COMPUTED_VALUE"""),265.4232)</f>
        <v>265.4232</v>
      </c>
    </row>
    <row r="476">
      <c r="A476" s="8" t="str">
        <f>IFERROR(__xludf.DUMMYFUNCTION("""COMPUTED_VALUE"""),"CA-2014-139017")</f>
        <v>CA-2014-139017</v>
      </c>
      <c r="B476" s="9">
        <f>IFERROR(__xludf.DUMMYFUNCTION("""COMPUTED_VALUE"""),41770.0)</f>
        <v>41770</v>
      </c>
      <c r="C476" s="8" t="str">
        <f>IFERROR(__xludf.DUMMYFUNCTION("""COMPUTED_VALUE"""),"Consumer")</f>
        <v>Consumer</v>
      </c>
      <c r="D476" s="8" t="str">
        <f>IFERROR(__xludf.DUMMYFUNCTION("""COMPUTED_VALUE"""),"Texas")</f>
        <v>Texas</v>
      </c>
      <c r="E476" s="8" t="str">
        <f>IFERROR(__xludf.DUMMYFUNCTION("""COMPUTED_VALUE"""),"Central")</f>
        <v>Central</v>
      </c>
      <c r="F476" s="10">
        <f>IFERROR(__xludf.DUMMYFUNCTION("""COMPUTED_VALUE"""),46.864)</f>
        <v>46.864</v>
      </c>
      <c r="G476" s="11">
        <f>IFERROR(__xludf.DUMMYFUNCTION("""COMPUTED_VALUE"""),2.0)</f>
        <v>2</v>
      </c>
      <c r="H476" s="11">
        <f>IFERROR(__xludf.DUMMYFUNCTION("""COMPUTED_VALUE"""),7.6154)</f>
        <v>7.6154</v>
      </c>
    </row>
    <row r="477">
      <c r="A477" s="8" t="str">
        <f>IFERROR(__xludf.DUMMYFUNCTION("""COMPUTED_VALUE"""),"CA-2014-139192")</f>
        <v>CA-2014-139192</v>
      </c>
      <c r="B477" s="9">
        <f>IFERROR(__xludf.DUMMYFUNCTION("""COMPUTED_VALUE"""),41786.0)</f>
        <v>41786</v>
      </c>
      <c r="C477" s="8" t="str">
        <f>IFERROR(__xludf.DUMMYFUNCTION("""COMPUTED_VALUE"""),"Consumer")</f>
        <v>Consumer</v>
      </c>
      <c r="D477" s="8" t="str">
        <f>IFERROR(__xludf.DUMMYFUNCTION("""COMPUTED_VALUE"""),"California")</f>
        <v>California</v>
      </c>
      <c r="E477" s="8" t="str">
        <f>IFERROR(__xludf.DUMMYFUNCTION("""COMPUTED_VALUE"""),"West")</f>
        <v>West</v>
      </c>
      <c r="F477" s="10">
        <f>IFERROR(__xludf.DUMMYFUNCTION("""COMPUTED_VALUE"""),1113.504)</f>
        <v>1113.504</v>
      </c>
      <c r="G477" s="11">
        <f>IFERROR(__xludf.DUMMYFUNCTION("""COMPUTED_VALUE"""),12.0)</f>
        <v>12</v>
      </c>
      <c r="H477" s="11">
        <f>IFERROR(__xludf.DUMMYFUNCTION("""COMPUTED_VALUE"""),125.2692)</f>
        <v>125.2692</v>
      </c>
    </row>
    <row r="478">
      <c r="A478" s="8" t="str">
        <f>IFERROR(__xludf.DUMMYFUNCTION("""COMPUTED_VALUE"""),"CA-2014-139283")</f>
        <v>CA-2014-139283</v>
      </c>
      <c r="B478" s="9">
        <f>IFERROR(__xludf.DUMMYFUNCTION("""COMPUTED_VALUE"""),41966.0)</f>
        <v>41966</v>
      </c>
      <c r="C478" s="8" t="str">
        <f>IFERROR(__xludf.DUMMYFUNCTION("""COMPUTED_VALUE"""),"Consumer")</f>
        <v>Consumer</v>
      </c>
      <c r="D478" s="8" t="str">
        <f>IFERROR(__xludf.DUMMYFUNCTION("""COMPUTED_VALUE"""),"Michigan")</f>
        <v>Michigan</v>
      </c>
      <c r="E478" s="8" t="str">
        <f>IFERROR(__xludf.DUMMYFUNCTION("""COMPUTED_VALUE"""),"Central")</f>
        <v>Central</v>
      </c>
      <c r="F478" s="10">
        <f>IFERROR(__xludf.DUMMYFUNCTION("""COMPUTED_VALUE"""),14.67)</f>
        <v>14.67</v>
      </c>
      <c r="G478" s="11">
        <f>IFERROR(__xludf.DUMMYFUNCTION("""COMPUTED_VALUE"""),3.0)</f>
        <v>3</v>
      </c>
      <c r="H478" s="11">
        <f>IFERROR(__xludf.DUMMYFUNCTION("""COMPUTED_VALUE"""),6.7482)</f>
        <v>6.7482</v>
      </c>
    </row>
    <row r="479">
      <c r="A479" s="8" t="str">
        <f>IFERROR(__xludf.DUMMYFUNCTION("""COMPUTED_VALUE"""),"CA-2014-139423")</f>
        <v>CA-2014-139423</v>
      </c>
      <c r="B479" s="9">
        <f>IFERROR(__xludf.DUMMYFUNCTION("""COMPUTED_VALUE"""),41944.0)</f>
        <v>41944</v>
      </c>
      <c r="C479" s="8" t="str">
        <f>IFERROR(__xludf.DUMMYFUNCTION("""COMPUTED_VALUE"""),"Corporate")</f>
        <v>Corporate</v>
      </c>
      <c r="D479" s="8" t="str">
        <f>IFERROR(__xludf.DUMMYFUNCTION("""COMPUTED_VALUE"""),"New Jersey")</f>
        <v>New Jersey</v>
      </c>
      <c r="E479" s="8" t="str">
        <f>IFERROR(__xludf.DUMMYFUNCTION("""COMPUTED_VALUE"""),"East")</f>
        <v>East</v>
      </c>
      <c r="F479" s="10">
        <f>IFERROR(__xludf.DUMMYFUNCTION("""COMPUTED_VALUE"""),76.12)</f>
        <v>76.12</v>
      </c>
      <c r="G479" s="11">
        <f>IFERROR(__xludf.DUMMYFUNCTION("""COMPUTED_VALUE"""),2.0)</f>
        <v>2</v>
      </c>
      <c r="H479" s="11">
        <f>IFERROR(__xludf.DUMMYFUNCTION("""COMPUTED_VALUE"""),22.0748)</f>
        <v>22.0748</v>
      </c>
    </row>
    <row r="480">
      <c r="A480" s="8" t="str">
        <f>IFERROR(__xludf.DUMMYFUNCTION("""COMPUTED_VALUE"""),"CA-2014-139451")</f>
        <v>CA-2014-139451</v>
      </c>
      <c r="B480" s="9">
        <f>IFERROR(__xludf.DUMMYFUNCTION("""COMPUTED_VALUE"""),41924.0)</f>
        <v>41924</v>
      </c>
      <c r="C480" s="8" t="str">
        <f>IFERROR(__xludf.DUMMYFUNCTION("""COMPUTED_VALUE"""),"Consumer")</f>
        <v>Consumer</v>
      </c>
      <c r="D480" s="8" t="str">
        <f>IFERROR(__xludf.DUMMYFUNCTION("""COMPUTED_VALUE"""),"California")</f>
        <v>California</v>
      </c>
      <c r="E480" s="8" t="str">
        <f>IFERROR(__xludf.DUMMYFUNCTION("""COMPUTED_VALUE"""),"West")</f>
        <v>West</v>
      </c>
      <c r="F480" s="10">
        <f>IFERROR(__xludf.DUMMYFUNCTION("""COMPUTED_VALUE"""),14.9)</f>
        <v>14.9</v>
      </c>
      <c r="G480" s="11">
        <f>IFERROR(__xludf.DUMMYFUNCTION("""COMPUTED_VALUE"""),5.0)</f>
        <v>5</v>
      </c>
      <c r="H480" s="11">
        <f>IFERROR(__xludf.DUMMYFUNCTION("""COMPUTED_VALUE"""),4.172)</f>
        <v>4.172</v>
      </c>
    </row>
    <row r="481">
      <c r="A481" s="8" t="str">
        <f>IFERROR(__xludf.DUMMYFUNCTION("""COMPUTED_VALUE"""),"CA-2014-139542")</f>
        <v>CA-2014-139542</v>
      </c>
      <c r="B481" s="9">
        <f>IFERROR(__xludf.DUMMYFUNCTION("""COMPUTED_VALUE"""),41937.0)</f>
        <v>41937</v>
      </c>
      <c r="C481" s="8" t="str">
        <f>IFERROR(__xludf.DUMMYFUNCTION("""COMPUTED_VALUE"""),"Consumer")</f>
        <v>Consumer</v>
      </c>
      <c r="D481" s="8" t="str">
        <f>IFERROR(__xludf.DUMMYFUNCTION("""COMPUTED_VALUE"""),"Pennsylvania")</f>
        <v>Pennsylvania</v>
      </c>
      <c r="E481" s="8" t="str">
        <f>IFERROR(__xludf.DUMMYFUNCTION("""COMPUTED_VALUE"""),"East")</f>
        <v>East</v>
      </c>
      <c r="F481" s="10">
        <f>IFERROR(__xludf.DUMMYFUNCTION("""COMPUTED_VALUE"""),40.776)</f>
        <v>40.776</v>
      </c>
      <c r="G481" s="11">
        <f>IFERROR(__xludf.DUMMYFUNCTION("""COMPUTED_VALUE"""),3.0)</f>
        <v>3</v>
      </c>
      <c r="H481" s="11">
        <f>IFERROR(__xludf.DUMMYFUNCTION("""COMPUTED_VALUE"""),0.5097)</f>
        <v>0.5097</v>
      </c>
    </row>
    <row r="482">
      <c r="A482" s="8" t="str">
        <f>IFERROR(__xludf.DUMMYFUNCTION("""COMPUTED_VALUE"""),"CA-2014-139598")</f>
        <v>CA-2014-139598</v>
      </c>
      <c r="B482" s="9">
        <f>IFERROR(__xludf.DUMMYFUNCTION("""COMPUTED_VALUE"""),41999.0)</f>
        <v>41999</v>
      </c>
      <c r="C482" s="8" t="str">
        <f>IFERROR(__xludf.DUMMYFUNCTION("""COMPUTED_VALUE"""),"Consumer")</f>
        <v>Consumer</v>
      </c>
      <c r="D482" s="8" t="str">
        <f>IFERROR(__xludf.DUMMYFUNCTION("""COMPUTED_VALUE"""),"Pennsylvania")</f>
        <v>Pennsylvania</v>
      </c>
      <c r="E482" s="8" t="str">
        <f>IFERROR(__xludf.DUMMYFUNCTION("""COMPUTED_VALUE"""),"East")</f>
        <v>East</v>
      </c>
      <c r="F482" s="10">
        <f>IFERROR(__xludf.DUMMYFUNCTION("""COMPUTED_VALUE"""),18.264)</f>
        <v>18.264</v>
      </c>
      <c r="G482" s="11">
        <f>IFERROR(__xludf.DUMMYFUNCTION("""COMPUTED_VALUE"""),3.0)</f>
        <v>3</v>
      </c>
      <c r="H482" s="11">
        <f>IFERROR(__xludf.DUMMYFUNCTION("""COMPUTED_VALUE"""),6.1641)</f>
        <v>6.1641</v>
      </c>
    </row>
    <row r="483">
      <c r="A483" s="8" t="str">
        <f>IFERROR(__xludf.DUMMYFUNCTION("""COMPUTED_VALUE"""),"CA-2014-139633")</f>
        <v>CA-2014-139633</v>
      </c>
      <c r="B483" s="9">
        <f>IFERROR(__xludf.DUMMYFUNCTION("""COMPUTED_VALUE"""),41990.0)</f>
        <v>41990</v>
      </c>
      <c r="C483" s="8" t="str">
        <f>IFERROR(__xludf.DUMMYFUNCTION("""COMPUTED_VALUE"""),"Consumer")</f>
        <v>Consumer</v>
      </c>
      <c r="D483" s="8" t="str">
        <f>IFERROR(__xludf.DUMMYFUNCTION("""COMPUTED_VALUE"""),"Ohio")</f>
        <v>Ohio</v>
      </c>
      <c r="E483" s="8" t="str">
        <f>IFERROR(__xludf.DUMMYFUNCTION("""COMPUTED_VALUE"""),"East")</f>
        <v>East</v>
      </c>
      <c r="F483" s="10">
        <f>IFERROR(__xludf.DUMMYFUNCTION("""COMPUTED_VALUE"""),5.484)</f>
        <v>5.484</v>
      </c>
      <c r="G483" s="11">
        <f>IFERROR(__xludf.DUMMYFUNCTION("""COMPUTED_VALUE"""),4.0)</f>
        <v>4</v>
      </c>
      <c r="H483" s="11">
        <f>IFERROR(__xludf.DUMMYFUNCTION("""COMPUTED_VALUE"""),-4.0216)</f>
        <v>-4.0216</v>
      </c>
    </row>
    <row r="484">
      <c r="A484" s="8" t="str">
        <f>IFERROR(__xludf.DUMMYFUNCTION("""COMPUTED_VALUE"""),"CA-2014-139857")</f>
        <v>CA-2014-139857</v>
      </c>
      <c r="B484" s="9">
        <f>IFERROR(__xludf.DUMMYFUNCTION("""COMPUTED_VALUE"""),41672.0)</f>
        <v>41672</v>
      </c>
      <c r="C484" s="8" t="str">
        <f>IFERROR(__xludf.DUMMYFUNCTION("""COMPUTED_VALUE"""),"Home Office")</f>
        <v>Home Office</v>
      </c>
      <c r="D484" s="8" t="str">
        <f>IFERROR(__xludf.DUMMYFUNCTION("""COMPUTED_VALUE"""),"California")</f>
        <v>California</v>
      </c>
      <c r="E484" s="8" t="str">
        <f>IFERROR(__xludf.DUMMYFUNCTION("""COMPUTED_VALUE"""),"West")</f>
        <v>West</v>
      </c>
      <c r="F484" s="10">
        <f>IFERROR(__xludf.DUMMYFUNCTION("""COMPUTED_VALUE"""),12.35)</f>
        <v>12.35</v>
      </c>
      <c r="G484" s="11">
        <f>IFERROR(__xludf.DUMMYFUNCTION("""COMPUTED_VALUE"""),5.0)</f>
        <v>5</v>
      </c>
      <c r="H484" s="11">
        <f>IFERROR(__xludf.DUMMYFUNCTION("""COMPUTED_VALUE"""),5.8045)</f>
        <v>5.8045</v>
      </c>
    </row>
    <row r="485">
      <c r="A485" s="8" t="str">
        <f>IFERROR(__xludf.DUMMYFUNCTION("""COMPUTED_VALUE"""),"CA-2014-139892")</f>
        <v>CA-2014-139892</v>
      </c>
      <c r="B485" s="9">
        <f>IFERROR(__xludf.DUMMYFUNCTION("""COMPUTED_VALUE"""),41890.0)</f>
        <v>41890</v>
      </c>
      <c r="C485" s="8" t="str">
        <f>IFERROR(__xludf.DUMMYFUNCTION("""COMPUTED_VALUE"""),"Consumer")</f>
        <v>Consumer</v>
      </c>
      <c r="D485" s="8" t="str">
        <f>IFERROR(__xludf.DUMMYFUNCTION("""COMPUTED_VALUE"""),"Texas")</f>
        <v>Texas</v>
      </c>
      <c r="E485" s="8" t="str">
        <f>IFERROR(__xludf.DUMMYFUNCTION("""COMPUTED_VALUE"""),"Central")</f>
        <v>Central</v>
      </c>
      <c r="F485" s="10">
        <f>IFERROR(__xludf.DUMMYFUNCTION("""COMPUTED_VALUE"""),9.936)</f>
        <v>9.936</v>
      </c>
      <c r="G485" s="11">
        <f>IFERROR(__xludf.DUMMYFUNCTION("""COMPUTED_VALUE"""),3.0)</f>
        <v>3</v>
      </c>
      <c r="H485" s="11">
        <f>IFERROR(__xludf.DUMMYFUNCTION("""COMPUTED_VALUE"""),2.7324)</f>
        <v>2.7324</v>
      </c>
    </row>
    <row r="486">
      <c r="A486" s="8" t="str">
        <f>IFERROR(__xludf.DUMMYFUNCTION("""COMPUTED_VALUE"""),"CA-2014-140004")</f>
        <v>CA-2014-140004</v>
      </c>
      <c r="B486" s="9">
        <f>IFERROR(__xludf.DUMMYFUNCTION("""COMPUTED_VALUE"""),41719.0)</f>
        <v>41719</v>
      </c>
      <c r="C486" s="8" t="str">
        <f>IFERROR(__xludf.DUMMYFUNCTION("""COMPUTED_VALUE"""),"Consumer")</f>
        <v>Consumer</v>
      </c>
      <c r="D486" s="8" t="str">
        <f>IFERROR(__xludf.DUMMYFUNCTION("""COMPUTED_VALUE"""),"Ohio")</f>
        <v>Ohio</v>
      </c>
      <c r="E486" s="8" t="str">
        <f>IFERROR(__xludf.DUMMYFUNCTION("""COMPUTED_VALUE"""),"East")</f>
        <v>East</v>
      </c>
      <c r="F486" s="10">
        <f>IFERROR(__xludf.DUMMYFUNCTION("""COMPUTED_VALUE"""),7.408)</f>
        <v>7.408</v>
      </c>
      <c r="G486" s="11">
        <f>IFERROR(__xludf.DUMMYFUNCTION("""COMPUTED_VALUE"""),2.0)</f>
        <v>2</v>
      </c>
      <c r="H486" s="11">
        <f>IFERROR(__xludf.DUMMYFUNCTION("""COMPUTED_VALUE"""),1.2038)</f>
        <v>1.2038</v>
      </c>
    </row>
    <row r="487">
      <c r="A487" s="8" t="str">
        <f>IFERROR(__xludf.DUMMYFUNCTION("""COMPUTED_VALUE"""),"CA-2014-140032")</f>
        <v>CA-2014-140032</v>
      </c>
      <c r="B487" s="9">
        <f>IFERROR(__xludf.DUMMYFUNCTION("""COMPUTED_VALUE"""),41890.0)</f>
        <v>41890</v>
      </c>
      <c r="C487" s="8" t="str">
        <f>IFERROR(__xludf.DUMMYFUNCTION("""COMPUTED_VALUE"""),"Consumer")</f>
        <v>Consumer</v>
      </c>
      <c r="D487" s="8" t="str">
        <f>IFERROR(__xludf.DUMMYFUNCTION("""COMPUTED_VALUE"""),"California")</f>
        <v>California</v>
      </c>
      <c r="E487" s="8" t="str">
        <f>IFERROR(__xludf.DUMMYFUNCTION("""COMPUTED_VALUE"""),"West")</f>
        <v>West</v>
      </c>
      <c r="F487" s="10">
        <f>IFERROR(__xludf.DUMMYFUNCTION("""COMPUTED_VALUE"""),8.608)</f>
        <v>8.608</v>
      </c>
      <c r="G487" s="11">
        <f>IFERROR(__xludf.DUMMYFUNCTION("""COMPUTED_VALUE"""),2.0)</f>
        <v>2</v>
      </c>
      <c r="H487" s="11">
        <f>IFERROR(__xludf.DUMMYFUNCTION("""COMPUTED_VALUE"""),3.0128)</f>
        <v>3.0128</v>
      </c>
    </row>
    <row r="488">
      <c r="A488" s="8" t="str">
        <f>IFERROR(__xludf.DUMMYFUNCTION("""COMPUTED_VALUE"""),"CA-2014-140039")</f>
        <v>CA-2014-140039</v>
      </c>
      <c r="B488" s="9">
        <f>IFERROR(__xludf.DUMMYFUNCTION("""COMPUTED_VALUE"""),41895.0)</f>
        <v>41895</v>
      </c>
      <c r="C488" s="8" t="str">
        <f>IFERROR(__xludf.DUMMYFUNCTION("""COMPUTED_VALUE"""),"Corporate")</f>
        <v>Corporate</v>
      </c>
      <c r="D488" s="8" t="str">
        <f>IFERROR(__xludf.DUMMYFUNCTION("""COMPUTED_VALUE"""),"Arizona")</f>
        <v>Arizona</v>
      </c>
      <c r="E488" s="8" t="str">
        <f>IFERROR(__xludf.DUMMYFUNCTION("""COMPUTED_VALUE"""),"West")</f>
        <v>West</v>
      </c>
      <c r="F488" s="10">
        <f>IFERROR(__xludf.DUMMYFUNCTION("""COMPUTED_VALUE"""),79.4)</f>
        <v>79.4</v>
      </c>
      <c r="G488" s="11">
        <f>IFERROR(__xludf.DUMMYFUNCTION("""COMPUTED_VALUE"""),5.0)</f>
        <v>5</v>
      </c>
      <c r="H488" s="11">
        <f>IFERROR(__xludf.DUMMYFUNCTION("""COMPUTED_VALUE"""),5.955)</f>
        <v>5.955</v>
      </c>
    </row>
    <row r="489">
      <c r="A489" s="8" t="str">
        <f>IFERROR(__xludf.DUMMYFUNCTION("""COMPUTED_VALUE"""),"CA-2014-140165")</f>
        <v>CA-2014-140165</v>
      </c>
      <c r="B489" s="9">
        <f>IFERROR(__xludf.DUMMYFUNCTION("""COMPUTED_VALUE"""),41772.0)</f>
        <v>41772</v>
      </c>
      <c r="C489" s="8" t="str">
        <f>IFERROR(__xludf.DUMMYFUNCTION("""COMPUTED_VALUE"""),"Home Office")</f>
        <v>Home Office</v>
      </c>
      <c r="D489" s="8" t="str">
        <f>IFERROR(__xludf.DUMMYFUNCTION("""COMPUTED_VALUE"""),"Florida")</f>
        <v>Florida</v>
      </c>
      <c r="E489" s="8" t="str">
        <f>IFERROR(__xludf.DUMMYFUNCTION("""COMPUTED_VALUE"""),"South")</f>
        <v>South</v>
      </c>
      <c r="F489" s="10">
        <f>IFERROR(__xludf.DUMMYFUNCTION("""COMPUTED_VALUE"""),7.104)</f>
        <v>7.104</v>
      </c>
      <c r="G489" s="11">
        <f>IFERROR(__xludf.DUMMYFUNCTION("""COMPUTED_VALUE"""),2.0)</f>
        <v>2</v>
      </c>
      <c r="H489" s="11">
        <f>IFERROR(__xludf.DUMMYFUNCTION("""COMPUTED_VALUE"""),2.3976)</f>
        <v>2.3976</v>
      </c>
    </row>
    <row r="490">
      <c r="A490" s="8" t="str">
        <f>IFERROR(__xludf.DUMMYFUNCTION("""COMPUTED_VALUE"""),"CA-2014-140228")</f>
        <v>CA-2014-140228</v>
      </c>
      <c r="B490" s="9">
        <f>IFERROR(__xludf.DUMMYFUNCTION("""COMPUTED_VALUE"""),41757.0)</f>
        <v>41757</v>
      </c>
      <c r="C490" s="8" t="str">
        <f>IFERROR(__xludf.DUMMYFUNCTION("""COMPUTED_VALUE"""),"Corporate")</f>
        <v>Corporate</v>
      </c>
      <c r="D490" s="8" t="str">
        <f>IFERROR(__xludf.DUMMYFUNCTION("""COMPUTED_VALUE"""),"Ohio")</f>
        <v>Ohio</v>
      </c>
      <c r="E490" s="8" t="str">
        <f>IFERROR(__xludf.DUMMYFUNCTION("""COMPUTED_VALUE"""),"East")</f>
        <v>East</v>
      </c>
      <c r="F490" s="10">
        <f>IFERROR(__xludf.DUMMYFUNCTION("""COMPUTED_VALUE"""),6.912)</f>
        <v>6.912</v>
      </c>
      <c r="G490" s="11">
        <f>IFERROR(__xludf.DUMMYFUNCTION("""COMPUTED_VALUE"""),3.0)</f>
        <v>3</v>
      </c>
      <c r="H490" s="11">
        <f>IFERROR(__xludf.DUMMYFUNCTION("""COMPUTED_VALUE"""),2.5056)</f>
        <v>2.5056</v>
      </c>
    </row>
    <row r="491">
      <c r="A491" s="8" t="str">
        <f>IFERROR(__xludf.DUMMYFUNCTION("""COMPUTED_VALUE"""),"CA-2014-140396")</f>
        <v>CA-2014-140396</v>
      </c>
      <c r="B491" s="9">
        <f>IFERROR(__xludf.DUMMYFUNCTION("""COMPUTED_VALUE"""),41963.0)</f>
        <v>41963</v>
      </c>
      <c r="C491" s="8" t="str">
        <f>IFERROR(__xludf.DUMMYFUNCTION("""COMPUTED_VALUE"""),"Corporate")</f>
        <v>Corporate</v>
      </c>
      <c r="D491" s="8" t="str">
        <f>IFERROR(__xludf.DUMMYFUNCTION("""COMPUTED_VALUE"""),"New York")</f>
        <v>New York</v>
      </c>
      <c r="E491" s="8" t="str">
        <f>IFERROR(__xludf.DUMMYFUNCTION("""COMPUTED_VALUE"""),"East")</f>
        <v>East</v>
      </c>
      <c r="F491" s="10">
        <f>IFERROR(__xludf.DUMMYFUNCTION("""COMPUTED_VALUE"""),34.74)</f>
        <v>34.74</v>
      </c>
      <c r="G491" s="11">
        <f>IFERROR(__xludf.DUMMYFUNCTION("""COMPUTED_VALUE"""),3.0)</f>
        <v>3</v>
      </c>
      <c r="H491" s="11">
        <f>IFERROR(__xludf.DUMMYFUNCTION("""COMPUTED_VALUE"""),17.37)</f>
        <v>17.37</v>
      </c>
    </row>
    <row r="492">
      <c r="A492" s="8" t="str">
        <f>IFERROR(__xludf.DUMMYFUNCTION("""COMPUTED_VALUE"""),"CA-2014-140403")</f>
        <v>CA-2014-140403</v>
      </c>
      <c r="B492" s="9">
        <f>IFERROR(__xludf.DUMMYFUNCTION("""COMPUTED_VALUE"""),41922.0)</f>
        <v>41922</v>
      </c>
      <c r="C492" s="8" t="str">
        <f>IFERROR(__xludf.DUMMYFUNCTION("""COMPUTED_VALUE"""),"Home Office")</f>
        <v>Home Office</v>
      </c>
      <c r="D492" s="8" t="str">
        <f>IFERROR(__xludf.DUMMYFUNCTION("""COMPUTED_VALUE"""),"California")</f>
        <v>California</v>
      </c>
      <c r="E492" s="8" t="str">
        <f>IFERROR(__xludf.DUMMYFUNCTION("""COMPUTED_VALUE"""),"West")</f>
        <v>West</v>
      </c>
      <c r="F492" s="10">
        <f>IFERROR(__xludf.DUMMYFUNCTION("""COMPUTED_VALUE"""),122.352)</f>
        <v>122.352</v>
      </c>
      <c r="G492" s="11">
        <f>IFERROR(__xludf.DUMMYFUNCTION("""COMPUTED_VALUE"""),3.0)</f>
        <v>3</v>
      </c>
      <c r="H492" s="11">
        <f>IFERROR(__xludf.DUMMYFUNCTION("""COMPUTED_VALUE"""),13.7646)</f>
        <v>13.7646</v>
      </c>
    </row>
    <row r="493">
      <c r="A493" s="8" t="str">
        <f>IFERROR(__xludf.DUMMYFUNCTION("""COMPUTED_VALUE"""),"CA-2014-140473")</f>
        <v>CA-2014-140473</v>
      </c>
      <c r="B493" s="9">
        <f>IFERROR(__xludf.DUMMYFUNCTION("""COMPUTED_VALUE"""),41789.0)</f>
        <v>41789</v>
      </c>
      <c r="C493" s="8" t="str">
        <f>IFERROR(__xludf.DUMMYFUNCTION("""COMPUTED_VALUE"""),"Corporate")</f>
        <v>Corporate</v>
      </c>
      <c r="D493" s="8" t="str">
        <f>IFERROR(__xludf.DUMMYFUNCTION("""COMPUTED_VALUE"""),"Illinois")</f>
        <v>Illinois</v>
      </c>
      <c r="E493" s="8" t="str">
        <f>IFERROR(__xludf.DUMMYFUNCTION("""COMPUTED_VALUE"""),"Central")</f>
        <v>Central</v>
      </c>
      <c r="F493" s="10">
        <f>IFERROR(__xludf.DUMMYFUNCTION("""COMPUTED_VALUE"""),719.976)</f>
        <v>719.976</v>
      </c>
      <c r="G493" s="11">
        <f>IFERROR(__xludf.DUMMYFUNCTION("""COMPUTED_VALUE"""),3.0)</f>
        <v>3</v>
      </c>
      <c r="H493" s="11">
        <f>IFERROR(__xludf.DUMMYFUNCTION("""COMPUTED_VALUE"""),134.9955)</f>
        <v>134.9955</v>
      </c>
    </row>
    <row r="494">
      <c r="A494" s="8" t="str">
        <f>IFERROR(__xludf.DUMMYFUNCTION("""COMPUTED_VALUE"""),"CA-2014-140487")</f>
        <v>CA-2014-140487</v>
      </c>
      <c r="B494" s="9">
        <f>IFERROR(__xludf.DUMMYFUNCTION("""COMPUTED_VALUE"""),41804.0)</f>
        <v>41804</v>
      </c>
      <c r="C494" s="8" t="str">
        <f>IFERROR(__xludf.DUMMYFUNCTION("""COMPUTED_VALUE"""),"Home Office")</f>
        <v>Home Office</v>
      </c>
      <c r="D494" s="8" t="str">
        <f>IFERROR(__xludf.DUMMYFUNCTION("""COMPUTED_VALUE"""),"Michigan")</f>
        <v>Michigan</v>
      </c>
      <c r="E494" s="8" t="str">
        <f>IFERROR(__xludf.DUMMYFUNCTION("""COMPUTED_VALUE"""),"Central")</f>
        <v>Central</v>
      </c>
      <c r="F494" s="10">
        <f>IFERROR(__xludf.DUMMYFUNCTION("""COMPUTED_VALUE"""),212.94)</f>
        <v>212.94</v>
      </c>
      <c r="G494" s="11">
        <f>IFERROR(__xludf.DUMMYFUNCTION("""COMPUTED_VALUE"""),3.0)</f>
        <v>3</v>
      </c>
      <c r="H494" s="11">
        <f>IFERROR(__xludf.DUMMYFUNCTION("""COMPUTED_VALUE"""),57.4938)</f>
        <v>57.4938</v>
      </c>
    </row>
    <row r="495">
      <c r="A495" s="8" t="str">
        <f>IFERROR(__xludf.DUMMYFUNCTION("""COMPUTED_VALUE"""),"CA-2014-140662")</f>
        <v>CA-2014-140662</v>
      </c>
      <c r="B495" s="9">
        <f>IFERROR(__xludf.DUMMYFUNCTION("""COMPUTED_VALUE"""),41960.0)</f>
        <v>41960</v>
      </c>
      <c r="C495" s="8" t="str">
        <f>IFERROR(__xludf.DUMMYFUNCTION("""COMPUTED_VALUE"""),"Corporate")</f>
        <v>Corporate</v>
      </c>
      <c r="D495" s="8" t="str">
        <f>IFERROR(__xludf.DUMMYFUNCTION("""COMPUTED_VALUE"""),"California")</f>
        <v>California</v>
      </c>
      <c r="E495" s="8" t="str">
        <f>IFERROR(__xludf.DUMMYFUNCTION("""COMPUTED_VALUE"""),"West")</f>
        <v>West</v>
      </c>
      <c r="F495" s="10">
        <f>IFERROR(__xludf.DUMMYFUNCTION("""COMPUTED_VALUE"""),99.98)</f>
        <v>99.98</v>
      </c>
      <c r="G495" s="11">
        <f>IFERROR(__xludf.DUMMYFUNCTION("""COMPUTED_VALUE"""),2.0)</f>
        <v>2</v>
      </c>
      <c r="H495" s="11">
        <f>IFERROR(__xludf.DUMMYFUNCTION("""COMPUTED_VALUE"""),7.9984)</f>
        <v>7.9984</v>
      </c>
    </row>
    <row r="496">
      <c r="A496" s="8" t="str">
        <f>IFERROR(__xludf.DUMMYFUNCTION("""COMPUTED_VALUE"""),"CA-2014-140732")</f>
        <v>CA-2014-140732</v>
      </c>
      <c r="B496" s="9">
        <f>IFERROR(__xludf.DUMMYFUNCTION("""COMPUTED_VALUE"""),41954.0)</f>
        <v>41954</v>
      </c>
      <c r="C496" s="8" t="str">
        <f>IFERROR(__xludf.DUMMYFUNCTION("""COMPUTED_VALUE"""),"Home Office")</f>
        <v>Home Office</v>
      </c>
      <c r="D496" s="8" t="str">
        <f>IFERROR(__xludf.DUMMYFUNCTION("""COMPUTED_VALUE"""),"California")</f>
        <v>California</v>
      </c>
      <c r="E496" s="8" t="str">
        <f>IFERROR(__xludf.DUMMYFUNCTION("""COMPUTED_VALUE"""),"West")</f>
        <v>West</v>
      </c>
      <c r="F496" s="10">
        <f>IFERROR(__xludf.DUMMYFUNCTION("""COMPUTED_VALUE"""),575.928)</f>
        <v>575.928</v>
      </c>
      <c r="G496" s="11">
        <f>IFERROR(__xludf.DUMMYFUNCTION("""COMPUTED_VALUE"""),9.0)</f>
        <v>9</v>
      </c>
      <c r="H496" s="11">
        <f>IFERROR(__xludf.DUMMYFUNCTION("""COMPUTED_VALUE"""),57.5928)</f>
        <v>57.5928</v>
      </c>
    </row>
    <row r="497">
      <c r="A497" s="8" t="str">
        <f>IFERROR(__xludf.DUMMYFUNCTION("""COMPUTED_VALUE"""),"CA-2014-140795")</f>
        <v>CA-2014-140795</v>
      </c>
      <c r="B497" s="9">
        <f>IFERROR(__xludf.DUMMYFUNCTION("""COMPUTED_VALUE"""),41671.0)</f>
        <v>41671</v>
      </c>
      <c r="C497" s="8" t="str">
        <f>IFERROR(__xludf.DUMMYFUNCTION("""COMPUTED_VALUE"""),"Consumer")</f>
        <v>Consumer</v>
      </c>
      <c r="D497" s="8" t="str">
        <f>IFERROR(__xludf.DUMMYFUNCTION("""COMPUTED_VALUE"""),"Wisconsin")</f>
        <v>Wisconsin</v>
      </c>
      <c r="E497" s="8" t="str">
        <f>IFERROR(__xludf.DUMMYFUNCTION("""COMPUTED_VALUE"""),"Central")</f>
        <v>Central</v>
      </c>
      <c r="F497" s="10">
        <f>IFERROR(__xludf.DUMMYFUNCTION("""COMPUTED_VALUE"""),468.9)</f>
        <v>468.9</v>
      </c>
      <c r="G497" s="11">
        <f>IFERROR(__xludf.DUMMYFUNCTION("""COMPUTED_VALUE"""),6.0)</f>
        <v>6</v>
      </c>
      <c r="H497" s="11">
        <f>IFERROR(__xludf.DUMMYFUNCTION("""COMPUTED_VALUE"""),206.316)</f>
        <v>206.316</v>
      </c>
    </row>
    <row r="498">
      <c r="A498" s="8" t="str">
        <f>IFERROR(__xludf.DUMMYFUNCTION("""COMPUTED_VALUE"""),"CA-2014-140816")</f>
        <v>CA-2014-140816</v>
      </c>
      <c r="B498" s="9">
        <f>IFERROR(__xludf.DUMMYFUNCTION("""COMPUTED_VALUE"""),41993.0)</f>
        <v>41993</v>
      </c>
      <c r="C498" s="8" t="str">
        <f>IFERROR(__xludf.DUMMYFUNCTION("""COMPUTED_VALUE"""),"Consumer")</f>
        <v>Consumer</v>
      </c>
      <c r="D498" s="8" t="str">
        <f>IFERROR(__xludf.DUMMYFUNCTION("""COMPUTED_VALUE"""),"Colorado")</f>
        <v>Colorado</v>
      </c>
      <c r="E498" s="8" t="str">
        <f>IFERROR(__xludf.DUMMYFUNCTION("""COMPUTED_VALUE"""),"West")</f>
        <v>West</v>
      </c>
      <c r="F498" s="10">
        <f>IFERROR(__xludf.DUMMYFUNCTION("""COMPUTED_VALUE"""),447.944)</f>
        <v>447.944</v>
      </c>
      <c r="G498" s="11">
        <f>IFERROR(__xludf.DUMMYFUNCTION("""COMPUTED_VALUE"""),7.0)</f>
        <v>7</v>
      </c>
      <c r="H498" s="11">
        <f>IFERROR(__xludf.DUMMYFUNCTION("""COMPUTED_VALUE"""),89.5888)</f>
        <v>89.5888</v>
      </c>
    </row>
    <row r="499">
      <c r="A499" s="8" t="str">
        <f>IFERROR(__xludf.DUMMYFUNCTION("""COMPUTED_VALUE"""),"CA-2014-140858")</f>
        <v>CA-2014-140858</v>
      </c>
      <c r="B499" s="9">
        <f>IFERROR(__xludf.DUMMYFUNCTION("""COMPUTED_VALUE"""),41818.0)</f>
        <v>41818</v>
      </c>
      <c r="C499" s="8" t="str">
        <f>IFERROR(__xludf.DUMMYFUNCTION("""COMPUTED_VALUE"""),"Consumer")</f>
        <v>Consumer</v>
      </c>
      <c r="D499" s="8" t="str">
        <f>IFERROR(__xludf.DUMMYFUNCTION("""COMPUTED_VALUE"""),"Pennsylvania")</f>
        <v>Pennsylvania</v>
      </c>
      <c r="E499" s="8" t="str">
        <f>IFERROR(__xludf.DUMMYFUNCTION("""COMPUTED_VALUE"""),"East")</f>
        <v>East</v>
      </c>
      <c r="F499" s="10">
        <f>IFERROR(__xludf.DUMMYFUNCTION("""COMPUTED_VALUE"""),41.472)</f>
        <v>41.472</v>
      </c>
      <c r="G499" s="11">
        <f>IFERROR(__xludf.DUMMYFUNCTION("""COMPUTED_VALUE"""),8.0)</f>
        <v>8</v>
      </c>
      <c r="H499" s="11">
        <f>IFERROR(__xludf.DUMMYFUNCTION("""COMPUTED_VALUE"""),14.5152)</f>
        <v>14.5152</v>
      </c>
    </row>
    <row r="500">
      <c r="A500" s="8" t="str">
        <f>IFERROR(__xludf.DUMMYFUNCTION("""COMPUTED_VALUE"""),"CA-2014-140886")</f>
        <v>CA-2014-140886</v>
      </c>
      <c r="B500" s="9">
        <f>IFERROR(__xludf.DUMMYFUNCTION("""COMPUTED_VALUE"""),41912.0)</f>
        <v>41912</v>
      </c>
      <c r="C500" s="8" t="str">
        <f>IFERROR(__xludf.DUMMYFUNCTION("""COMPUTED_VALUE"""),"Consumer")</f>
        <v>Consumer</v>
      </c>
      <c r="D500" s="8" t="str">
        <f>IFERROR(__xludf.DUMMYFUNCTION("""COMPUTED_VALUE"""),"Tennessee")</f>
        <v>Tennessee</v>
      </c>
      <c r="E500" s="8" t="str">
        <f>IFERROR(__xludf.DUMMYFUNCTION("""COMPUTED_VALUE"""),"South")</f>
        <v>South</v>
      </c>
      <c r="F500" s="10">
        <f>IFERROR(__xludf.DUMMYFUNCTION("""COMPUTED_VALUE"""),69.216)</f>
        <v>69.216</v>
      </c>
      <c r="G500" s="11">
        <f>IFERROR(__xludf.DUMMYFUNCTION("""COMPUTED_VALUE"""),6.0)</f>
        <v>6</v>
      </c>
      <c r="H500" s="11">
        <f>IFERROR(__xludf.DUMMYFUNCTION("""COMPUTED_VALUE"""),11.2476)</f>
        <v>11.2476</v>
      </c>
    </row>
    <row r="501">
      <c r="A501" s="8" t="str">
        <f>IFERROR(__xludf.DUMMYFUNCTION("""COMPUTED_VALUE"""),"CA-2014-141005")</f>
        <v>CA-2014-141005</v>
      </c>
      <c r="B501" s="9">
        <f>IFERROR(__xludf.DUMMYFUNCTION("""COMPUTED_VALUE"""),41866.0)</f>
        <v>41866</v>
      </c>
      <c r="C501" s="8" t="str">
        <f>IFERROR(__xludf.DUMMYFUNCTION("""COMPUTED_VALUE"""),"Consumer")</f>
        <v>Consumer</v>
      </c>
      <c r="D501" s="8" t="str">
        <f>IFERROR(__xludf.DUMMYFUNCTION("""COMPUTED_VALUE"""),"Connecticut")</f>
        <v>Connecticut</v>
      </c>
      <c r="E501" s="8" t="str">
        <f>IFERROR(__xludf.DUMMYFUNCTION("""COMPUTED_VALUE"""),"East")</f>
        <v>East</v>
      </c>
      <c r="F501" s="10">
        <f>IFERROR(__xludf.DUMMYFUNCTION("""COMPUTED_VALUE"""),62.94)</f>
        <v>62.94</v>
      </c>
      <c r="G501" s="11">
        <f>IFERROR(__xludf.DUMMYFUNCTION("""COMPUTED_VALUE"""),3.0)</f>
        <v>3</v>
      </c>
      <c r="H501" s="11">
        <f>IFERROR(__xludf.DUMMYFUNCTION("""COMPUTED_VALUE"""),30.2112)</f>
        <v>30.2112</v>
      </c>
    </row>
    <row r="502">
      <c r="A502" s="8" t="str">
        <f>IFERROR(__xludf.DUMMYFUNCTION("""COMPUTED_VALUE"""),"CA-2014-141110")</f>
        <v>CA-2014-141110</v>
      </c>
      <c r="B502" s="9">
        <f>IFERROR(__xludf.DUMMYFUNCTION("""COMPUTED_VALUE"""),41969.0)</f>
        <v>41969</v>
      </c>
      <c r="C502" s="8" t="str">
        <f>IFERROR(__xludf.DUMMYFUNCTION("""COMPUTED_VALUE"""),"Corporate")</f>
        <v>Corporate</v>
      </c>
      <c r="D502" s="8" t="str">
        <f>IFERROR(__xludf.DUMMYFUNCTION("""COMPUTED_VALUE"""),"California")</f>
        <v>California</v>
      </c>
      <c r="E502" s="8" t="str">
        <f>IFERROR(__xludf.DUMMYFUNCTION("""COMPUTED_VALUE"""),"West")</f>
        <v>West</v>
      </c>
      <c r="F502" s="10">
        <f>IFERROR(__xludf.DUMMYFUNCTION("""COMPUTED_VALUE"""),4.32)</f>
        <v>4.32</v>
      </c>
      <c r="G502" s="11">
        <f>IFERROR(__xludf.DUMMYFUNCTION("""COMPUTED_VALUE"""),3.0)</f>
        <v>3</v>
      </c>
      <c r="H502" s="11">
        <f>IFERROR(__xludf.DUMMYFUNCTION("""COMPUTED_VALUE"""),1.512)</f>
        <v>1.512</v>
      </c>
    </row>
    <row r="503">
      <c r="A503" s="8" t="str">
        <f>IFERROR(__xludf.DUMMYFUNCTION("""COMPUTED_VALUE"""),"CA-2014-141152")</f>
        <v>CA-2014-141152</v>
      </c>
      <c r="B503" s="9">
        <f>IFERROR(__xludf.DUMMYFUNCTION("""COMPUTED_VALUE"""),41898.0)</f>
        <v>41898</v>
      </c>
      <c r="C503" s="8" t="str">
        <f>IFERROR(__xludf.DUMMYFUNCTION("""COMPUTED_VALUE"""),"Corporate")</f>
        <v>Corporate</v>
      </c>
      <c r="D503" s="8" t="str">
        <f>IFERROR(__xludf.DUMMYFUNCTION("""COMPUTED_VALUE"""),"New York")</f>
        <v>New York</v>
      </c>
      <c r="E503" s="8" t="str">
        <f>IFERROR(__xludf.DUMMYFUNCTION("""COMPUTED_VALUE"""),"East")</f>
        <v>East</v>
      </c>
      <c r="F503" s="10">
        <f>IFERROR(__xludf.DUMMYFUNCTION("""COMPUTED_VALUE"""),33.552)</f>
        <v>33.552</v>
      </c>
      <c r="G503" s="11">
        <f>IFERROR(__xludf.DUMMYFUNCTION("""COMPUTED_VALUE"""),1.0)</f>
        <v>1</v>
      </c>
      <c r="H503" s="11">
        <f>IFERROR(__xludf.DUMMYFUNCTION("""COMPUTED_VALUE"""),12.582)</f>
        <v>12.582</v>
      </c>
    </row>
    <row r="504">
      <c r="A504" s="8" t="str">
        <f>IFERROR(__xludf.DUMMYFUNCTION("""COMPUTED_VALUE"""),"CA-2014-141173")</f>
        <v>CA-2014-141173</v>
      </c>
      <c r="B504" s="9">
        <f>IFERROR(__xludf.DUMMYFUNCTION("""COMPUTED_VALUE"""),41961.0)</f>
        <v>41961</v>
      </c>
      <c r="C504" s="8" t="str">
        <f>IFERROR(__xludf.DUMMYFUNCTION("""COMPUTED_VALUE"""),"Corporate")</f>
        <v>Corporate</v>
      </c>
      <c r="D504" s="8" t="str">
        <f>IFERROR(__xludf.DUMMYFUNCTION("""COMPUTED_VALUE"""),"Minnesota")</f>
        <v>Minnesota</v>
      </c>
      <c r="E504" s="8" t="str">
        <f>IFERROR(__xludf.DUMMYFUNCTION("""COMPUTED_VALUE"""),"Central")</f>
        <v>Central</v>
      </c>
      <c r="F504" s="10">
        <f>IFERROR(__xludf.DUMMYFUNCTION("""COMPUTED_VALUE"""),67.15)</f>
        <v>67.15</v>
      </c>
      <c r="G504" s="11">
        <f>IFERROR(__xludf.DUMMYFUNCTION("""COMPUTED_VALUE"""),5.0)</f>
        <v>5</v>
      </c>
      <c r="H504" s="11">
        <f>IFERROR(__xludf.DUMMYFUNCTION("""COMPUTED_VALUE"""),16.7875)</f>
        <v>16.7875</v>
      </c>
    </row>
    <row r="505">
      <c r="A505" s="8" t="str">
        <f>IFERROR(__xludf.DUMMYFUNCTION("""COMPUTED_VALUE"""),"CA-2014-141278")</f>
        <v>CA-2014-141278</v>
      </c>
      <c r="B505" s="9">
        <f>IFERROR(__xludf.DUMMYFUNCTION("""COMPUTED_VALUE"""),41811.0)</f>
        <v>41811</v>
      </c>
      <c r="C505" s="8" t="str">
        <f>IFERROR(__xludf.DUMMYFUNCTION("""COMPUTED_VALUE"""),"Consumer")</f>
        <v>Consumer</v>
      </c>
      <c r="D505" s="8" t="str">
        <f>IFERROR(__xludf.DUMMYFUNCTION("""COMPUTED_VALUE"""),"Connecticut")</f>
        <v>Connecticut</v>
      </c>
      <c r="E505" s="8" t="str">
        <f>IFERROR(__xludf.DUMMYFUNCTION("""COMPUTED_VALUE"""),"East")</f>
        <v>East</v>
      </c>
      <c r="F505" s="10">
        <f>IFERROR(__xludf.DUMMYFUNCTION("""COMPUTED_VALUE"""),21.4)</f>
        <v>21.4</v>
      </c>
      <c r="G505" s="11">
        <f>IFERROR(__xludf.DUMMYFUNCTION("""COMPUTED_VALUE"""),5.0)</f>
        <v>5</v>
      </c>
      <c r="H505" s="11">
        <f>IFERROR(__xludf.DUMMYFUNCTION("""COMPUTED_VALUE"""),6.206)</f>
        <v>6.206</v>
      </c>
    </row>
    <row r="506">
      <c r="A506" s="8" t="str">
        <f>IFERROR(__xludf.DUMMYFUNCTION("""COMPUTED_VALUE"""),"CA-2014-141299")</f>
        <v>CA-2014-141299</v>
      </c>
      <c r="B506" s="9">
        <f>IFERROR(__xludf.DUMMYFUNCTION("""COMPUTED_VALUE"""),41793.0)</f>
        <v>41793</v>
      </c>
      <c r="C506" s="8" t="str">
        <f>IFERROR(__xludf.DUMMYFUNCTION("""COMPUTED_VALUE"""),"Home Office")</f>
        <v>Home Office</v>
      </c>
      <c r="D506" s="8" t="str">
        <f>IFERROR(__xludf.DUMMYFUNCTION("""COMPUTED_VALUE"""),"Michigan")</f>
        <v>Michigan</v>
      </c>
      <c r="E506" s="8" t="str">
        <f>IFERROR(__xludf.DUMMYFUNCTION("""COMPUTED_VALUE"""),"Central")</f>
        <v>Central</v>
      </c>
      <c r="F506" s="10">
        <f>IFERROR(__xludf.DUMMYFUNCTION("""COMPUTED_VALUE"""),15.28)</f>
        <v>15.28</v>
      </c>
      <c r="G506" s="11">
        <f>IFERROR(__xludf.DUMMYFUNCTION("""COMPUTED_VALUE"""),2.0)</f>
        <v>2</v>
      </c>
      <c r="H506" s="11">
        <f>IFERROR(__xludf.DUMMYFUNCTION("""COMPUTED_VALUE"""),7.4872)</f>
        <v>7.4872</v>
      </c>
    </row>
    <row r="507">
      <c r="A507" s="8" t="str">
        <f>IFERROR(__xludf.DUMMYFUNCTION("""COMPUTED_VALUE"""),"CA-2014-141313")</f>
        <v>CA-2014-141313</v>
      </c>
      <c r="B507" s="9">
        <f>IFERROR(__xludf.DUMMYFUNCTION("""COMPUTED_VALUE"""),42001.0)</f>
        <v>42001</v>
      </c>
      <c r="C507" s="8" t="str">
        <f>IFERROR(__xludf.DUMMYFUNCTION("""COMPUTED_VALUE"""),"Corporate")</f>
        <v>Corporate</v>
      </c>
      <c r="D507" s="8" t="str">
        <f>IFERROR(__xludf.DUMMYFUNCTION("""COMPUTED_VALUE"""),"Massachusetts")</f>
        <v>Massachusetts</v>
      </c>
      <c r="E507" s="8" t="str">
        <f>IFERROR(__xludf.DUMMYFUNCTION("""COMPUTED_VALUE"""),"East")</f>
        <v>East</v>
      </c>
      <c r="F507" s="10">
        <f>IFERROR(__xludf.DUMMYFUNCTION("""COMPUTED_VALUE"""),1737.18)</f>
        <v>1737.18</v>
      </c>
      <c r="G507" s="11">
        <f>IFERROR(__xludf.DUMMYFUNCTION("""COMPUTED_VALUE"""),6.0)</f>
        <v>6</v>
      </c>
      <c r="H507" s="11">
        <f>IFERROR(__xludf.DUMMYFUNCTION("""COMPUTED_VALUE"""),503.7822)</f>
        <v>503.7822</v>
      </c>
    </row>
    <row r="508">
      <c r="A508" s="8" t="str">
        <f>IFERROR(__xludf.DUMMYFUNCTION("""COMPUTED_VALUE"""),"CA-2014-141355")</f>
        <v>CA-2014-141355</v>
      </c>
      <c r="B508" s="9">
        <f>IFERROR(__xludf.DUMMYFUNCTION("""COMPUTED_VALUE"""),41907.0)</f>
        <v>41907</v>
      </c>
      <c r="C508" s="8" t="str">
        <f>IFERROR(__xludf.DUMMYFUNCTION("""COMPUTED_VALUE"""),"Home Office")</f>
        <v>Home Office</v>
      </c>
      <c r="D508" s="8" t="str">
        <f>IFERROR(__xludf.DUMMYFUNCTION("""COMPUTED_VALUE"""),"Colorado")</f>
        <v>Colorado</v>
      </c>
      <c r="E508" s="8" t="str">
        <f>IFERROR(__xludf.DUMMYFUNCTION("""COMPUTED_VALUE"""),"West")</f>
        <v>West</v>
      </c>
      <c r="F508" s="10">
        <f>IFERROR(__xludf.DUMMYFUNCTION("""COMPUTED_VALUE"""),14.576)</f>
        <v>14.576</v>
      </c>
      <c r="G508" s="11">
        <f>IFERROR(__xludf.DUMMYFUNCTION("""COMPUTED_VALUE"""),2.0)</f>
        <v>2</v>
      </c>
      <c r="H508" s="11">
        <f>IFERROR(__xludf.DUMMYFUNCTION("""COMPUTED_VALUE"""),2.3686)</f>
        <v>2.3686</v>
      </c>
    </row>
    <row r="509">
      <c r="A509" s="8" t="str">
        <f>IFERROR(__xludf.DUMMYFUNCTION("""COMPUTED_VALUE"""),"CA-2014-141607")</f>
        <v>CA-2014-141607</v>
      </c>
      <c r="B509" s="9">
        <f>IFERROR(__xludf.DUMMYFUNCTION("""COMPUTED_VALUE"""),41985.0)</f>
        <v>41985</v>
      </c>
      <c r="C509" s="8" t="str">
        <f>IFERROR(__xludf.DUMMYFUNCTION("""COMPUTED_VALUE"""),"Consumer")</f>
        <v>Consumer</v>
      </c>
      <c r="D509" s="8" t="str">
        <f>IFERROR(__xludf.DUMMYFUNCTION("""COMPUTED_VALUE"""),"California")</f>
        <v>California</v>
      </c>
      <c r="E509" s="8" t="str">
        <f>IFERROR(__xludf.DUMMYFUNCTION("""COMPUTED_VALUE"""),"West")</f>
        <v>West</v>
      </c>
      <c r="F509" s="10">
        <f>IFERROR(__xludf.DUMMYFUNCTION("""COMPUTED_VALUE"""),43.31)</f>
        <v>43.31</v>
      </c>
      <c r="G509" s="11">
        <f>IFERROR(__xludf.DUMMYFUNCTION("""COMPUTED_VALUE"""),1.0)</f>
        <v>1</v>
      </c>
      <c r="H509" s="11">
        <f>IFERROR(__xludf.DUMMYFUNCTION("""COMPUTED_VALUE"""),4.331)</f>
        <v>4.331</v>
      </c>
    </row>
    <row r="510">
      <c r="A510" s="8" t="str">
        <f>IFERROR(__xludf.DUMMYFUNCTION("""COMPUTED_VALUE"""),"CA-2014-141649")</f>
        <v>CA-2014-141649</v>
      </c>
      <c r="B510" s="9">
        <f>IFERROR(__xludf.DUMMYFUNCTION("""COMPUTED_VALUE"""),41912.0)</f>
        <v>41912</v>
      </c>
      <c r="C510" s="8" t="str">
        <f>IFERROR(__xludf.DUMMYFUNCTION("""COMPUTED_VALUE"""),"Corporate")</f>
        <v>Corporate</v>
      </c>
      <c r="D510" s="8" t="str">
        <f>IFERROR(__xludf.DUMMYFUNCTION("""COMPUTED_VALUE"""),"Ohio")</f>
        <v>Ohio</v>
      </c>
      <c r="E510" s="8" t="str">
        <f>IFERROR(__xludf.DUMMYFUNCTION("""COMPUTED_VALUE"""),"East")</f>
        <v>East</v>
      </c>
      <c r="F510" s="10">
        <f>IFERROR(__xludf.DUMMYFUNCTION("""COMPUTED_VALUE"""),795.408)</f>
        <v>795.408</v>
      </c>
      <c r="G510" s="11">
        <f>IFERROR(__xludf.DUMMYFUNCTION("""COMPUTED_VALUE"""),6.0)</f>
        <v>6</v>
      </c>
      <c r="H510" s="11">
        <f>IFERROR(__xludf.DUMMYFUNCTION("""COMPUTED_VALUE"""),59.6556)</f>
        <v>59.6556</v>
      </c>
    </row>
    <row r="511">
      <c r="A511" s="8" t="str">
        <f>IFERROR(__xludf.DUMMYFUNCTION("""COMPUTED_VALUE"""),"CA-2014-141726")</f>
        <v>CA-2014-141726</v>
      </c>
      <c r="B511" s="9">
        <f>IFERROR(__xludf.DUMMYFUNCTION("""COMPUTED_VALUE"""),41840.0)</f>
        <v>41840</v>
      </c>
      <c r="C511" s="8" t="str">
        <f>IFERROR(__xludf.DUMMYFUNCTION("""COMPUTED_VALUE"""),"Consumer")</f>
        <v>Consumer</v>
      </c>
      <c r="D511" s="8" t="str">
        <f>IFERROR(__xludf.DUMMYFUNCTION("""COMPUTED_VALUE"""),"California")</f>
        <v>California</v>
      </c>
      <c r="E511" s="8" t="str">
        <f>IFERROR(__xludf.DUMMYFUNCTION("""COMPUTED_VALUE"""),"West")</f>
        <v>West</v>
      </c>
      <c r="F511" s="10">
        <f>IFERROR(__xludf.DUMMYFUNCTION("""COMPUTED_VALUE"""),104.85)</f>
        <v>104.85</v>
      </c>
      <c r="G511" s="11">
        <f>IFERROR(__xludf.DUMMYFUNCTION("""COMPUTED_VALUE"""),1.0)</f>
        <v>1</v>
      </c>
      <c r="H511" s="11">
        <f>IFERROR(__xludf.DUMMYFUNCTION("""COMPUTED_VALUE"""),50.328)</f>
        <v>50.328</v>
      </c>
    </row>
    <row r="512">
      <c r="A512" s="8" t="str">
        <f>IFERROR(__xludf.DUMMYFUNCTION("""COMPUTED_VALUE"""),"CA-2014-141796")</f>
        <v>CA-2014-141796</v>
      </c>
      <c r="B512" s="9">
        <f>IFERROR(__xludf.DUMMYFUNCTION("""COMPUTED_VALUE"""),41811.0)</f>
        <v>41811</v>
      </c>
      <c r="C512" s="8" t="str">
        <f>IFERROR(__xludf.DUMMYFUNCTION("""COMPUTED_VALUE"""),"Consumer")</f>
        <v>Consumer</v>
      </c>
      <c r="D512" s="8" t="str">
        <f>IFERROR(__xludf.DUMMYFUNCTION("""COMPUTED_VALUE"""),"New York")</f>
        <v>New York</v>
      </c>
      <c r="E512" s="8" t="str">
        <f>IFERROR(__xludf.DUMMYFUNCTION("""COMPUTED_VALUE"""),"East")</f>
        <v>East</v>
      </c>
      <c r="F512" s="10">
        <f>IFERROR(__xludf.DUMMYFUNCTION("""COMPUTED_VALUE"""),1214.85)</f>
        <v>1214.85</v>
      </c>
      <c r="G512" s="11">
        <f>IFERROR(__xludf.DUMMYFUNCTION("""COMPUTED_VALUE"""),3.0)</f>
        <v>3</v>
      </c>
      <c r="H512" s="11">
        <f>IFERROR(__xludf.DUMMYFUNCTION("""COMPUTED_VALUE"""),352.3065)</f>
        <v>352.3065</v>
      </c>
    </row>
    <row r="513">
      <c r="A513" s="8" t="str">
        <f>IFERROR(__xludf.DUMMYFUNCTION("""COMPUTED_VALUE"""),"CA-2014-141817")</f>
        <v>CA-2014-141817</v>
      </c>
      <c r="B513" s="9">
        <f>IFERROR(__xludf.DUMMYFUNCTION("""COMPUTED_VALUE"""),41644.0)</f>
        <v>41644</v>
      </c>
      <c r="C513" s="8" t="str">
        <f>IFERROR(__xludf.DUMMYFUNCTION("""COMPUTED_VALUE"""),"Consumer")</f>
        <v>Consumer</v>
      </c>
      <c r="D513" s="8" t="str">
        <f>IFERROR(__xludf.DUMMYFUNCTION("""COMPUTED_VALUE"""),"Pennsylvania")</f>
        <v>Pennsylvania</v>
      </c>
      <c r="E513" s="8" t="str">
        <f>IFERROR(__xludf.DUMMYFUNCTION("""COMPUTED_VALUE"""),"East")</f>
        <v>East</v>
      </c>
      <c r="F513" s="10">
        <f>IFERROR(__xludf.DUMMYFUNCTION("""COMPUTED_VALUE"""),19.536)</f>
        <v>19.536</v>
      </c>
      <c r="G513" s="11">
        <f>IFERROR(__xludf.DUMMYFUNCTION("""COMPUTED_VALUE"""),3.0)</f>
        <v>3</v>
      </c>
      <c r="H513" s="11">
        <f>IFERROR(__xludf.DUMMYFUNCTION("""COMPUTED_VALUE"""),4.884)</f>
        <v>4.884</v>
      </c>
    </row>
    <row r="514">
      <c r="A514" s="8" t="str">
        <f>IFERROR(__xludf.DUMMYFUNCTION("""COMPUTED_VALUE"""),"CA-2014-141838")</f>
        <v>CA-2014-141838</v>
      </c>
      <c r="B514" s="9">
        <f>IFERROR(__xludf.DUMMYFUNCTION("""COMPUTED_VALUE"""),41724.0)</f>
        <v>41724</v>
      </c>
      <c r="C514" s="8" t="str">
        <f>IFERROR(__xludf.DUMMYFUNCTION("""COMPUTED_VALUE"""),"Corporate")</f>
        <v>Corporate</v>
      </c>
      <c r="D514" s="8" t="str">
        <f>IFERROR(__xludf.DUMMYFUNCTION("""COMPUTED_VALUE"""),"California")</f>
        <v>California</v>
      </c>
      <c r="E514" s="8" t="str">
        <f>IFERROR(__xludf.DUMMYFUNCTION("""COMPUTED_VALUE"""),"West")</f>
        <v>West</v>
      </c>
      <c r="F514" s="10">
        <f>IFERROR(__xludf.DUMMYFUNCTION("""COMPUTED_VALUE"""),3.36)</f>
        <v>3.36</v>
      </c>
      <c r="G514" s="11">
        <f>IFERROR(__xludf.DUMMYFUNCTION("""COMPUTED_VALUE"""),2.0)</f>
        <v>2</v>
      </c>
      <c r="H514" s="11">
        <f>IFERROR(__xludf.DUMMYFUNCTION("""COMPUTED_VALUE"""),0.84)</f>
        <v>0.84</v>
      </c>
    </row>
    <row r="515">
      <c r="A515" s="8" t="str">
        <f>IFERROR(__xludf.DUMMYFUNCTION("""COMPUTED_VALUE"""),"CA-2014-141901")</f>
        <v>CA-2014-141901</v>
      </c>
      <c r="B515" s="9">
        <f>IFERROR(__xludf.DUMMYFUNCTION("""COMPUTED_VALUE"""),41860.0)</f>
        <v>41860</v>
      </c>
      <c r="C515" s="8" t="str">
        <f>IFERROR(__xludf.DUMMYFUNCTION("""COMPUTED_VALUE"""),"Consumer")</f>
        <v>Consumer</v>
      </c>
      <c r="D515" s="8" t="str">
        <f>IFERROR(__xludf.DUMMYFUNCTION("""COMPUTED_VALUE"""),"California")</f>
        <v>California</v>
      </c>
      <c r="E515" s="8" t="str">
        <f>IFERROR(__xludf.DUMMYFUNCTION("""COMPUTED_VALUE"""),"West")</f>
        <v>West</v>
      </c>
      <c r="F515" s="10">
        <f>IFERROR(__xludf.DUMMYFUNCTION("""COMPUTED_VALUE"""),5.98)</f>
        <v>5.98</v>
      </c>
      <c r="G515" s="11">
        <f>IFERROR(__xludf.DUMMYFUNCTION("""COMPUTED_VALUE"""),1.0)</f>
        <v>1</v>
      </c>
      <c r="H515" s="11">
        <f>IFERROR(__xludf.DUMMYFUNCTION("""COMPUTED_VALUE"""),2.691)</f>
        <v>2.691</v>
      </c>
    </row>
    <row r="516">
      <c r="A516" s="8" t="str">
        <f>IFERROR(__xludf.DUMMYFUNCTION("""COMPUTED_VALUE"""),"CA-2014-142048")</f>
        <v>CA-2014-142048</v>
      </c>
      <c r="B516" s="9">
        <f>IFERROR(__xludf.DUMMYFUNCTION("""COMPUTED_VALUE"""),41812.0)</f>
        <v>41812</v>
      </c>
      <c r="C516" s="8" t="str">
        <f>IFERROR(__xludf.DUMMYFUNCTION("""COMPUTED_VALUE"""),"Consumer")</f>
        <v>Consumer</v>
      </c>
      <c r="D516" s="8" t="str">
        <f>IFERROR(__xludf.DUMMYFUNCTION("""COMPUTED_VALUE"""),"Colorado")</f>
        <v>Colorado</v>
      </c>
      <c r="E516" s="8" t="str">
        <f>IFERROR(__xludf.DUMMYFUNCTION("""COMPUTED_VALUE"""),"West")</f>
        <v>West</v>
      </c>
      <c r="F516" s="10">
        <f>IFERROR(__xludf.DUMMYFUNCTION("""COMPUTED_VALUE"""),196.752)</f>
        <v>196.752</v>
      </c>
      <c r="G516" s="11">
        <f>IFERROR(__xludf.DUMMYFUNCTION("""COMPUTED_VALUE"""),6.0)</f>
        <v>6</v>
      </c>
      <c r="H516" s="11">
        <f>IFERROR(__xludf.DUMMYFUNCTION("""COMPUTED_VALUE"""),56.5662)</f>
        <v>56.5662</v>
      </c>
    </row>
    <row r="517">
      <c r="A517" s="8" t="str">
        <f>IFERROR(__xludf.DUMMYFUNCTION("""COMPUTED_VALUE"""),"CA-2014-142314")</f>
        <v>CA-2014-142314</v>
      </c>
      <c r="B517" s="9">
        <f>IFERROR(__xludf.DUMMYFUNCTION("""COMPUTED_VALUE"""),41996.0)</f>
        <v>41996</v>
      </c>
      <c r="C517" s="8" t="str">
        <f>IFERROR(__xludf.DUMMYFUNCTION("""COMPUTED_VALUE"""),"Consumer")</f>
        <v>Consumer</v>
      </c>
      <c r="D517" s="8" t="str">
        <f>IFERROR(__xludf.DUMMYFUNCTION("""COMPUTED_VALUE"""),"Indiana")</f>
        <v>Indiana</v>
      </c>
      <c r="E517" s="8" t="str">
        <f>IFERROR(__xludf.DUMMYFUNCTION("""COMPUTED_VALUE"""),"Central")</f>
        <v>Central</v>
      </c>
      <c r="F517" s="10">
        <f>IFERROR(__xludf.DUMMYFUNCTION("""COMPUTED_VALUE"""),207.24)</f>
        <v>207.24</v>
      </c>
      <c r="G517" s="11">
        <f>IFERROR(__xludf.DUMMYFUNCTION("""COMPUTED_VALUE"""),11.0)</f>
        <v>11</v>
      </c>
      <c r="H517" s="11">
        <f>IFERROR(__xludf.DUMMYFUNCTION("""COMPUTED_VALUE"""),58.0272)</f>
        <v>58.0272</v>
      </c>
    </row>
    <row r="518">
      <c r="A518" s="8" t="str">
        <f>IFERROR(__xludf.DUMMYFUNCTION("""COMPUTED_VALUE"""),"CA-2014-142510")</f>
        <v>CA-2014-142510</v>
      </c>
      <c r="B518" s="9">
        <f>IFERROR(__xludf.DUMMYFUNCTION("""COMPUTED_VALUE"""),41995.0)</f>
        <v>41995</v>
      </c>
      <c r="C518" s="8" t="str">
        <f>IFERROR(__xludf.DUMMYFUNCTION("""COMPUTED_VALUE"""),"Consumer")</f>
        <v>Consumer</v>
      </c>
      <c r="D518" s="8" t="str">
        <f>IFERROR(__xludf.DUMMYFUNCTION("""COMPUTED_VALUE"""),"Illinois")</f>
        <v>Illinois</v>
      </c>
      <c r="E518" s="8" t="str">
        <f>IFERROR(__xludf.DUMMYFUNCTION("""COMPUTED_VALUE"""),"Central")</f>
        <v>Central</v>
      </c>
      <c r="F518" s="10">
        <f>IFERROR(__xludf.DUMMYFUNCTION("""COMPUTED_VALUE"""),132.16)</f>
        <v>132.16</v>
      </c>
      <c r="G518" s="11">
        <f>IFERROR(__xludf.DUMMYFUNCTION("""COMPUTED_VALUE"""),1.0)</f>
        <v>1</v>
      </c>
      <c r="H518" s="11">
        <f>IFERROR(__xludf.DUMMYFUNCTION("""COMPUTED_VALUE"""),9.912)</f>
        <v>9.912</v>
      </c>
    </row>
    <row r="519">
      <c r="A519" s="8" t="str">
        <f>IFERROR(__xludf.DUMMYFUNCTION("""COMPUTED_VALUE"""),"CA-2014-142587")</f>
        <v>CA-2014-142587</v>
      </c>
      <c r="B519" s="9">
        <f>IFERROR(__xludf.DUMMYFUNCTION("""COMPUTED_VALUE"""),41933.0)</f>
        <v>41933</v>
      </c>
      <c r="C519" s="8" t="str">
        <f>IFERROR(__xludf.DUMMYFUNCTION("""COMPUTED_VALUE"""),"Consumer")</f>
        <v>Consumer</v>
      </c>
      <c r="D519" s="8" t="str">
        <f>IFERROR(__xludf.DUMMYFUNCTION("""COMPUTED_VALUE"""),"Ohio")</f>
        <v>Ohio</v>
      </c>
      <c r="E519" s="8" t="str">
        <f>IFERROR(__xludf.DUMMYFUNCTION("""COMPUTED_VALUE"""),"East")</f>
        <v>East</v>
      </c>
      <c r="F519" s="10">
        <f>IFERROR(__xludf.DUMMYFUNCTION("""COMPUTED_VALUE"""),121.792)</f>
        <v>121.792</v>
      </c>
      <c r="G519" s="11">
        <f>IFERROR(__xludf.DUMMYFUNCTION("""COMPUTED_VALUE"""),4.0)</f>
        <v>4</v>
      </c>
      <c r="H519" s="11">
        <f>IFERROR(__xludf.DUMMYFUNCTION("""COMPUTED_VALUE"""),13.7016)</f>
        <v>13.7016</v>
      </c>
    </row>
    <row r="520">
      <c r="A520" s="8" t="str">
        <f>IFERROR(__xludf.DUMMYFUNCTION("""COMPUTED_VALUE"""),"CA-2014-142727")</f>
        <v>CA-2014-142727</v>
      </c>
      <c r="B520" s="9">
        <f>IFERROR(__xludf.DUMMYFUNCTION("""COMPUTED_VALUE"""),41758.0)</f>
        <v>41758</v>
      </c>
      <c r="C520" s="8" t="str">
        <f>IFERROR(__xludf.DUMMYFUNCTION("""COMPUTED_VALUE"""),"Consumer")</f>
        <v>Consumer</v>
      </c>
      <c r="D520" s="8" t="str">
        <f>IFERROR(__xludf.DUMMYFUNCTION("""COMPUTED_VALUE"""),"Louisiana")</f>
        <v>Louisiana</v>
      </c>
      <c r="E520" s="8" t="str">
        <f>IFERROR(__xludf.DUMMYFUNCTION("""COMPUTED_VALUE"""),"South")</f>
        <v>South</v>
      </c>
      <c r="F520" s="10">
        <f>IFERROR(__xludf.DUMMYFUNCTION("""COMPUTED_VALUE"""),51.96)</f>
        <v>51.96</v>
      </c>
      <c r="G520" s="11">
        <f>IFERROR(__xludf.DUMMYFUNCTION("""COMPUTED_VALUE"""),2.0)</f>
        <v>2</v>
      </c>
      <c r="H520" s="11">
        <f>IFERROR(__xludf.DUMMYFUNCTION("""COMPUTED_VALUE"""),12.99)</f>
        <v>12.99</v>
      </c>
    </row>
    <row r="521">
      <c r="A521" s="8" t="str">
        <f>IFERROR(__xludf.DUMMYFUNCTION("""COMPUTED_VALUE"""),"CA-2014-142769")</f>
        <v>CA-2014-142769</v>
      </c>
      <c r="B521" s="9">
        <f>IFERROR(__xludf.DUMMYFUNCTION("""COMPUTED_VALUE"""),41895.0)</f>
        <v>41895</v>
      </c>
      <c r="C521" s="8" t="str">
        <f>IFERROR(__xludf.DUMMYFUNCTION("""COMPUTED_VALUE"""),"Consumer")</f>
        <v>Consumer</v>
      </c>
      <c r="D521" s="8" t="str">
        <f>IFERROR(__xludf.DUMMYFUNCTION("""COMPUTED_VALUE"""),"Washington")</f>
        <v>Washington</v>
      </c>
      <c r="E521" s="8" t="str">
        <f>IFERROR(__xludf.DUMMYFUNCTION("""COMPUTED_VALUE"""),"West")</f>
        <v>West</v>
      </c>
      <c r="F521" s="10">
        <f>IFERROR(__xludf.DUMMYFUNCTION("""COMPUTED_VALUE"""),5.7)</f>
        <v>5.7</v>
      </c>
      <c r="G521" s="11">
        <f>IFERROR(__xludf.DUMMYFUNCTION("""COMPUTED_VALUE"""),5.0)</f>
        <v>5</v>
      </c>
      <c r="H521" s="11">
        <f>IFERROR(__xludf.DUMMYFUNCTION("""COMPUTED_VALUE"""),2.679)</f>
        <v>2.679</v>
      </c>
    </row>
    <row r="522">
      <c r="A522" s="8" t="str">
        <f>IFERROR(__xludf.DUMMYFUNCTION("""COMPUTED_VALUE"""),"CA-2014-142839")</f>
        <v>CA-2014-142839</v>
      </c>
      <c r="B522" s="9">
        <f>IFERROR(__xludf.DUMMYFUNCTION("""COMPUTED_VALUE"""),41867.0)</f>
        <v>41867</v>
      </c>
      <c r="C522" s="8" t="str">
        <f>IFERROR(__xludf.DUMMYFUNCTION("""COMPUTED_VALUE"""),"Consumer")</f>
        <v>Consumer</v>
      </c>
      <c r="D522" s="8" t="str">
        <f>IFERROR(__xludf.DUMMYFUNCTION("""COMPUTED_VALUE"""),"Pennsylvania")</f>
        <v>Pennsylvania</v>
      </c>
      <c r="E522" s="8" t="str">
        <f>IFERROR(__xludf.DUMMYFUNCTION("""COMPUTED_VALUE"""),"East")</f>
        <v>East</v>
      </c>
      <c r="F522" s="10">
        <f>IFERROR(__xludf.DUMMYFUNCTION("""COMPUTED_VALUE"""),853.092)</f>
        <v>853.092</v>
      </c>
      <c r="G522" s="11">
        <f>IFERROR(__xludf.DUMMYFUNCTION("""COMPUTED_VALUE"""),6.0)</f>
        <v>6</v>
      </c>
      <c r="H522" s="11">
        <f>IFERROR(__xludf.DUMMYFUNCTION("""COMPUTED_VALUE"""),-227.4912)</f>
        <v>-227.4912</v>
      </c>
    </row>
    <row r="523">
      <c r="A523" s="8" t="str">
        <f>IFERROR(__xludf.DUMMYFUNCTION("""COMPUTED_VALUE"""),"CA-2014-142951")</f>
        <v>CA-2014-142951</v>
      </c>
      <c r="B523" s="9">
        <f>IFERROR(__xludf.DUMMYFUNCTION("""COMPUTED_VALUE"""),41920.0)</f>
        <v>41920</v>
      </c>
      <c r="C523" s="8" t="str">
        <f>IFERROR(__xludf.DUMMYFUNCTION("""COMPUTED_VALUE"""),"Consumer")</f>
        <v>Consumer</v>
      </c>
      <c r="D523" s="8" t="str">
        <f>IFERROR(__xludf.DUMMYFUNCTION("""COMPUTED_VALUE"""),"North Carolina")</f>
        <v>North Carolina</v>
      </c>
      <c r="E523" s="8" t="str">
        <f>IFERROR(__xludf.DUMMYFUNCTION("""COMPUTED_VALUE"""),"South")</f>
        <v>South</v>
      </c>
      <c r="F523" s="10">
        <f>IFERROR(__xludf.DUMMYFUNCTION("""COMPUTED_VALUE"""),23.472)</f>
        <v>23.472</v>
      </c>
      <c r="G523" s="11">
        <f>IFERROR(__xludf.DUMMYFUNCTION("""COMPUTED_VALUE"""),3.0)</f>
        <v>3</v>
      </c>
      <c r="H523" s="11">
        <f>IFERROR(__xludf.DUMMYFUNCTION("""COMPUTED_VALUE"""),4.9878)</f>
        <v>4.9878</v>
      </c>
    </row>
    <row r="524">
      <c r="A524" s="8" t="str">
        <f>IFERROR(__xludf.DUMMYFUNCTION("""COMPUTED_VALUE"""),"CA-2014-142965")</f>
        <v>CA-2014-142965</v>
      </c>
      <c r="B524" s="9">
        <f>IFERROR(__xludf.DUMMYFUNCTION("""COMPUTED_VALUE"""),41840.0)</f>
        <v>41840</v>
      </c>
      <c r="C524" s="8" t="str">
        <f>IFERROR(__xludf.DUMMYFUNCTION("""COMPUTED_VALUE"""),"Consumer")</f>
        <v>Consumer</v>
      </c>
      <c r="D524" s="8" t="str">
        <f>IFERROR(__xludf.DUMMYFUNCTION("""COMPUTED_VALUE"""),"Ohio")</f>
        <v>Ohio</v>
      </c>
      <c r="E524" s="8" t="str">
        <f>IFERROR(__xludf.DUMMYFUNCTION("""COMPUTED_VALUE"""),"East")</f>
        <v>East</v>
      </c>
      <c r="F524" s="10">
        <f>IFERROR(__xludf.DUMMYFUNCTION("""COMPUTED_VALUE"""),25.984)</f>
        <v>25.984</v>
      </c>
      <c r="G524" s="11">
        <f>IFERROR(__xludf.DUMMYFUNCTION("""COMPUTED_VALUE"""),1.0)</f>
        <v>1</v>
      </c>
      <c r="H524" s="11">
        <f>IFERROR(__xludf.DUMMYFUNCTION("""COMPUTED_VALUE"""),-5.1968)</f>
        <v>-5.1968</v>
      </c>
    </row>
    <row r="525">
      <c r="A525" s="8" t="str">
        <f>IFERROR(__xludf.DUMMYFUNCTION("""COMPUTED_VALUE"""),"CA-2014-142979")</f>
        <v>CA-2014-142979</v>
      </c>
      <c r="B525" s="9">
        <f>IFERROR(__xludf.DUMMYFUNCTION("""COMPUTED_VALUE"""),41741.0)</f>
        <v>41741</v>
      </c>
      <c r="C525" s="8" t="str">
        <f>IFERROR(__xludf.DUMMYFUNCTION("""COMPUTED_VALUE"""),"Corporate")</f>
        <v>Corporate</v>
      </c>
      <c r="D525" s="8" t="str">
        <f>IFERROR(__xludf.DUMMYFUNCTION("""COMPUTED_VALUE"""),"California")</f>
        <v>California</v>
      </c>
      <c r="E525" s="8" t="str">
        <f>IFERROR(__xludf.DUMMYFUNCTION("""COMPUTED_VALUE"""),"West")</f>
        <v>West</v>
      </c>
      <c r="F525" s="10">
        <f>IFERROR(__xludf.DUMMYFUNCTION("""COMPUTED_VALUE"""),39.68)</f>
        <v>39.68</v>
      </c>
      <c r="G525" s="11">
        <f>IFERROR(__xludf.DUMMYFUNCTION("""COMPUTED_VALUE"""),2.0)</f>
        <v>2</v>
      </c>
      <c r="H525" s="11">
        <f>IFERROR(__xludf.DUMMYFUNCTION("""COMPUTED_VALUE"""),16.2688)</f>
        <v>16.2688</v>
      </c>
    </row>
    <row r="526">
      <c r="A526" s="8" t="str">
        <f>IFERROR(__xludf.DUMMYFUNCTION("""COMPUTED_VALUE"""),"CA-2014-143168")</f>
        <v>CA-2014-143168</v>
      </c>
      <c r="B526" s="9">
        <f>IFERROR(__xludf.DUMMYFUNCTION("""COMPUTED_VALUE"""),41930.0)</f>
        <v>41930</v>
      </c>
      <c r="C526" s="8" t="str">
        <f>IFERROR(__xludf.DUMMYFUNCTION("""COMPUTED_VALUE"""),"Consumer")</f>
        <v>Consumer</v>
      </c>
      <c r="D526" s="8" t="str">
        <f>IFERROR(__xludf.DUMMYFUNCTION("""COMPUTED_VALUE"""),"Washington")</f>
        <v>Washington</v>
      </c>
      <c r="E526" s="8" t="str">
        <f>IFERROR(__xludf.DUMMYFUNCTION("""COMPUTED_VALUE"""),"West")</f>
        <v>West</v>
      </c>
      <c r="F526" s="10">
        <f>IFERROR(__xludf.DUMMYFUNCTION("""COMPUTED_VALUE"""),61.96)</f>
        <v>61.96</v>
      </c>
      <c r="G526" s="11">
        <f>IFERROR(__xludf.DUMMYFUNCTION("""COMPUTED_VALUE"""),2.0)</f>
        <v>2</v>
      </c>
      <c r="H526" s="11">
        <f>IFERROR(__xludf.DUMMYFUNCTION("""COMPUTED_VALUE"""),27.882)</f>
        <v>27.882</v>
      </c>
    </row>
    <row r="527">
      <c r="A527" s="8" t="str">
        <f>IFERROR(__xludf.DUMMYFUNCTION("""COMPUTED_VALUE"""),"CA-2014-143182")</f>
        <v>CA-2014-143182</v>
      </c>
      <c r="B527" s="9">
        <f>IFERROR(__xludf.DUMMYFUNCTION("""COMPUTED_VALUE"""),41927.0)</f>
        <v>41927</v>
      </c>
      <c r="C527" s="8" t="str">
        <f>IFERROR(__xludf.DUMMYFUNCTION("""COMPUTED_VALUE"""),"Consumer")</f>
        <v>Consumer</v>
      </c>
      <c r="D527" s="8" t="str">
        <f>IFERROR(__xludf.DUMMYFUNCTION("""COMPUTED_VALUE"""),"Florida")</f>
        <v>Florida</v>
      </c>
      <c r="E527" s="8" t="str">
        <f>IFERROR(__xludf.DUMMYFUNCTION("""COMPUTED_VALUE"""),"South")</f>
        <v>South</v>
      </c>
      <c r="F527" s="10">
        <f>IFERROR(__xludf.DUMMYFUNCTION("""COMPUTED_VALUE"""),15.384)</f>
        <v>15.384</v>
      </c>
      <c r="G527" s="11">
        <f>IFERROR(__xludf.DUMMYFUNCTION("""COMPUTED_VALUE"""),1.0)</f>
        <v>1</v>
      </c>
      <c r="H527" s="11">
        <f>IFERROR(__xludf.DUMMYFUNCTION("""COMPUTED_VALUE"""),4.0383)</f>
        <v>4.0383</v>
      </c>
    </row>
    <row r="528">
      <c r="A528" s="8" t="str">
        <f>IFERROR(__xludf.DUMMYFUNCTION("""COMPUTED_VALUE"""),"CA-2014-143210")</f>
        <v>CA-2014-143210</v>
      </c>
      <c r="B528" s="9">
        <f>IFERROR(__xludf.DUMMYFUNCTION("""COMPUTED_VALUE"""),41974.0)</f>
        <v>41974</v>
      </c>
      <c r="C528" s="8" t="str">
        <f>IFERROR(__xludf.DUMMYFUNCTION("""COMPUTED_VALUE"""),"Consumer")</f>
        <v>Consumer</v>
      </c>
      <c r="D528" s="8" t="str">
        <f>IFERROR(__xludf.DUMMYFUNCTION("""COMPUTED_VALUE"""),"Massachusetts")</f>
        <v>Massachusetts</v>
      </c>
      <c r="E528" s="8" t="str">
        <f>IFERROR(__xludf.DUMMYFUNCTION("""COMPUTED_VALUE"""),"East")</f>
        <v>East</v>
      </c>
      <c r="F528" s="10">
        <f>IFERROR(__xludf.DUMMYFUNCTION("""COMPUTED_VALUE"""),271.9)</f>
        <v>271.9</v>
      </c>
      <c r="G528" s="11">
        <f>IFERROR(__xludf.DUMMYFUNCTION("""COMPUTED_VALUE"""),2.0)</f>
        <v>2</v>
      </c>
      <c r="H528" s="11">
        <f>IFERROR(__xludf.DUMMYFUNCTION("""COMPUTED_VALUE"""),78.851)</f>
        <v>78.851</v>
      </c>
    </row>
    <row r="529">
      <c r="A529" s="8" t="str">
        <f>IFERROR(__xludf.DUMMYFUNCTION("""COMPUTED_VALUE"""),"CA-2014-143336")</f>
        <v>CA-2014-143336</v>
      </c>
      <c r="B529" s="9">
        <f>IFERROR(__xludf.DUMMYFUNCTION("""COMPUTED_VALUE"""),41878.0)</f>
        <v>41878</v>
      </c>
      <c r="C529" s="8" t="str">
        <f>IFERROR(__xludf.DUMMYFUNCTION("""COMPUTED_VALUE"""),"Consumer")</f>
        <v>Consumer</v>
      </c>
      <c r="D529" s="8" t="str">
        <f>IFERROR(__xludf.DUMMYFUNCTION("""COMPUTED_VALUE"""),"California")</f>
        <v>California</v>
      </c>
      <c r="E529" s="8" t="str">
        <f>IFERROR(__xludf.DUMMYFUNCTION("""COMPUTED_VALUE"""),"West")</f>
        <v>West</v>
      </c>
      <c r="F529" s="10">
        <f>IFERROR(__xludf.DUMMYFUNCTION("""COMPUTED_VALUE"""),8.56)</f>
        <v>8.56</v>
      </c>
      <c r="G529" s="11">
        <f>IFERROR(__xludf.DUMMYFUNCTION("""COMPUTED_VALUE"""),2.0)</f>
        <v>2</v>
      </c>
      <c r="H529" s="11">
        <f>IFERROR(__xludf.DUMMYFUNCTION("""COMPUTED_VALUE"""),2.4824)</f>
        <v>2.4824</v>
      </c>
    </row>
    <row r="530">
      <c r="A530" s="8" t="str">
        <f>IFERROR(__xludf.DUMMYFUNCTION("""COMPUTED_VALUE"""),"CA-2014-143371")</f>
        <v>CA-2014-143371</v>
      </c>
      <c r="B530" s="9">
        <f>IFERROR(__xludf.DUMMYFUNCTION("""COMPUTED_VALUE"""),42001.0)</f>
        <v>42001</v>
      </c>
      <c r="C530" s="8" t="str">
        <f>IFERROR(__xludf.DUMMYFUNCTION("""COMPUTED_VALUE"""),"Consumer")</f>
        <v>Consumer</v>
      </c>
      <c r="D530" s="8" t="str">
        <f>IFERROR(__xludf.DUMMYFUNCTION("""COMPUTED_VALUE"""),"California")</f>
        <v>California</v>
      </c>
      <c r="E530" s="8" t="str">
        <f>IFERROR(__xludf.DUMMYFUNCTION("""COMPUTED_VALUE"""),"West")</f>
        <v>West</v>
      </c>
      <c r="F530" s="10">
        <f>IFERROR(__xludf.DUMMYFUNCTION("""COMPUTED_VALUE"""),998.82)</f>
        <v>998.82</v>
      </c>
      <c r="G530" s="11">
        <f>IFERROR(__xludf.DUMMYFUNCTION("""COMPUTED_VALUE"""),9.0)</f>
        <v>9</v>
      </c>
      <c r="H530" s="11">
        <f>IFERROR(__xludf.DUMMYFUNCTION("""COMPUTED_VALUE"""),29.9646)</f>
        <v>29.9646</v>
      </c>
    </row>
    <row r="531">
      <c r="A531" s="8" t="str">
        <f>IFERROR(__xludf.DUMMYFUNCTION("""COMPUTED_VALUE"""),"CA-2014-143385")</f>
        <v>CA-2014-143385</v>
      </c>
      <c r="B531" s="9">
        <f>IFERROR(__xludf.DUMMYFUNCTION("""COMPUTED_VALUE"""),41882.0)</f>
        <v>41882</v>
      </c>
      <c r="C531" s="8" t="str">
        <f>IFERROR(__xludf.DUMMYFUNCTION("""COMPUTED_VALUE"""),"Consumer")</f>
        <v>Consumer</v>
      </c>
      <c r="D531" s="8" t="str">
        <f>IFERROR(__xludf.DUMMYFUNCTION("""COMPUTED_VALUE"""),"New Mexico")</f>
        <v>New Mexico</v>
      </c>
      <c r="E531" s="8" t="str">
        <f>IFERROR(__xludf.DUMMYFUNCTION("""COMPUTED_VALUE"""),"West")</f>
        <v>West</v>
      </c>
      <c r="F531" s="10">
        <f>IFERROR(__xludf.DUMMYFUNCTION("""COMPUTED_VALUE"""),92.52)</f>
        <v>92.52</v>
      </c>
      <c r="G531" s="11">
        <f>IFERROR(__xludf.DUMMYFUNCTION("""COMPUTED_VALUE"""),9.0)</f>
        <v>9</v>
      </c>
      <c r="H531" s="11">
        <f>IFERROR(__xludf.DUMMYFUNCTION("""COMPUTED_VALUE"""),18.504)</f>
        <v>18.504</v>
      </c>
    </row>
    <row r="532">
      <c r="A532" s="8" t="str">
        <f>IFERROR(__xludf.DUMMYFUNCTION("""COMPUTED_VALUE"""),"CA-2014-143413")</f>
        <v>CA-2014-143413</v>
      </c>
      <c r="B532" s="9">
        <f>IFERROR(__xludf.DUMMYFUNCTION("""COMPUTED_VALUE"""),41783.0)</f>
        <v>41783</v>
      </c>
      <c r="C532" s="8" t="str">
        <f>IFERROR(__xludf.DUMMYFUNCTION("""COMPUTED_VALUE"""),"Consumer")</f>
        <v>Consumer</v>
      </c>
      <c r="D532" s="8" t="str">
        <f>IFERROR(__xludf.DUMMYFUNCTION("""COMPUTED_VALUE"""),"Maryland")</f>
        <v>Maryland</v>
      </c>
      <c r="E532" s="8" t="str">
        <f>IFERROR(__xludf.DUMMYFUNCTION("""COMPUTED_VALUE"""),"East")</f>
        <v>East</v>
      </c>
      <c r="F532" s="10">
        <f>IFERROR(__xludf.DUMMYFUNCTION("""COMPUTED_VALUE"""),116.28)</f>
        <v>116.28</v>
      </c>
      <c r="G532" s="11">
        <f>IFERROR(__xludf.DUMMYFUNCTION("""COMPUTED_VALUE"""),3.0)</f>
        <v>3</v>
      </c>
      <c r="H532" s="11">
        <f>IFERROR(__xludf.DUMMYFUNCTION("""COMPUTED_VALUE"""),56.9772)</f>
        <v>56.9772</v>
      </c>
    </row>
    <row r="533">
      <c r="A533" s="8" t="str">
        <f>IFERROR(__xludf.DUMMYFUNCTION("""COMPUTED_VALUE"""),"CA-2014-143637")</f>
        <v>CA-2014-143637</v>
      </c>
      <c r="B533" s="9">
        <f>IFERROR(__xludf.DUMMYFUNCTION("""COMPUTED_VALUE"""),41722.0)</f>
        <v>41722</v>
      </c>
      <c r="C533" s="8" t="str">
        <f>IFERROR(__xludf.DUMMYFUNCTION("""COMPUTED_VALUE"""),"Consumer")</f>
        <v>Consumer</v>
      </c>
      <c r="D533" s="8" t="str">
        <f>IFERROR(__xludf.DUMMYFUNCTION("""COMPUTED_VALUE"""),"California")</f>
        <v>California</v>
      </c>
      <c r="E533" s="8" t="str">
        <f>IFERROR(__xludf.DUMMYFUNCTION("""COMPUTED_VALUE"""),"West")</f>
        <v>West</v>
      </c>
      <c r="F533" s="10">
        <f>IFERROR(__xludf.DUMMYFUNCTION("""COMPUTED_VALUE"""),40.48)</f>
        <v>40.48</v>
      </c>
      <c r="G533" s="11">
        <f>IFERROR(__xludf.DUMMYFUNCTION("""COMPUTED_VALUE"""),2.0)</f>
        <v>2</v>
      </c>
      <c r="H533" s="11">
        <f>IFERROR(__xludf.DUMMYFUNCTION("""COMPUTED_VALUE"""),14.5728)</f>
        <v>14.5728</v>
      </c>
    </row>
    <row r="534">
      <c r="A534" s="8" t="str">
        <f>IFERROR(__xludf.DUMMYFUNCTION("""COMPUTED_VALUE"""),"CA-2014-143840")</f>
        <v>CA-2014-143840</v>
      </c>
      <c r="B534" s="9">
        <f>IFERROR(__xludf.DUMMYFUNCTION("""COMPUTED_VALUE"""),41781.0)</f>
        <v>41781</v>
      </c>
      <c r="C534" s="8" t="str">
        <f>IFERROR(__xludf.DUMMYFUNCTION("""COMPUTED_VALUE"""),"Consumer")</f>
        <v>Consumer</v>
      </c>
      <c r="D534" s="8" t="str">
        <f>IFERROR(__xludf.DUMMYFUNCTION("""COMPUTED_VALUE"""),"Alabama")</f>
        <v>Alabama</v>
      </c>
      <c r="E534" s="8" t="str">
        <f>IFERROR(__xludf.DUMMYFUNCTION("""COMPUTED_VALUE"""),"South")</f>
        <v>South</v>
      </c>
      <c r="F534" s="10">
        <f>IFERROR(__xludf.DUMMYFUNCTION("""COMPUTED_VALUE"""),135.98)</f>
        <v>135.98</v>
      </c>
      <c r="G534" s="11">
        <f>IFERROR(__xludf.DUMMYFUNCTION("""COMPUTED_VALUE"""),2.0)</f>
        <v>2</v>
      </c>
      <c r="H534" s="11">
        <f>IFERROR(__xludf.DUMMYFUNCTION("""COMPUTED_VALUE"""),33.995)</f>
        <v>33.995</v>
      </c>
    </row>
    <row r="535">
      <c r="A535" s="8" t="str">
        <f>IFERROR(__xludf.DUMMYFUNCTION("""COMPUTED_VALUE"""),"CA-2014-143903")</f>
        <v>CA-2014-143903</v>
      </c>
      <c r="B535" s="9">
        <f>IFERROR(__xludf.DUMMYFUNCTION("""COMPUTED_VALUE"""),41840.0)</f>
        <v>41840</v>
      </c>
      <c r="C535" s="8" t="str">
        <f>IFERROR(__xludf.DUMMYFUNCTION("""COMPUTED_VALUE"""),"Home Office")</f>
        <v>Home Office</v>
      </c>
      <c r="D535" s="8" t="str">
        <f>IFERROR(__xludf.DUMMYFUNCTION("""COMPUTED_VALUE"""),"Texas")</f>
        <v>Texas</v>
      </c>
      <c r="E535" s="8" t="str">
        <f>IFERROR(__xludf.DUMMYFUNCTION("""COMPUTED_VALUE"""),"Central")</f>
        <v>Central</v>
      </c>
      <c r="F535" s="10">
        <f>IFERROR(__xludf.DUMMYFUNCTION("""COMPUTED_VALUE"""),342.864)</f>
        <v>342.864</v>
      </c>
      <c r="G535" s="11">
        <f>IFERROR(__xludf.DUMMYFUNCTION("""COMPUTED_VALUE"""),3.0)</f>
        <v>3</v>
      </c>
      <c r="H535" s="11">
        <f>IFERROR(__xludf.DUMMYFUNCTION("""COMPUTED_VALUE"""),38.5722)</f>
        <v>38.5722</v>
      </c>
    </row>
    <row r="536">
      <c r="A536" s="8" t="str">
        <f>IFERROR(__xludf.DUMMYFUNCTION("""COMPUTED_VALUE"""),"CA-2014-143917")</f>
        <v>CA-2014-143917</v>
      </c>
      <c r="B536" s="9">
        <f>IFERROR(__xludf.DUMMYFUNCTION("""COMPUTED_VALUE"""),41845.0)</f>
        <v>41845</v>
      </c>
      <c r="C536" s="8" t="str">
        <f>IFERROR(__xludf.DUMMYFUNCTION("""COMPUTED_VALUE"""),"Consumer")</f>
        <v>Consumer</v>
      </c>
      <c r="D536" s="8" t="str">
        <f>IFERROR(__xludf.DUMMYFUNCTION("""COMPUTED_VALUE"""),"California")</f>
        <v>California</v>
      </c>
      <c r="E536" s="8" t="str">
        <f>IFERROR(__xludf.DUMMYFUNCTION("""COMPUTED_VALUE"""),"West")</f>
        <v>West</v>
      </c>
      <c r="F536" s="10">
        <f>IFERROR(__xludf.DUMMYFUNCTION("""COMPUTED_VALUE"""),53.72)</f>
        <v>53.72</v>
      </c>
      <c r="G536" s="11">
        <f>IFERROR(__xludf.DUMMYFUNCTION("""COMPUTED_VALUE"""),4.0)</f>
        <v>4</v>
      </c>
      <c r="H536" s="11">
        <f>IFERROR(__xludf.DUMMYFUNCTION("""COMPUTED_VALUE"""),15.0416)</f>
        <v>15.0416</v>
      </c>
    </row>
    <row r="537">
      <c r="A537" s="8" t="str">
        <f>IFERROR(__xludf.DUMMYFUNCTION("""COMPUTED_VALUE"""),"CA-2014-144029")</f>
        <v>CA-2014-144029</v>
      </c>
      <c r="B537" s="9">
        <f>IFERROR(__xludf.DUMMYFUNCTION("""COMPUTED_VALUE"""),41785.0)</f>
        <v>41785</v>
      </c>
      <c r="C537" s="8" t="str">
        <f>IFERROR(__xludf.DUMMYFUNCTION("""COMPUTED_VALUE"""),"Consumer")</f>
        <v>Consumer</v>
      </c>
      <c r="D537" s="8" t="str">
        <f>IFERROR(__xludf.DUMMYFUNCTION("""COMPUTED_VALUE"""),"Illinois")</f>
        <v>Illinois</v>
      </c>
      <c r="E537" s="8" t="str">
        <f>IFERROR(__xludf.DUMMYFUNCTION("""COMPUTED_VALUE"""),"Central")</f>
        <v>Central</v>
      </c>
      <c r="F537" s="10">
        <f>IFERROR(__xludf.DUMMYFUNCTION("""COMPUTED_VALUE"""),102.624)</f>
        <v>102.624</v>
      </c>
      <c r="G537" s="11">
        <f>IFERROR(__xludf.DUMMYFUNCTION("""COMPUTED_VALUE"""),3.0)</f>
        <v>3</v>
      </c>
      <c r="H537" s="11">
        <f>IFERROR(__xludf.DUMMYFUNCTION("""COMPUTED_VALUE"""),7.6968)</f>
        <v>7.6968</v>
      </c>
    </row>
    <row r="538">
      <c r="A538" s="8" t="str">
        <f>IFERROR(__xludf.DUMMYFUNCTION("""COMPUTED_VALUE"""),"CA-2014-144071")</f>
        <v>CA-2014-144071</v>
      </c>
      <c r="B538" s="9">
        <f>IFERROR(__xludf.DUMMYFUNCTION("""COMPUTED_VALUE"""),41981.0)</f>
        <v>41981</v>
      </c>
      <c r="C538" s="8" t="str">
        <f>IFERROR(__xludf.DUMMYFUNCTION("""COMPUTED_VALUE"""),"Corporate")</f>
        <v>Corporate</v>
      </c>
      <c r="D538" s="8" t="str">
        <f>IFERROR(__xludf.DUMMYFUNCTION("""COMPUTED_VALUE"""),"California")</f>
        <v>California</v>
      </c>
      <c r="E538" s="8" t="str">
        <f>IFERROR(__xludf.DUMMYFUNCTION("""COMPUTED_VALUE"""),"West")</f>
        <v>West</v>
      </c>
      <c r="F538" s="10">
        <f>IFERROR(__xludf.DUMMYFUNCTION("""COMPUTED_VALUE"""),39.88)</f>
        <v>39.88</v>
      </c>
      <c r="G538" s="11">
        <f>IFERROR(__xludf.DUMMYFUNCTION("""COMPUTED_VALUE"""),2.0)</f>
        <v>2</v>
      </c>
      <c r="H538" s="11">
        <f>IFERROR(__xludf.DUMMYFUNCTION("""COMPUTED_VALUE"""),11.1664)</f>
        <v>11.1664</v>
      </c>
    </row>
    <row r="539">
      <c r="A539" s="8" t="str">
        <f>IFERROR(__xludf.DUMMYFUNCTION("""COMPUTED_VALUE"""),"CA-2014-144281")</f>
        <v>CA-2014-144281</v>
      </c>
      <c r="B539" s="9">
        <f>IFERROR(__xludf.DUMMYFUNCTION("""COMPUTED_VALUE"""),41800.0)</f>
        <v>41800</v>
      </c>
      <c r="C539" s="8" t="str">
        <f>IFERROR(__xludf.DUMMYFUNCTION("""COMPUTED_VALUE"""),"Corporate")</f>
        <v>Corporate</v>
      </c>
      <c r="D539" s="8" t="str">
        <f>IFERROR(__xludf.DUMMYFUNCTION("""COMPUTED_VALUE"""),"Michigan")</f>
        <v>Michigan</v>
      </c>
      <c r="E539" s="8" t="str">
        <f>IFERROR(__xludf.DUMMYFUNCTION("""COMPUTED_VALUE"""),"Central")</f>
        <v>Central</v>
      </c>
      <c r="F539" s="10">
        <f>IFERROR(__xludf.DUMMYFUNCTION("""COMPUTED_VALUE"""),491.55)</f>
        <v>491.55</v>
      </c>
      <c r="G539" s="11">
        <f>IFERROR(__xludf.DUMMYFUNCTION("""COMPUTED_VALUE"""),5.0)</f>
        <v>5</v>
      </c>
      <c r="H539" s="11">
        <f>IFERROR(__xludf.DUMMYFUNCTION("""COMPUTED_VALUE"""),240.8595)</f>
        <v>240.8595</v>
      </c>
    </row>
    <row r="540">
      <c r="A540" s="8" t="str">
        <f>IFERROR(__xludf.DUMMYFUNCTION("""COMPUTED_VALUE"""),"CA-2014-144407")</f>
        <v>CA-2014-144407</v>
      </c>
      <c r="B540" s="9">
        <f>IFERROR(__xludf.DUMMYFUNCTION("""COMPUTED_VALUE"""),41891.0)</f>
        <v>41891</v>
      </c>
      <c r="C540" s="8" t="str">
        <f>IFERROR(__xludf.DUMMYFUNCTION("""COMPUTED_VALUE"""),"Consumer")</f>
        <v>Consumer</v>
      </c>
      <c r="D540" s="8" t="str">
        <f>IFERROR(__xludf.DUMMYFUNCTION("""COMPUTED_VALUE"""),"Michigan")</f>
        <v>Michigan</v>
      </c>
      <c r="E540" s="8" t="str">
        <f>IFERROR(__xludf.DUMMYFUNCTION("""COMPUTED_VALUE"""),"Central")</f>
        <v>Central</v>
      </c>
      <c r="F540" s="10">
        <f>IFERROR(__xludf.DUMMYFUNCTION("""COMPUTED_VALUE"""),103.6)</f>
        <v>103.6</v>
      </c>
      <c r="G540" s="11">
        <f>IFERROR(__xludf.DUMMYFUNCTION("""COMPUTED_VALUE"""),7.0)</f>
        <v>7</v>
      </c>
      <c r="H540" s="11">
        <f>IFERROR(__xludf.DUMMYFUNCTION("""COMPUTED_VALUE"""),51.8)</f>
        <v>51.8</v>
      </c>
    </row>
    <row r="541">
      <c r="A541" s="8" t="str">
        <f>IFERROR(__xludf.DUMMYFUNCTION("""COMPUTED_VALUE"""),"CA-2014-144414")</f>
        <v>CA-2014-144414</v>
      </c>
      <c r="B541" s="9">
        <f>IFERROR(__xludf.DUMMYFUNCTION("""COMPUTED_VALUE"""),41807.0)</f>
        <v>41807</v>
      </c>
      <c r="C541" s="8" t="str">
        <f>IFERROR(__xludf.DUMMYFUNCTION("""COMPUTED_VALUE"""),"Consumer")</f>
        <v>Consumer</v>
      </c>
      <c r="D541" s="8" t="str">
        <f>IFERROR(__xludf.DUMMYFUNCTION("""COMPUTED_VALUE"""),"Washington")</f>
        <v>Washington</v>
      </c>
      <c r="E541" s="8" t="str">
        <f>IFERROR(__xludf.DUMMYFUNCTION("""COMPUTED_VALUE"""),"West")</f>
        <v>West</v>
      </c>
      <c r="F541" s="10">
        <f>IFERROR(__xludf.DUMMYFUNCTION("""COMPUTED_VALUE"""),6.24)</f>
        <v>6.24</v>
      </c>
      <c r="G541" s="11">
        <f>IFERROR(__xludf.DUMMYFUNCTION("""COMPUTED_VALUE"""),3.0)</f>
        <v>3</v>
      </c>
      <c r="H541" s="11">
        <f>IFERROR(__xludf.DUMMYFUNCTION("""COMPUTED_VALUE"""),2.6208)</f>
        <v>2.6208</v>
      </c>
    </row>
    <row r="542">
      <c r="A542" s="8" t="str">
        <f>IFERROR(__xludf.DUMMYFUNCTION("""COMPUTED_VALUE"""),"CA-2014-144624")</f>
        <v>CA-2014-144624</v>
      </c>
      <c r="B542" s="9">
        <f>IFERROR(__xludf.DUMMYFUNCTION("""COMPUTED_VALUE"""),41962.0)</f>
        <v>41962</v>
      </c>
      <c r="C542" s="8" t="str">
        <f>IFERROR(__xludf.DUMMYFUNCTION("""COMPUTED_VALUE"""),"Consumer")</f>
        <v>Consumer</v>
      </c>
      <c r="D542" s="8" t="str">
        <f>IFERROR(__xludf.DUMMYFUNCTION("""COMPUTED_VALUE"""),"New York")</f>
        <v>New York</v>
      </c>
      <c r="E542" s="8" t="str">
        <f>IFERROR(__xludf.DUMMYFUNCTION("""COMPUTED_VALUE"""),"East")</f>
        <v>East</v>
      </c>
      <c r="F542" s="10">
        <f>IFERROR(__xludf.DUMMYFUNCTION("""COMPUTED_VALUE"""),4548.81)</f>
        <v>4548.81</v>
      </c>
      <c r="G542" s="11">
        <f>IFERROR(__xludf.DUMMYFUNCTION("""COMPUTED_VALUE"""),7.0)</f>
        <v>7</v>
      </c>
      <c r="H542" s="11">
        <f>IFERROR(__xludf.DUMMYFUNCTION("""COMPUTED_VALUE"""),1228.1787)</f>
        <v>1228.1787</v>
      </c>
    </row>
    <row r="543">
      <c r="A543" s="8" t="str">
        <f>IFERROR(__xludf.DUMMYFUNCTION("""COMPUTED_VALUE"""),"CA-2014-144666")</f>
        <v>CA-2014-144666</v>
      </c>
      <c r="B543" s="9">
        <f>IFERROR(__xludf.DUMMYFUNCTION("""COMPUTED_VALUE"""),41952.0)</f>
        <v>41952</v>
      </c>
      <c r="C543" s="8" t="str">
        <f>IFERROR(__xludf.DUMMYFUNCTION("""COMPUTED_VALUE"""),"Consumer")</f>
        <v>Consumer</v>
      </c>
      <c r="D543" s="8" t="str">
        <f>IFERROR(__xludf.DUMMYFUNCTION("""COMPUTED_VALUE"""),"California")</f>
        <v>California</v>
      </c>
      <c r="E543" s="8" t="str">
        <f>IFERROR(__xludf.DUMMYFUNCTION("""COMPUTED_VALUE"""),"West")</f>
        <v>West</v>
      </c>
      <c r="F543" s="10">
        <f>IFERROR(__xludf.DUMMYFUNCTION("""COMPUTED_VALUE"""),340.92)</f>
        <v>340.92</v>
      </c>
      <c r="G543" s="11">
        <f>IFERROR(__xludf.DUMMYFUNCTION("""COMPUTED_VALUE"""),3.0)</f>
        <v>3</v>
      </c>
      <c r="H543" s="11">
        <f>IFERROR(__xludf.DUMMYFUNCTION("""COMPUTED_VALUE"""),3.4092)</f>
        <v>3.4092</v>
      </c>
    </row>
    <row r="544">
      <c r="A544" s="8" t="str">
        <f>IFERROR(__xludf.DUMMYFUNCTION("""COMPUTED_VALUE"""),"CA-2014-144974")</f>
        <v>CA-2014-144974</v>
      </c>
      <c r="B544" s="9">
        <f>IFERROR(__xludf.DUMMYFUNCTION("""COMPUTED_VALUE"""),41908.0)</f>
        <v>41908</v>
      </c>
      <c r="C544" s="8" t="str">
        <f>IFERROR(__xludf.DUMMYFUNCTION("""COMPUTED_VALUE"""),"Corporate")</f>
        <v>Corporate</v>
      </c>
      <c r="D544" s="8" t="str">
        <f>IFERROR(__xludf.DUMMYFUNCTION("""COMPUTED_VALUE"""),"Pennsylvania")</f>
        <v>Pennsylvania</v>
      </c>
      <c r="E544" s="8" t="str">
        <f>IFERROR(__xludf.DUMMYFUNCTION("""COMPUTED_VALUE"""),"East")</f>
        <v>East</v>
      </c>
      <c r="F544" s="10">
        <f>IFERROR(__xludf.DUMMYFUNCTION("""COMPUTED_VALUE"""),5.97)</f>
        <v>5.97</v>
      </c>
      <c r="G544" s="11">
        <f>IFERROR(__xludf.DUMMYFUNCTION("""COMPUTED_VALUE"""),5.0)</f>
        <v>5</v>
      </c>
      <c r="H544" s="11">
        <f>IFERROR(__xludf.DUMMYFUNCTION("""COMPUTED_VALUE"""),-4.577)</f>
        <v>-4.577</v>
      </c>
    </row>
    <row r="545">
      <c r="A545" s="8" t="str">
        <f>IFERROR(__xludf.DUMMYFUNCTION("""COMPUTED_VALUE"""),"CA-2014-145212")</f>
        <v>CA-2014-145212</v>
      </c>
      <c r="B545" s="9">
        <f>IFERROR(__xludf.DUMMYFUNCTION("""COMPUTED_VALUE"""),41895.0)</f>
        <v>41895</v>
      </c>
      <c r="C545" s="8" t="str">
        <f>IFERROR(__xludf.DUMMYFUNCTION("""COMPUTED_VALUE"""),"Consumer")</f>
        <v>Consumer</v>
      </c>
      <c r="D545" s="8" t="str">
        <f>IFERROR(__xludf.DUMMYFUNCTION("""COMPUTED_VALUE"""),"New York")</f>
        <v>New York</v>
      </c>
      <c r="E545" s="8" t="str">
        <f>IFERROR(__xludf.DUMMYFUNCTION("""COMPUTED_VALUE"""),"East")</f>
        <v>East</v>
      </c>
      <c r="F545" s="10">
        <f>IFERROR(__xludf.DUMMYFUNCTION("""COMPUTED_VALUE"""),5.46)</f>
        <v>5.46</v>
      </c>
      <c r="G545" s="11">
        <f>IFERROR(__xludf.DUMMYFUNCTION("""COMPUTED_VALUE"""),3.0)</f>
        <v>3</v>
      </c>
      <c r="H545" s="11">
        <f>IFERROR(__xludf.DUMMYFUNCTION("""COMPUTED_VALUE"""),1.4742)</f>
        <v>1.4742</v>
      </c>
    </row>
    <row r="546">
      <c r="A546" s="8" t="str">
        <f>IFERROR(__xludf.DUMMYFUNCTION("""COMPUTED_VALUE"""),"CA-2014-145254")</f>
        <v>CA-2014-145254</v>
      </c>
      <c r="B546" s="9">
        <f>IFERROR(__xludf.DUMMYFUNCTION("""COMPUTED_VALUE"""),41843.0)</f>
        <v>41843</v>
      </c>
      <c r="C546" s="8" t="str">
        <f>IFERROR(__xludf.DUMMYFUNCTION("""COMPUTED_VALUE"""),"Corporate")</f>
        <v>Corporate</v>
      </c>
      <c r="D546" s="8" t="str">
        <f>IFERROR(__xludf.DUMMYFUNCTION("""COMPUTED_VALUE"""),"California")</f>
        <v>California</v>
      </c>
      <c r="E546" s="8" t="str">
        <f>IFERROR(__xludf.DUMMYFUNCTION("""COMPUTED_VALUE"""),"West")</f>
        <v>West</v>
      </c>
      <c r="F546" s="10">
        <f>IFERROR(__xludf.DUMMYFUNCTION("""COMPUTED_VALUE"""),604.752)</f>
        <v>604.752</v>
      </c>
      <c r="G546" s="11">
        <f>IFERROR(__xludf.DUMMYFUNCTION("""COMPUTED_VALUE"""),6.0)</f>
        <v>6</v>
      </c>
      <c r="H546" s="11">
        <f>IFERROR(__xludf.DUMMYFUNCTION("""COMPUTED_VALUE"""),60.4752)</f>
        <v>60.4752</v>
      </c>
    </row>
    <row r="547">
      <c r="A547" s="8" t="str">
        <f>IFERROR(__xludf.DUMMYFUNCTION("""COMPUTED_VALUE"""),"CA-2014-145317")</f>
        <v>CA-2014-145317</v>
      </c>
      <c r="B547" s="9">
        <f>IFERROR(__xludf.DUMMYFUNCTION("""COMPUTED_VALUE"""),41716.0)</f>
        <v>41716</v>
      </c>
      <c r="C547" s="8" t="str">
        <f>IFERROR(__xludf.DUMMYFUNCTION("""COMPUTED_VALUE"""),"Home Office")</f>
        <v>Home Office</v>
      </c>
      <c r="D547" s="8" t="str">
        <f>IFERROR(__xludf.DUMMYFUNCTION("""COMPUTED_VALUE"""),"Florida")</f>
        <v>Florida</v>
      </c>
      <c r="E547" s="8" t="str">
        <f>IFERROR(__xludf.DUMMYFUNCTION("""COMPUTED_VALUE"""),"South")</f>
        <v>South</v>
      </c>
      <c r="F547" s="10">
        <f>IFERROR(__xludf.DUMMYFUNCTION("""COMPUTED_VALUE"""),821.3)</f>
        <v>821.3</v>
      </c>
      <c r="G547" s="11">
        <f>IFERROR(__xludf.DUMMYFUNCTION("""COMPUTED_VALUE"""),4.0)</f>
        <v>4</v>
      </c>
      <c r="H547" s="11">
        <f>IFERROR(__xludf.DUMMYFUNCTION("""COMPUTED_VALUE"""),-16.426)</f>
        <v>-16.426</v>
      </c>
    </row>
    <row r="548">
      <c r="A548" s="8" t="str">
        <f>IFERROR(__xludf.DUMMYFUNCTION("""COMPUTED_VALUE"""),"CA-2014-145387")</f>
        <v>CA-2014-145387</v>
      </c>
      <c r="B548" s="9">
        <f>IFERROR(__xludf.DUMMYFUNCTION("""COMPUTED_VALUE"""),41943.0)</f>
        <v>41943</v>
      </c>
      <c r="C548" s="8" t="str">
        <f>IFERROR(__xludf.DUMMYFUNCTION("""COMPUTED_VALUE"""),"Consumer")</f>
        <v>Consumer</v>
      </c>
      <c r="D548" s="8" t="str">
        <f>IFERROR(__xludf.DUMMYFUNCTION("""COMPUTED_VALUE"""),"Rhode Island")</f>
        <v>Rhode Island</v>
      </c>
      <c r="E548" s="8" t="str">
        <f>IFERROR(__xludf.DUMMYFUNCTION("""COMPUTED_VALUE"""),"East")</f>
        <v>East</v>
      </c>
      <c r="F548" s="10">
        <f>IFERROR(__xludf.DUMMYFUNCTION("""COMPUTED_VALUE"""),49.25)</f>
        <v>49.25</v>
      </c>
      <c r="G548" s="11">
        <f>IFERROR(__xludf.DUMMYFUNCTION("""COMPUTED_VALUE"""),5.0)</f>
        <v>5</v>
      </c>
      <c r="H548" s="11">
        <f>IFERROR(__xludf.DUMMYFUNCTION("""COMPUTED_VALUE"""),18.715)</f>
        <v>18.715</v>
      </c>
    </row>
    <row r="549">
      <c r="A549" s="8" t="str">
        <f>IFERROR(__xludf.DUMMYFUNCTION("""COMPUTED_VALUE"""),"CA-2014-145541")</f>
        <v>CA-2014-145541</v>
      </c>
      <c r="B549" s="9">
        <f>IFERROR(__xludf.DUMMYFUNCTION("""COMPUTED_VALUE"""),41987.0)</f>
        <v>41987</v>
      </c>
      <c r="C549" s="8" t="str">
        <f>IFERROR(__xludf.DUMMYFUNCTION("""COMPUTED_VALUE"""),"Consumer")</f>
        <v>Consumer</v>
      </c>
      <c r="D549" s="8" t="str">
        <f>IFERROR(__xludf.DUMMYFUNCTION("""COMPUTED_VALUE"""),"New York")</f>
        <v>New York</v>
      </c>
      <c r="E549" s="8" t="str">
        <f>IFERROR(__xludf.DUMMYFUNCTION("""COMPUTED_VALUE"""),"East")</f>
        <v>East</v>
      </c>
      <c r="F549" s="10">
        <f>IFERROR(__xludf.DUMMYFUNCTION("""COMPUTED_VALUE"""),6999.96)</f>
        <v>6999.96</v>
      </c>
      <c r="G549" s="11">
        <f>IFERROR(__xludf.DUMMYFUNCTION("""COMPUTED_VALUE"""),4.0)</f>
        <v>4</v>
      </c>
      <c r="H549" s="11">
        <f>IFERROR(__xludf.DUMMYFUNCTION("""COMPUTED_VALUE"""),2239.9872)</f>
        <v>2239.9872</v>
      </c>
    </row>
    <row r="550">
      <c r="A550" s="8" t="str">
        <f>IFERROR(__xludf.DUMMYFUNCTION("""COMPUTED_VALUE"""),"CA-2014-145576")</f>
        <v>CA-2014-145576</v>
      </c>
      <c r="B550" s="9">
        <f>IFERROR(__xludf.DUMMYFUNCTION("""COMPUTED_VALUE"""),41896.0)</f>
        <v>41896</v>
      </c>
      <c r="C550" s="8" t="str">
        <f>IFERROR(__xludf.DUMMYFUNCTION("""COMPUTED_VALUE"""),"Consumer")</f>
        <v>Consumer</v>
      </c>
      <c r="D550" s="8" t="str">
        <f>IFERROR(__xludf.DUMMYFUNCTION("""COMPUTED_VALUE"""),"Florida")</f>
        <v>Florida</v>
      </c>
      <c r="E550" s="8" t="str">
        <f>IFERROR(__xludf.DUMMYFUNCTION("""COMPUTED_VALUE"""),"South")</f>
        <v>South</v>
      </c>
      <c r="F550" s="10">
        <f>IFERROR(__xludf.DUMMYFUNCTION("""COMPUTED_VALUE"""),13.0)</f>
        <v>13</v>
      </c>
      <c r="G550" s="11">
        <f>IFERROR(__xludf.DUMMYFUNCTION("""COMPUTED_VALUE"""),5.0)</f>
        <v>5</v>
      </c>
      <c r="H550" s="11">
        <f>IFERROR(__xludf.DUMMYFUNCTION("""COMPUTED_VALUE"""),1.3)</f>
        <v>1.3</v>
      </c>
    </row>
    <row r="551">
      <c r="A551" s="8" t="str">
        <f>IFERROR(__xludf.DUMMYFUNCTION("""COMPUTED_VALUE"""),"CA-2014-145800")</f>
        <v>CA-2014-145800</v>
      </c>
      <c r="B551" s="9">
        <f>IFERROR(__xludf.DUMMYFUNCTION("""COMPUTED_VALUE"""),41789.0)</f>
        <v>41789</v>
      </c>
      <c r="C551" s="8" t="str">
        <f>IFERROR(__xludf.DUMMYFUNCTION("""COMPUTED_VALUE"""),"Consumer")</f>
        <v>Consumer</v>
      </c>
      <c r="D551" s="8" t="str">
        <f>IFERROR(__xludf.DUMMYFUNCTION("""COMPUTED_VALUE"""),"Illinois")</f>
        <v>Illinois</v>
      </c>
      <c r="E551" s="8" t="str">
        <f>IFERROR(__xludf.DUMMYFUNCTION("""COMPUTED_VALUE"""),"Central")</f>
        <v>Central</v>
      </c>
      <c r="F551" s="10">
        <f>IFERROR(__xludf.DUMMYFUNCTION("""COMPUTED_VALUE"""),355.455)</f>
        <v>355.455</v>
      </c>
      <c r="G551" s="11">
        <f>IFERROR(__xludf.DUMMYFUNCTION("""COMPUTED_VALUE"""),3.0)</f>
        <v>3</v>
      </c>
      <c r="H551" s="11">
        <f>IFERROR(__xludf.DUMMYFUNCTION("""COMPUTED_VALUE"""),-184.8366)</f>
        <v>-184.8366</v>
      </c>
    </row>
    <row r="552">
      <c r="A552" s="8" t="str">
        <f>IFERROR(__xludf.DUMMYFUNCTION("""COMPUTED_VALUE"""),"CA-2014-145926")</f>
        <v>CA-2014-145926</v>
      </c>
      <c r="B552" s="9">
        <f>IFERROR(__xludf.DUMMYFUNCTION("""COMPUTED_VALUE"""),41960.0)</f>
        <v>41960</v>
      </c>
      <c r="C552" s="8" t="str">
        <f>IFERROR(__xludf.DUMMYFUNCTION("""COMPUTED_VALUE"""),"Home Office")</f>
        <v>Home Office</v>
      </c>
      <c r="D552" s="8" t="str">
        <f>IFERROR(__xludf.DUMMYFUNCTION("""COMPUTED_VALUE"""),"Minnesota")</f>
        <v>Minnesota</v>
      </c>
      <c r="E552" s="8" t="str">
        <f>IFERROR(__xludf.DUMMYFUNCTION("""COMPUTED_VALUE"""),"Central")</f>
        <v>Central</v>
      </c>
      <c r="F552" s="10">
        <f>IFERROR(__xludf.DUMMYFUNCTION("""COMPUTED_VALUE"""),479.9)</f>
        <v>479.9</v>
      </c>
      <c r="G552" s="11">
        <f>IFERROR(__xludf.DUMMYFUNCTION("""COMPUTED_VALUE"""),5.0)</f>
        <v>5</v>
      </c>
      <c r="H552" s="11">
        <f>IFERROR(__xludf.DUMMYFUNCTION("""COMPUTED_VALUE"""),81.583)</f>
        <v>81.583</v>
      </c>
    </row>
    <row r="553">
      <c r="A553" s="8" t="str">
        <f>IFERROR(__xludf.DUMMYFUNCTION("""COMPUTED_VALUE"""),"CA-2014-146283")</f>
        <v>CA-2014-146283</v>
      </c>
      <c r="B553" s="9">
        <f>IFERROR(__xludf.DUMMYFUNCTION("""COMPUTED_VALUE"""),41890.0)</f>
        <v>41890</v>
      </c>
      <c r="C553" s="8" t="str">
        <f>IFERROR(__xludf.DUMMYFUNCTION("""COMPUTED_VALUE"""),"Consumer")</f>
        <v>Consumer</v>
      </c>
      <c r="D553" s="8" t="str">
        <f>IFERROR(__xludf.DUMMYFUNCTION("""COMPUTED_VALUE"""),"Texas")</f>
        <v>Texas</v>
      </c>
      <c r="E553" s="8" t="str">
        <f>IFERROR(__xludf.DUMMYFUNCTION("""COMPUTED_VALUE"""),"Central")</f>
        <v>Central</v>
      </c>
      <c r="F553" s="10">
        <f>IFERROR(__xludf.DUMMYFUNCTION("""COMPUTED_VALUE"""),17.904)</f>
        <v>17.904</v>
      </c>
      <c r="G553" s="11">
        <f>IFERROR(__xludf.DUMMYFUNCTION("""COMPUTED_VALUE"""),2.0)</f>
        <v>2</v>
      </c>
      <c r="H553" s="11">
        <f>IFERROR(__xludf.DUMMYFUNCTION("""COMPUTED_VALUE"""),6.2664)</f>
        <v>6.2664</v>
      </c>
    </row>
    <row r="554">
      <c r="A554" s="8" t="str">
        <f>IFERROR(__xludf.DUMMYFUNCTION("""COMPUTED_VALUE"""),"CA-2014-146500")</f>
        <v>CA-2014-146500</v>
      </c>
      <c r="B554" s="9">
        <f>IFERROR(__xludf.DUMMYFUNCTION("""COMPUTED_VALUE"""),41881.0)</f>
        <v>41881</v>
      </c>
      <c r="C554" s="8" t="str">
        <f>IFERROR(__xludf.DUMMYFUNCTION("""COMPUTED_VALUE"""),"Consumer")</f>
        <v>Consumer</v>
      </c>
      <c r="D554" s="8" t="str">
        <f>IFERROR(__xludf.DUMMYFUNCTION("""COMPUTED_VALUE"""),"Connecticut")</f>
        <v>Connecticut</v>
      </c>
      <c r="E554" s="8" t="str">
        <f>IFERROR(__xludf.DUMMYFUNCTION("""COMPUTED_VALUE"""),"East")</f>
        <v>East</v>
      </c>
      <c r="F554" s="10">
        <f>IFERROR(__xludf.DUMMYFUNCTION("""COMPUTED_VALUE"""),25.3)</f>
        <v>25.3</v>
      </c>
      <c r="G554" s="11">
        <f>IFERROR(__xludf.DUMMYFUNCTION("""COMPUTED_VALUE"""),5.0)</f>
        <v>5</v>
      </c>
      <c r="H554" s="11">
        <f>IFERROR(__xludf.DUMMYFUNCTION("""COMPUTED_VALUE"""),11.891)</f>
        <v>11.891</v>
      </c>
    </row>
    <row r="555">
      <c r="A555" s="8" t="str">
        <f>IFERROR(__xludf.DUMMYFUNCTION("""COMPUTED_VALUE"""),"CA-2014-146528")</f>
        <v>CA-2014-146528</v>
      </c>
      <c r="B555" s="9">
        <f>IFERROR(__xludf.DUMMYFUNCTION("""COMPUTED_VALUE"""),41845.0)</f>
        <v>41845</v>
      </c>
      <c r="C555" s="8" t="str">
        <f>IFERROR(__xludf.DUMMYFUNCTION("""COMPUTED_VALUE"""),"Home Office")</f>
        <v>Home Office</v>
      </c>
      <c r="D555" s="8" t="str">
        <f>IFERROR(__xludf.DUMMYFUNCTION("""COMPUTED_VALUE"""),"California")</f>
        <v>California</v>
      </c>
      <c r="E555" s="8" t="str">
        <f>IFERROR(__xludf.DUMMYFUNCTION("""COMPUTED_VALUE"""),"West")</f>
        <v>West</v>
      </c>
      <c r="F555" s="10">
        <f>IFERROR(__xludf.DUMMYFUNCTION("""COMPUTED_VALUE"""),6.48)</f>
        <v>6.48</v>
      </c>
      <c r="G555" s="11">
        <f>IFERROR(__xludf.DUMMYFUNCTION("""COMPUTED_VALUE"""),1.0)</f>
        <v>1</v>
      </c>
      <c r="H555" s="11">
        <f>IFERROR(__xludf.DUMMYFUNCTION("""COMPUTED_VALUE"""),3.1752)</f>
        <v>3.1752</v>
      </c>
    </row>
    <row r="556">
      <c r="A556" s="8" t="str">
        <f>IFERROR(__xludf.DUMMYFUNCTION("""COMPUTED_VALUE"""),"CA-2014-146591")</f>
        <v>CA-2014-146591</v>
      </c>
      <c r="B556" s="9">
        <f>IFERROR(__xludf.DUMMYFUNCTION("""COMPUTED_VALUE"""),41658.0)</f>
        <v>41658</v>
      </c>
      <c r="C556" s="8" t="str">
        <f>IFERROR(__xludf.DUMMYFUNCTION("""COMPUTED_VALUE"""),"Consumer")</f>
        <v>Consumer</v>
      </c>
      <c r="D556" s="8" t="str">
        <f>IFERROR(__xludf.DUMMYFUNCTION("""COMPUTED_VALUE"""),"Arizona")</f>
        <v>Arizona</v>
      </c>
      <c r="E556" s="8" t="str">
        <f>IFERROR(__xludf.DUMMYFUNCTION("""COMPUTED_VALUE"""),"West")</f>
        <v>West</v>
      </c>
      <c r="F556" s="10">
        <f>IFERROR(__xludf.DUMMYFUNCTION("""COMPUTED_VALUE"""),32.34)</f>
        <v>32.34</v>
      </c>
      <c r="G556" s="11">
        <f>IFERROR(__xludf.DUMMYFUNCTION("""COMPUTED_VALUE"""),10.0)</f>
        <v>10</v>
      </c>
      <c r="H556" s="11">
        <f>IFERROR(__xludf.DUMMYFUNCTION("""COMPUTED_VALUE"""),-23.716)</f>
        <v>-23.716</v>
      </c>
    </row>
    <row r="557">
      <c r="A557" s="8" t="str">
        <f>IFERROR(__xludf.DUMMYFUNCTION("""COMPUTED_VALUE"""),"CA-2014-146640")</f>
        <v>CA-2014-146640</v>
      </c>
      <c r="B557" s="9">
        <f>IFERROR(__xludf.DUMMYFUNCTION("""COMPUTED_VALUE"""),41820.0)</f>
        <v>41820</v>
      </c>
      <c r="C557" s="8" t="str">
        <f>IFERROR(__xludf.DUMMYFUNCTION("""COMPUTED_VALUE"""),"Consumer")</f>
        <v>Consumer</v>
      </c>
      <c r="D557" s="8" t="str">
        <f>IFERROR(__xludf.DUMMYFUNCTION("""COMPUTED_VALUE"""),"New York")</f>
        <v>New York</v>
      </c>
      <c r="E557" s="8" t="str">
        <f>IFERROR(__xludf.DUMMYFUNCTION("""COMPUTED_VALUE"""),"East")</f>
        <v>East</v>
      </c>
      <c r="F557" s="10">
        <f>IFERROR(__xludf.DUMMYFUNCTION("""COMPUTED_VALUE"""),334.768)</f>
        <v>334.768</v>
      </c>
      <c r="G557" s="11">
        <f>IFERROR(__xludf.DUMMYFUNCTION("""COMPUTED_VALUE"""),7.0)</f>
        <v>7</v>
      </c>
      <c r="H557" s="11">
        <f>IFERROR(__xludf.DUMMYFUNCTION("""COMPUTED_VALUE"""),108.7996)</f>
        <v>108.7996</v>
      </c>
    </row>
    <row r="558">
      <c r="A558" s="8" t="str">
        <f>IFERROR(__xludf.DUMMYFUNCTION("""COMPUTED_VALUE"""),"CA-2014-146703")</f>
        <v>CA-2014-146703</v>
      </c>
      <c r="B558" s="9">
        <f>IFERROR(__xludf.DUMMYFUNCTION("""COMPUTED_VALUE"""),41932.0)</f>
        <v>41932</v>
      </c>
      <c r="C558" s="8" t="str">
        <f>IFERROR(__xludf.DUMMYFUNCTION("""COMPUTED_VALUE"""),"Consumer")</f>
        <v>Consumer</v>
      </c>
      <c r="D558" s="8" t="str">
        <f>IFERROR(__xludf.DUMMYFUNCTION("""COMPUTED_VALUE"""),"Michigan")</f>
        <v>Michigan</v>
      </c>
      <c r="E558" s="8" t="str">
        <f>IFERROR(__xludf.DUMMYFUNCTION("""COMPUTED_VALUE"""),"Central")</f>
        <v>Central</v>
      </c>
      <c r="F558" s="10">
        <f>IFERROR(__xludf.DUMMYFUNCTION("""COMPUTED_VALUE"""),211.96)</f>
        <v>211.96</v>
      </c>
      <c r="G558" s="11">
        <f>IFERROR(__xludf.DUMMYFUNCTION("""COMPUTED_VALUE"""),4.0)</f>
        <v>4</v>
      </c>
      <c r="H558" s="11">
        <f>IFERROR(__xludf.DUMMYFUNCTION("""COMPUTED_VALUE"""),8.4784)</f>
        <v>8.4784</v>
      </c>
    </row>
    <row r="559">
      <c r="A559" s="8" t="str">
        <f>IFERROR(__xludf.DUMMYFUNCTION("""COMPUTED_VALUE"""),"CA-2014-146731")</f>
        <v>CA-2014-146731</v>
      </c>
      <c r="B559" s="9">
        <f>IFERROR(__xludf.DUMMYFUNCTION("""COMPUTED_VALUE"""),41946.0)</f>
        <v>41946</v>
      </c>
      <c r="C559" s="8" t="str">
        <f>IFERROR(__xludf.DUMMYFUNCTION("""COMPUTED_VALUE"""),"Consumer")</f>
        <v>Consumer</v>
      </c>
      <c r="D559" s="8" t="str">
        <f>IFERROR(__xludf.DUMMYFUNCTION("""COMPUTED_VALUE"""),"Tennessee")</f>
        <v>Tennessee</v>
      </c>
      <c r="E559" s="8" t="str">
        <f>IFERROR(__xludf.DUMMYFUNCTION("""COMPUTED_VALUE"""),"South")</f>
        <v>South</v>
      </c>
      <c r="F559" s="10">
        <f>IFERROR(__xludf.DUMMYFUNCTION("""COMPUTED_VALUE"""),3.488)</f>
        <v>3.488</v>
      </c>
      <c r="G559" s="11">
        <f>IFERROR(__xludf.DUMMYFUNCTION("""COMPUTED_VALUE"""),2.0)</f>
        <v>2</v>
      </c>
      <c r="H559" s="11">
        <f>IFERROR(__xludf.DUMMYFUNCTION("""COMPUTED_VALUE"""),1.1772)</f>
        <v>1.1772</v>
      </c>
    </row>
    <row r="560">
      <c r="A560" s="8" t="str">
        <f>IFERROR(__xludf.DUMMYFUNCTION("""COMPUTED_VALUE"""),"CA-2014-146815")</f>
        <v>CA-2014-146815</v>
      </c>
      <c r="B560" s="9">
        <f>IFERROR(__xludf.DUMMYFUNCTION("""COMPUTED_VALUE"""),41890.0)</f>
        <v>41890</v>
      </c>
      <c r="C560" s="8" t="str">
        <f>IFERROR(__xludf.DUMMYFUNCTION("""COMPUTED_VALUE"""),"Home Office")</f>
        <v>Home Office</v>
      </c>
      <c r="D560" s="8" t="str">
        <f>IFERROR(__xludf.DUMMYFUNCTION("""COMPUTED_VALUE"""),"New York")</f>
        <v>New York</v>
      </c>
      <c r="E560" s="8" t="str">
        <f>IFERROR(__xludf.DUMMYFUNCTION("""COMPUTED_VALUE"""),"East")</f>
        <v>East</v>
      </c>
      <c r="F560" s="10">
        <f>IFERROR(__xludf.DUMMYFUNCTION("""COMPUTED_VALUE"""),172.764)</f>
        <v>172.764</v>
      </c>
      <c r="G560" s="11">
        <f>IFERROR(__xludf.DUMMYFUNCTION("""COMPUTED_VALUE"""),2.0)</f>
        <v>2</v>
      </c>
      <c r="H560" s="11">
        <f>IFERROR(__xludf.DUMMYFUNCTION("""COMPUTED_VALUE"""),13.4372)</f>
        <v>13.4372</v>
      </c>
    </row>
    <row r="561">
      <c r="A561" s="8" t="str">
        <f>IFERROR(__xludf.DUMMYFUNCTION("""COMPUTED_VALUE"""),"CA-2014-146843")</f>
        <v>CA-2014-146843</v>
      </c>
      <c r="B561" s="9">
        <f>IFERROR(__xludf.DUMMYFUNCTION("""COMPUTED_VALUE"""),41973.0)</f>
        <v>41973</v>
      </c>
      <c r="C561" s="8" t="str">
        <f>IFERROR(__xludf.DUMMYFUNCTION("""COMPUTED_VALUE"""),"Consumer")</f>
        <v>Consumer</v>
      </c>
      <c r="D561" s="8" t="str">
        <f>IFERROR(__xludf.DUMMYFUNCTION("""COMPUTED_VALUE"""),"Arizona")</f>
        <v>Arizona</v>
      </c>
      <c r="E561" s="8" t="str">
        <f>IFERROR(__xludf.DUMMYFUNCTION("""COMPUTED_VALUE"""),"West")</f>
        <v>West</v>
      </c>
      <c r="F561" s="10">
        <f>IFERROR(__xludf.DUMMYFUNCTION("""COMPUTED_VALUE"""),47.992)</f>
        <v>47.992</v>
      </c>
      <c r="G561" s="11">
        <f>IFERROR(__xludf.DUMMYFUNCTION("""COMPUTED_VALUE"""),7.0)</f>
        <v>7</v>
      </c>
      <c r="H561" s="11">
        <f>IFERROR(__xludf.DUMMYFUNCTION("""COMPUTED_VALUE"""),3.5994)</f>
        <v>3.5994</v>
      </c>
    </row>
    <row r="562">
      <c r="A562" s="8" t="str">
        <f>IFERROR(__xludf.DUMMYFUNCTION("""COMPUTED_VALUE"""),"CA-2014-146864")</f>
        <v>CA-2014-146864</v>
      </c>
      <c r="B562" s="9">
        <f>IFERROR(__xludf.DUMMYFUNCTION("""COMPUTED_VALUE"""),41995.0)</f>
        <v>41995</v>
      </c>
      <c r="C562" s="8" t="str">
        <f>IFERROR(__xludf.DUMMYFUNCTION("""COMPUTED_VALUE"""),"Home Office")</f>
        <v>Home Office</v>
      </c>
      <c r="D562" s="8" t="str">
        <f>IFERROR(__xludf.DUMMYFUNCTION("""COMPUTED_VALUE"""),"New York")</f>
        <v>New York</v>
      </c>
      <c r="E562" s="8" t="str">
        <f>IFERROR(__xludf.DUMMYFUNCTION("""COMPUTED_VALUE"""),"East")</f>
        <v>East</v>
      </c>
      <c r="F562" s="10">
        <f>IFERROR(__xludf.DUMMYFUNCTION("""COMPUTED_VALUE"""),216.4)</f>
        <v>216.4</v>
      </c>
      <c r="G562" s="11">
        <f>IFERROR(__xludf.DUMMYFUNCTION("""COMPUTED_VALUE"""),4.0)</f>
        <v>4</v>
      </c>
      <c r="H562" s="11">
        <f>IFERROR(__xludf.DUMMYFUNCTION("""COMPUTED_VALUE"""),56.264)</f>
        <v>56.264</v>
      </c>
    </row>
    <row r="563">
      <c r="A563" s="8" t="str">
        <f>IFERROR(__xludf.DUMMYFUNCTION("""COMPUTED_VALUE"""),"CA-2014-146885")</f>
        <v>CA-2014-146885</v>
      </c>
      <c r="B563" s="9">
        <f>IFERROR(__xludf.DUMMYFUNCTION("""COMPUTED_VALUE"""),41789.0)</f>
        <v>41789</v>
      </c>
      <c r="C563" s="8" t="str">
        <f>IFERROR(__xludf.DUMMYFUNCTION("""COMPUTED_VALUE"""),"Corporate")</f>
        <v>Corporate</v>
      </c>
      <c r="D563" s="8" t="str">
        <f>IFERROR(__xludf.DUMMYFUNCTION("""COMPUTED_VALUE"""),"Virginia")</f>
        <v>Virginia</v>
      </c>
      <c r="E563" s="8" t="str">
        <f>IFERROR(__xludf.DUMMYFUNCTION("""COMPUTED_VALUE"""),"South")</f>
        <v>South</v>
      </c>
      <c r="F563" s="10">
        <f>IFERROR(__xludf.DUMMYFUNCTION("""COMPUTED_VALUE"""),13.62)</f>
        <v>13.62</v>
      </c>
      <c r="G563" s="11">
        <f>IFERROR(__xludf.DUMMYFUNCTION("""COMPUTED_VALUE"""),3.0)</f>
        <v>3</v>
      </c>
      <c r="H563" s="11">
        <f>IFERROR(__xludf.DUMMYFUNCTION("""COMPUTED_VALUE"""),6.129)</f>
        <v>6.129</v>
      </c>
    </row>
    <row r="564">
      <c r="A564" s="8" t="str">
        <f>IFERROR(__xludf.DUMMYFUNCTION("""COMPUTED_VALUE"""),"CA-2014-146969")</f>
        <v>CA-2014-146969</v>
      </c>
      <c r="B564" s="9">
        <f>IFERROR(__xludf.DUMMYFUNCTION("""COMPUTED_VALUE"""),41911.0)</f>
        <v>41911</v>
      </c>
      <c r="C564" s="8" t="str">
        <f>IFERROR(__xludf.DUMMYFUNCTION("""COMPUTED_VALUE"""),"Consumer")</f>
        <v>Consumer</v>
      </c>
      <c r="D564" s="8" t="str">
        <f>IFERROR(__xludf.DUMMYFUNCTION("""COMPUTED_VALUE"""),"California")</f>
        <v>California</v>
      </c>
      <c r="E564" s="8" t="str">
        <f>IFERROR(__xludf.DUMMYFUNCTION("""COMPUTED_VALUE"""),"West")</f>
        <v>West</v>
      </c>
      <c r="F564" s="10">
        <f>IFERROR(__xludf.DUMMYFUNCTION("""COMPUTED_VALUE"""),204.6)</f>
        <v>204.6</v>
      </c>
      <c r="G564" s="11">
        <f>IFERROR(__xludf.DUMMYFUNCTION("""COMPUTED_VALUE"""),2.0)</f>
        <v>2</v>
      </c>
      <c r="H564" s="11">
        <f>IFERROR(__xludf.DUMMYFUNCTION("""COMPUTED_VALUE"""),53.196)</f>
        <v>53.196</v>
      </c>
    </row>
    <row r="565">
      <c r="A565" s="8" t="str">
        <f>IFERROR(__xludf.DUMMYFUNCTION("""COMPUTED_VALUE"""),"CA-2014-146990")</f>
        <v>CA-2014-146990</v>
      </c>
      <c r="B565" s="9">
        <f>IFERROR(__xludf.DUMMYFUNCTION("""COMPUTED_VALUE"""),41950.0)</f>
        <v>41950</v>
      </c>
      <c r="C565" s="8" t="str">
        <f>IFERROR(__xludf.DUMMYFUNCTION("""COMPUTED_VALUE"""),"Corporate")</f>
        <v>Corporate</v>
      </c>
      <c r="D565" s="8" t="str">
        <f>IFERROR(__xludf.DUMMYFUNCTION("""COMPUTED_VALUE"""),"New York")</f>
        <v>New York</v>
      </c>
      <c r="E565" s="8" t="str">
        <f>IFERROR(__xludf.DUMMYFUNCTION("""COMPUTED_VALUE"""),"East")</f>
        <v>East</v>
      </c>
      <c r="F565" s="10">
        <f>IFERROR(__xludf.DUMMYFUNCTION("""COMPUTED_VALUE"""),5.92)</f>
        <v>5.92</v>
      </c>
      <c r="G565" s="11">
        <f>IFERROR(__xludf.DUMMYFUNCTION("""COMPUTED_VALUE"""),4.0)</f>
        <v>4</v>
      </c>
      <c r="H565" s="11">
        <f>IFERROR(__xludf.DUMMYFUNCTION("""COMPUTED_VALUE"""),2.8416)</f>
        <v>2.8416</v>
      </c>
    </row>
    <row r="566">
      <c r="A566" s="8" t="str">
        <f>IFERROR(__xludf.DUMMYFUNCTION("""COMPUTED_VALUE"""),"CA-2014-146997")</f>
        <v>CA-2014-146997</v>
      </c>
      <c r="B566" s="9">
        <f>IFERROR(__xludf.DUMMYFUNCTION("""COMPUTED_VALUE"""),41662.0)</f>
        <v>41662</v>
      </c>
      <c r="C566" s="8" t="str">
        <f>IFERROR(__xludf.DUMMYFUNCTION("""COMPUTED_VALUE"""),"Consumer")</f>
        <v>Consumer</v>
      </c>
      <c r="D566" s="8" t="str">
        <f>IFERROR(__xludf.DUMMYFUNCTION("""COMPUTED_VALUE"""),"Indiana")</f>
        <v>Indiana</v>
      </c>
      <c r="E566" s="8" t="str">
        <f>IFERROR(__xludf.DUMMYFUNCTION("""COMPUTED_VALUE"""),"Central")</f>
        <v>Central</v>
      </c>
      <c r="F566" s="10">
        <f>IFERROR(__xludf.DUMMYFUNCTION("""COMPUTED_VALUE"""),5.94)</f>
        <v>5.94</v>
      </c>
      <c r="G566" s="11">
        <f>IFERROR(__xludf.DUMMYFUNCTION("""COMPUTED_VALUE"""),3.0)</f>
        <v>3</v>
      </c>
      <c r="H566" s="11">
        <f>IFERROR(__xludf.DUMMYFUNCTION("""COMPUTED_VALUE"""),0.0)</f>
        <v>0</v>
      </c>
    </row>
    <row r="567">
      <c r="A567" s="8" t="str">
        <f>IFERROR(__xludf.DUMMYFUNCTION("""COMPUTED_VALUE"""),"CA-2014-147235")</f>
        <v>CA-2014-147235</v>
      </c>
      <c r="B567" s="9">
        <f>IFERROR(__xludf.DUMMYFUNCTION("""COMPUTED_VALUE"""),41722.0)</f>
        <v>41722</v>
      </c>
      <c r="C567" s="8" t="str">
        <f>IFERROR(__xludf.DUMMYFUNCTION("""COMPUTED_VALUE"""),"Consumer")</f>
        <v>Consumer</v>
      </c>
      <c r="D567" s="8" t="str">
        <f>IFERROR(__xludf.DUMMYFUNCTION("""COMPUTED_VALUE"""),"New York")</f>
        <v>New York</v>
      </c>
      <c r="E567" s="8" t="str">
        <f>IFERROR(__xludf.DUMMYFUNCTION("""COMPUTED_VALUE"""),"East")</f>
        <v>East</v>
      </c>
      <c r="F567" s="10">
        <f>IFERROR(__xludf.DUMMYFUNCTION("""COMPUTED_VALUE"""),24.9)</f>
        <v>24.9</v>
      </c>
      <c r="G567" s="11">
        <f>IFERROR(__xludf.DUMMYFUNCTION("""COMPUTED_VALUE"""),5.0)</f>
        <v>5</v>
      </c>
      <c r="H567" s="11">
        <f>IFERROR(__xludf.DUMMYFUNCTION("""COMPUTED_VALUE"""),11.703)</f>
        <v>11.703</v>
      </c>
    </row>
    <row r="568">
      <c r="A568" s="8" t="str">
        <f>IFERROR(__xludf.DUMMYFUNCTION("""COMPUTED_VALUE"""),"CA-2014-147298")</f>
        <v>CA-2014-147298</v>
      </c>
      <c r="B568" s="9">
        <f>IFERROR(__xludf.DUMMYFUNCTION("""COMPUTED_VALUE"""),41755.0)</f>
        <v>41755</v>
      </c>
      <c r="C568" s="8" t="str">
        <f>IFERROR(__xludf.DUMMYFUNCTION("""COMPUTED_VALUE"""),"Corporate")</f>
        <v>Corporate</v>
      </c>
      <c r="D568" s="8" t="str">
        <f>IFERROR(__xludf.DUMMYFUNCTION("""COMPUTED_VALUE"""),"California")</f>
        <v>California</v>
      </c>
      <c r="E568" s="8" t="str">
        <f>IFERROR(__xludf.DUMMYFUNCTION("""COMPUTED_VALUE"""),"West")</f>
        <v>West</v>
      </c>
      <c r="F568" s="10">
        <f>IFERROR(__xludf.DUMMYFUNCTION("""COMPUTED_VALUE"""),230.28)</f>
        <v>230.28</v>
      </c>
      <c r="G568" s="11">
        <f>IFERROR(__xludf.DUMMYFUNCTION("""COMPUTED_VALUE"""),3.0)</f>
        <v>3</v>
      </c>
      <c r="H568" s="11">
        <f>IFERROR(__xludf.DUMMYFUNCTION("""COMPUTED_VALUE"""),23.028)</f>
        <v>23.028</v>
      </c>
    </row>
    <row r="569">
      <c r="A569" s="8" t="str">
        <f>IFERROR(__xludf.DUMMYFUNCTION("""COMPUTED_VALUE"""),"CA-2014-147543")</f>
        <v>CA-2014-147543</v>
      </c>
      <c r="B569" s="9">
        <f>IFERROR(__xludf.DUMMYFUNCTION("""COMPUTED_VALUE"""),41826.0)</f>
        <v>41826</v>
      </c>
      <c r="C569" s="8" t="str">
        <f>IFERROR(__xludf.DUMMYFUNCTION("""COMPUTED_VALUE"""),"Home Office")</f>
        <v>Home Office</v>
      </c>
      <c r="D569" s="8" t="str">
        <f>IFERROR(__xludf.DUMMYFUNCTION("""COMPUTED_VALUE"""),"California")</f>
        <v>California</v>
      </c>
      <c r="E569" s="8" t="str">
        <f>IFERROR(__xludf.DUMMYFUNCTION("""COMPUTED_VALUE"""),"West")</f>
        <v>West</v>
      </c>
      <c r="F569" s="10">
        <f>IFERROR(__xludf.DUMMYFUNCTION("""COMPUTED_VALUE"""),478.48)</f>
        <v>478.48</v>
      </c>
      <c r="G569" s="11">
        <f>IFERROR(__xludf.DUMMYFUNCTION("""COMPUTED_VALUE"""),2.0)</f>
        <v>2</v>
      </c>
      <c r="H569" s="11">
        <f>IFERROR(__xludf.DUMMYFUNCTION("""COMPUTED_VALUE"""),47.848)</f>
        <v>47.848</v>
      </c>
    </row>
    <row r="570">
      <c r="A570" s="8" t="str">
        <f>IFERROR(__xludf.DUMMYFUNCTION("""COMPUTED_VALUE"""),"CA-2014-147900")</f>
        <v>CA-2014-147900</v>
      </c>
      <c r="B570" s="9">
        <f>IFERROR(__xludf.DUMMYFUNCTION("""COMPUTED_VALUE"""),41905.0)</f>
        <v>41905</v>
      </c>
      <c r="C570" s="8" t="str">
        <f>IFERROR(__xludf.DUMMYFUNCTION("""COMPUTED_VALUE"""),"Home Office")</f>
        <v>Home Office</v>
      </c>
      <c r="D570" s="8" t="str">
        <f>IFERROR(__xludf.DUMMYFUNCTION("""COMPUTED_VALUE"""),"Ohio")</f>
        <v>Ohio</v>
      </c>
      <c r="E570" s="8" t="str">
        <f>IFERROR(__xludf.DUMMYFUNCTION("""COMPUTED_VALUE"""),"East")</f>
        <v>East</v>
      </c>
      <c r="F570" s="10">
        <f>IFERROR(__xludf.DUMMYFUNCTION("""COMPUTED_VALUE"""),28.8)</f>
        <v>28.8</v>
      </c>
      <c r="G570" s="11">
        <f>IFERROR(__xludf.DUMMYFUNCTION("""COMPUTED_VALUE"""),9.0)</f>
        <v>9</v>
      </c>
      <c r="H570" s="11">
        <f>IFERROR(__xludf.DUMMYFUNCTION("""COMPUTED_VALUE"""),10.08)</f>
        <v>10.08</v>
      </c>
    </row>
    <row r="571">
      <c r="A571" s="8" t="str">
        <f>IFERROR(__xludf.DUMMYFUNCTION("""COMPUTED_VALUE"""),"CA-2014-147914")</f>
        <v>CA-2014-147914</v>
      </c>
      <c r="B571" s="9">
        <f>IFERROR(__xludf.DUMMYFUNCTION("""COMPUTED_VALUE"""),41794.0)</f>
        <v>41794</v>
      </c>
      <c r="C571" s="8" t="str">
        <f>IFERROR(__xludf.DUMMYFUNCTION("""COMPUTED_VALUE"""),"Home Office")</f>
        <v>Home Office</v>
      </c>
      <c r="D571" s="8" t="str">
        <f>IFERROR(__xludf.DUMMYFUNCTION("""COMPUTED_VALUE"""),"Ohio")</f>
        <v>Ohio</v>
      </c>
      <c r="E571" s="8" t="str">
        <f>IFERROR(__xludf.DUMMYFUNCTION("""COMPUTED_VALUE"""),"East")</f>
        <v>East</v>
      </c>
      <c r="F571" s="10">
        <f>IFERROR(__xludf.DUMMYFUNCTION("""COMPUTED_VALUE"""),16.224)</f>
        <v>16.224</v>
      </c>
      <c r="G571" s="11">
        <f>IFERROR(__xludf.DUMMYFUNCTION("""COMPUTED_VALUE"""),2.0)</f>
        <v>2</v>
      </c>
      <c r="H571" s="11">
        <f>IFERROR(__xludf.DUMMYFUNCTION("""COMPUTED_VALUE"""),5.8812)</f>
        <v>5.8812</v>
      </c>
    </row>
    <row r="572">
      <c r="A572" s="8" t="str">
        <f>IFERROR(__xludf.DUMMYFUNCTION("""COMPUTED_VALUE"""),"CA-2014-148040")</f>
        <v>CA-2014-148040</v>
      </c>
      <c r="B572" s="9">
        <f>IFERROR(__xludf.DUMMYFUNCTION("""COMPUTED_VALUE"""),41720.0)</f>
        <v>41720</v>
      </c>
      <c r="C572" s="8" t="str">
        <f>IFERROR(__xludf.DUMMYFUNCTION("""COMPUTED_VALUE"""),"Corporate")</f>
        <v>Corporate</v>
      </c>
      <c r="D572" s="8" t="str">
        <f>IFERROR(__xludf.DUMMYFUNCTION("""COMPUTED_VALUE"""),"Arizona")</f>
        <v>Arizona</v>
      </c>
      <c r="E572" s="8" t="str">
        <f>IFERROR(__xludf.DUMMYFUNCTION("""COMPUTED_VALUE"""),"West")</f>
        <v>West</v>
      </c>
      <c r="F572" s="10">
        <f>IFERROR(__xludf.DUMMYFUNCTION("""COMPUTED_VALUE"""),74.352)</f>
        <v>74.352</v>
      </c>
      <c r="G572" s="11">
        <f>IFERROR(__xludf.DUMMYFUNCTION("""COMPUTED_VALUE"""),3.0)</f>
        <v>3</v>
      </c>
      <c r="H572" s="11">
        <f>IFERROR(__xludf.DUMMYFUNCTION("""COMPUTED_VALUE"""),23.235)</f>
        <v>23.235</v>
      </c>
    </row>
    <row r="573">
      <c r="A573" s="8" t="str">
        <f>IFERROR(__xludf.DUMMYFUNCTION("""COMPUTED_VALUE"""),"CA-2014-148285")</f>
        <v>CA-2014-148285</v>
      </c>
      <c r="B573" s="9">
        <f>IFERROR(__xludf.DUMMYFUNCTION("""COMPUTED_VALUE"""),41939.0)</f>
        <v>41939</v>
      </c>
      <c r="C573" s="8" t="str">
        <f>IFERROR(__xludf.DUMMYFUNCTION("""COMPUTED_VALUE"""),"Home Office")</f>
        <v>Home Office</v>
      </c>
      <c r="D573" s="8" t="str">
        <f>IFERROR(__xludf.DUMMYFUNCTION("""COMPUTED_VALUE"""),"North Carolina")</f>
        <v>North Carolina</v>
      </c>
      <c r="E573" s="8" t="str">
        <f>IFERROR(__xludf.DUMMYFUNCTION("""COMPUTED_VALUE"""),"South")</f>
        <v>South</v>
      </c>
      <c r="F573" s="10">
        <f>IFERROR(__xludf.DUMMYFUNCTION("""COMPUTED_VALUE"""),10.368)</f>
        <v>10.368</v>
      </c>
      <c r="G573" s="11">
        <f>IFERROR(__xludf.DUMMYFUNCTION("""COMPUTED_VALUE"""),2.0)</f>
        <v>2</v>
      </c>
      <c r="H573" s="11">
        <f>IFERROR(__xludf.DUMMYFUNCTION("""COMPUTED_VALUE"""),3.6288)</f>
        <v>3.6288</v>
      </c>
    </row>
    <row r="574">
      <c r="A574" s="8" t="str">
        <f>IFERROR(__xludf.DUMMYFUNCTION("""COMPUTED_VALUE"""),"CA-2014-148369")</f>
        <v>CA-2014-148369</v>
      </c>
      <c r="B574" s="9">
        <f>IFERROR(__xludf.DUMMYFUNCTION("""COMPUTED_VALUE"""),41905.0)</f>
        <v>41905</v>
      </c>
      <c r="C574" s="8" t="str">
        <f>IFERROR(__xludf.DUMMYFUNCTION("""COMPUTED_VALUE"""),"Corporate")</f>
        <v>Corporate</v>
      </c>
      <c r="D574" s="8" t="str">
        <f>IFERROR(__xludf.DUMMYFUNCTION("""COMPUTED_VALUE"""),"Delaware")</f>
        <v>Delaware</v>
      </c>
      <c r="E574" s="8" t="str">
        <f>IFERROR(__xludf.DUMMYFUNCTION("""COMPUTED_VALUE"""),"East")</f>
        <v>East</v>
      </c>
      <c r="F574" s="10">
        <f>IFERROR(__xludf.DUMMYFUNCTION("""COMPUTED_VALUE"""),11.12)</f>
        <v>11.12</v>
      </c>
      <c r="G574" s="11">
        <f>IFERROR(__xludf.DUMMYFUNCTION("""COMPUTED_VALUE"""),4.0)</f>
        <v>4</v>
      </c>
      <c r="H574" s="11">
        <f>IFERROR(__xludf.DUMMYFUNCTION("""COMPUTED_VALUE"""),5.4488)</f>
        <v>5.4488</v>
      </c>
    </row>
    <row r="575">
      <c r="A575" s="8" t="str">
        <f>IFERROR(__xludf.DUMMYFUNCTION("""COMPUTED_VALUE"""),"CA-2014-148383")</f>
        <v>CA-2014-148383</v>
      </c>
      <c r="B575" s="9">
        <f>IFERROR(__xludf.DUMMYFUNCTION("""COMPUTED_VALUE"""),42000.0)</f>
        <v>42000</v>
      </c>
      <c r="C575" s="8" t="str">
        <f>IFERROR(__xludf.DUMMYFUNCTION("""COMPUTED_VALUE"""),"Consumer")</f>
        <v>Consumer</v>
      </c>
      <c r="D575" s="8" t="str">
        <f>IFERROR(__xludf.DUMMYFUNCTION("""COMPUTED_VALUE"""),"Arizona")</f>
        <v>Arizona</v>
      </c>
      <c r="E575" s="8" t="str">
        <f>IFERROR(__xludf.DUMMYFUNCTION("""COMPUTED_VALUE"""),"West")</f>
        <v>West</v>
      </c>
      <c r="F575" s="10">
        <f>IFERROR(__xludf.DUMMYFUNCTION("""COMPUTED_VALUE"""),946.764)</f>
        <v>946.764</v>
      </c>
      <c r="G575" s="11">
        <f>IFERROR(__xludf.DUMMYFUNCTION("""COMPUTED_VALUE"""),6.0)</f>
        <v>6</v>
      </c>
      <c r="H575" s="11">
        <f>IFERROR(__xludf.DUMMYFUNCTION("""COMPUTED_VALUE"""),-694.2936)</f>
        <v>-694.2936</v>
      </c>
    </row>
    <row r="576">
      <c r="A576" s="8" t="str">
        <f>IFERROR(__xludf.DUMMYFUNCTION("""COMPUTED_VALUE"""),"CA-2014-148425")</f>
        <v>CA-2014-148425</v>
      </c>
      <c r="B576" s="9">
        <f>IFERROR(__xludf.DUMMYFUNCTION("""COMPUTED_VALUE"""),41973.0)</f>
        <v>41973</v>
      </c>
      <c r="C576" s="8" t="str">
        <f>IFERROR(__xludf.DUMMYFUNCTION("""COMPUTED_VALUE"""),"Corporate")</f>
        <v>Corporate</v>
      </c>
      <c r="D576" s="8" t="str">
        <f>IFERROR(__xludf.DUMMYFUNCTION("""COMPUTED_VALUE"""),"Florida")</f>
        <v>Florida</v>
      </c>
      <c r="E576" s="8" t="str">
        <f>IFERROR(__xludf.DUMMYFUNCTION("""COMPUTED_VALUE"""),"South")</f>
        <v>South</v>
      </c>
      <c r="F576" s="10">
        <f>IFERROR(__xludf.DUMMYFUNCTION("""COMPUTED_VALUE"""),6.642)</f>
        <v>6.642</v>
      </c>
      <c r="G576" s="11">
        <f>IFERROR(__xludf.DUMMYFUNCTION("""COMPUTED_VALUE"""),9.0)</f>
        <v>9</v>
      </c>
      <c r="H576" s="11">
        <f>IFERROR(__xludf.DUMMYFUNCTION("""COMPUTED_VALUE"""),-4.428)</f>
        <v>-4.428</v>
      </c>
    </row>
    <row r="577">
      <c r="A577" s="8" t="str">
        <f>IFERROR(__xludf.DUMMYFUNCTION("""COMPUTED_VALUE"""),"CA-2014-148488")</f>
        <v>CA-2014-148488</v>
      </c>
      <c r="B577" s="9">
        <f>IFERROR(__xludf.DUMMYFUNCTION("""COMPUTED_VALUE"""),41983.0)</f>
        <v>41983</v>
      </c>
      <c r="C577" s="8" t="str">
        <f>IFERROR(__xludf.DUMMYFUNCTION("""COMPUTED_VALUE"""),"Consumer")</f>
        <v>Consumer</v>
      </c>
      <c r="D577" s="8" t="str">
        <f>IFERROR(__xludf.DUMMYFUNCTION("""COMPUTED_VALUE"""),"New York")</f>
        <v>New York</v>
      </c>
      <c r="E577" s="8" t="str">
        <f>IFERROR(__xludf.DUMMYFUNCTION("""COMPUTED_VALUE"""),"East")</f>
        <v>East</v>
      </c>
      <c r="F577" s="10">
        <f>IFERROR(__xludf.DUMMYFUNCTION("""COMPUTED_VALUE"""),11.36)</f>
        <v>11.36</v>
      </c>
      <c r="G577" s="11">
        <f>IFERROR(__xludf.DUMMYFUNCTION("""COMPUTED_VALUE"""),2.0)</f>
        <v>2</v>
      </c>
      <c r="H577" s="11">
        <f>IFERROR(__xludf.DUMMYFUNCTION("""COMPUTED_VALUE"""),5.2256)</f>
        <v>5.2256</v>
      </c>
    </row>
    <row r="578">
      <c r="A578" s="8" t="str">
        <f>IFERROR(__xludf.DUMMYFUNCTION("""COMPUTED_VALUE"""),"CA-2014-148586")</f>
        <v>CA-2014-148586</v>
      </c>
      <c r="B578" s="9">
        <f>IFERROR(__xludf.DUMMYFUNCTION("""COMPUTED_VALUE"""),41723.0)</f>
        <v>41723</v>
      </c>
      <c r="C578" s="8" t="str">
        <f>IFERROR(__xludf.DUMMYFUNCTION("""COMPUTED_VALUE"""),"Consumer")</f>
        <v>Consumer</v>
      </c>
      <c r="D578" s="8" t="str">
        <f>IFERROR(__xludf.DUMMYFUNCTION("""COMPUTED_VALUE"""),"New York")</f>
        <v>New York</v>
      </c>
      <c r="E578" s="8" t="str">
        <f>IFERROR(__xludf.DUMMYFUNCTION("""COMPUTED_VALUE"""),"East")</f>
        <v>East</v>
      </c>
      <c r="F578" s="10">
        <f>IFERROR(__xludf.DUMMYFUNCTION("""COMPUTED_VALUE"""),366.786)</f>
        <v>366.786</v>
      </c>
      <c r="G578" s="11">
        <f>IFERROR(__xludf.DUMMYFUNCTION("""COMPUTED_VALUE"""),7.0)</f>
        <v>7</v>
      </c>
      <c r="H578" s="11">
        <f>IFERROR(__xludf.DUMMYFUNCTION("""COMPUTED_VALUE"""),65.2064)</f>
        <v>65.2064</v>
      </c>
    </row>
    <row r="579">
      <c r="A579" s="8" t="str">
        <f>IFERROR(__xludf.DUMMYFUNCTION("""COMPUTED_VALUE"""),"CA-2014-148614")</f>
        <v>CA-2014-148614</v>
      </c>
      <c r="B579" s="9">
        <f>IFERROR(__xludf.DUMMYFUNCTION("""COMPUTED_VALUE"""),41659.0)</f>
        <v>41659</v>
      </c>
      <c r="C579" s="8" t="str">
        <f>IFERROR(__xludf.DUMMYFUNCTION("""COMPUTED_VALUE"""),"Consumer")</f>
        <v>Consumer</v>
      </c>
      <c r="D579" s="8" t="str">
        <f>IFERROR(__xludf.DUMMYFUNCTION("""COMPUTED_VALUE"""),"California")</f>
        <v>California</v>
      </c>
      <c r="E579" s="8" t="str">
        <f>IFERROR(__xludf.DUMMYFUNCTION("""COMPUTED_VALUE"""),"West")</f>
        <v>West</v>
      </c>
      <c r="F579" s="10">
        <f>IFERROR(__xludf.DUMMYFUNCTION("""COMPUTED_VALUE"""),19.36)</f>
        <v>19.36</v>
      </c>
      <c r="G579" s="11">
        <f>IFERROR(__xludf.DUMMYFUNCTION("""COMPUTED_VALUE"""),2.0)</f>
        <v>2</v>
      </c>
      <c r="H579" s="11">
        <f>IFERROR(__xludf.DUMMYFUNCTION("""COMPUTED_VALUE"""),9.2928)</f>
        <v>9.2928</v>
      </c>
    </row>
    <row r="580">
      <c r="A580" s="8" t="str">
        <f>IFERROR(__xludf.DUMMYFUNCTION("""COMPUTED_VALUE"""),"CA-2014-148761")</f>
        <v>CA-2014-148761</v>
      </c>
      <c r="B580" s="9">
        <f>IFERROR(__xludf.DUMMYFUNCTION("""COMPUTED_VALUE"""),41776.0)</f>
        <v>41776</v>
      </c>
      <c r="C580" s="8" t="str">
        <f>IFERROR(__xludf.DUMMYFUNCTION("""COMPUTED_VALUE"""),"Home Office")</f>
        <v>Home Office</v>
      </c>
      <c r="D580" s="8" t="str">
        <f>IFERROR(__xludf.DUMMYFUNCTION("""COMPUTED_VALUE"""),"Wisconsin")</f>
        <v>Wisconsin</v>
      </c>
      <c r="E580" s="8" t="str">
        <f>IFERROR(__xludf.DUMMYFUNCTION("""COMPUTED_VALUE"""),"Central")</f>
        <v>Central</v>
      </c>
      <c r="F580" s="10">
        <f>IFERROR(__xludf.DUMMYFUNCTION("""COMPUTED_VALUE"""),91.68)</f>
        <v>91.68</v>
      </c>
      <c r="G580" s="11">
        <f>IFERROR(__xludf.DUMMYFUNCTION("""COMPUTED_VALUE"""),3.0)</f>
        <v>3</v>
      </c>
      <c r="H580" s="11">
        <f>IFERROR(__xludf.DUMMYFUNCTION("""COMPUTED_VALUE"""),45.84)</f>
        <v>45.84</v>
      </c>
    </row>
    <row r="581">
      <c r="A581" s="8" t="str">
        <f>IFERROR(__xludf.DUMMYFUNCTION("""COMPUTED_VALUE"""),"CA-2014-148782")</f>
        <v>CA-2014-148782</v>
      </c>
      <c r="B581" s="9">
        <f>IFERROR(__xludf.DUMMYFUNCTION("""COMPUTED_VALUE"""),41945.0)</f>
        <v>41945</v>
      </c>
      <c r="C581" s="8" t="str">
        <f>IFERROR(__xludf.DUMMYFUNCTION("""COMPUTED_VALUE"""),"Consumer")</f>
        <v>Consumer</v>
      </c>
      <c r="D581" s="8" t="str">
        <f>IFERROR(__xludf.DUMMYFUNCTION("""COMPUTED_VALUE"""),"Texas")</f>
        <v>Texas</v>
      </c>
      <c r="E581" s="8" t="str">
        <f>IFERROR(__xludf.DUMMYFUNCTION("""COMPUTED_VALUE"""),"Central")</f>
        <v>Central</v>
      </c>
      <c r="F581" s="10">
        <f>IFERROR(__xludf.DUMMYFUNCTION("""COMPUTED_VALUE"""),88.776)</f>
        <v>88.776</v>
      </c>
      <c r="G581" s="11">
        <f>IFERROR(__xludf.DUMMYFUNCTION("""COMPUTED_VALUE"""),3.0)</f>
        <v>3</v>
      </c>
      <c r="H581" s="11">
        <f>IFERROR(__xludf.DUMMYFUNCTION("""COMPUTED_VALUE"""),7.7679)</f>
        <v>7.7679</v>
      </c>
    </row>
    <row r="582">
      <c r="A582" s="8" t="str">
        <f>IFERROR(__xludf.DUMMYFUNCTION("""COMPUTED_VALUE"""),"CA-2014-148915")</f>
        <v>CA-2014-148915</v>
      </c>
      <c r="B582" s="9">
        <f>IFERROR(__xludf.DUMMYFUNCTION("""COMPUTED_VALUE"""),41944.0)</f>
        <v>41944</v>
      </c>
      <c r="C582" s="8" t="str">
        <f>IFERROR(__xludf.DUMMYFUNCTION("""COMPUTED_VALUE"""),"Consumer")</f>
        <v>Consumer</v>
      </c>
      <c r="D582" s="8" t="str">
        <f>IFERROR(__xludf.DUMMYFUNCTION("""COMPUTED_VALUE"""),"Oregon")</f>
        <v>Oregon</v>
      </c>
      <c r="E582" s="8" t="str">
        <f>IFERROR(__xludf.DUMMYFUNCTION("""COMPUTED_VALUE"""),"West")</f>
        <v>West</v>
      </c>
      <c r="F582" s="10">
        <f>IFERROR(__xludf.DUMMYFUNCTION("""COMPUTED_VALUE"""),443.92)</f>
        <v>443.92</v>
      </c>
      <c r="G582" s="11">
        <f>IFERROR(__xludf.DUMMYFUNCTION("""COMPUTED_VALUE"""),5.0)</f>
        <v>5</v>
      </c>
      <c r="H582" s="11">
        <f>IFERROR(__xludf.DUMMYFUNCTION("""COMPUTED_VALUE"""),-94.333)</f>
        <v>-94.333</v>
      </c>
    </row>
    <row r="583">
      <c r="A583" s="8" t="str">
        <f>IFERROR(__xludf.DUMMYFUNCTION("""COMPUTED_VALUE"""),"CA-2014-148950")</f>
        <v>CA-2014-148950</v>
      </c>
      <c r="B583" s="9">
        <f>IFERROR(__xludf.DUMMYFUNCTION("""COMPUTED_VALUE"""),41987.0)</f>
        <v>41987</v>
      </c>
      <c r="C583" s="8" t="str">
        <f>IFERROR(__xludf.DUMMYFUNCTION("""COMPUTED_VALUE"""),"Consumer")</f>
        <v>Consumer</v>
      </c>
      <c r="D583" s="8" t="str">
        <f>IFERROR(__xludf.DUMMYFUNCTION("""COMPUTED_VALUE"""),"Illinois")</f>
        <v>Illinois</v>
      </c>
      <c r="E583" s="8" t="str">
        <f>IFERROR(__xludf.DUMMYFUNCTION("""COMPUTED_VALUE"""),"Central")</f>
        <v>Central</v>
      </c>
      <c r="F583" s="10">
        <f>IFERROR(__xludf.DUMMYFUNCTION("""COMPUTED_VALUE"""),5.104)</f>
        <v>5.104</v>
      </c>
      <c r="G583" s="11">
        <f>IFERROR(__xludf.DUMMYFUNCTION("""COMPUTED_VALUE"""),4.0)</f>
        <v>4</v>
      </c>
      <c r="H583" s="11">
        <f>IFERROR(__xludf.DUMMYFUNCTION("""COMPUTED_VALUE"""),-8.6768)</f>
        <v>-8.6768</v>
      </c>
    </row>
    <row r="584">
      <c r="A584" s="8" t="str">
        <f>IFERROR(__xludf.DUMMYFUNCTION("""COMPUTED_VALUE"""),"CA-2014-149020")</f>
        <v>CA-2014-149020</v>
      </c>
      <c r="B584" s="9">
        <f>IFERROR(__xludf.DUMMYFUNCTION("""COMPUTED_VALUE"""),41649.0)</f>
        <v>41649</v>
      </c>
      <c r="C584" s="8" t="str">
        <f>IFERROR(__xludf.DUMMYFUNCTION("""COMPUTED_VALUE"""),"Corporate")</f>
        <v>Corporate</v>
      </c>
      <c r="D584" s="8" t="str">
        <f>IFERROR(__xludf.DUMMYFUNCTION("""COMPUTED_VALUE"""),"Virginia")</f>
        <v>Virginia</v>
      </c>
      <c r="E584" s="8" t="str">
        <f>IFERROR(__xludf.DUMMYFUNCTION("""COMPUTED_VALUE"""),"South")</f>
        <v>South</v>
      </c>
      <c r="F584" s="10">
        <f>IFERROR(__xludf.DUMMYFUNCTION("""COMPUTED_VALUE"""),2.89)</f>
        <v>2.89</v>
      </c>
      <c r="G584" s="11">
        <f>IFERROR(__xludf.DUMMYFUNCTION("""COMPUTED_VALUE"""),1.0)</f>
        <v>1</v>
      </c>
      <c r="H584" s="11">
        <f>IFERROR(__xludf.DUMMYFUNCTION("""COMPUTED_VALUE"""),1.3583)</f>
        <v>1.3583</v>
      </c>
    </row>
    <row r="585">
      <c r="A585" s="8" t="str">
        <f>IFERROR(__xludf.DUMMYFUNCTION("""COMPUTED_VALUE"""),"CA-2014-149055")</f>
        <v>CA-2014-149055</v>
      </c>
      <c r="B585" s="9">
        <f>IFERROR(__xludf.DUMMYFUNCTION("""COMPUTED_VALUE"""),41966.0)</f>
        <v>41966</v>
      </c>
      <c r="C585" s="8" t="str">
        <f>IFERROR(__xludf.DUMMYFUNCTION("""COMPUTED_VALUE"""),"Corporate")</f>
        <v>Corporate</v>
      </c>
      <c r="D585" s="8" t="str">
        <f>IFERROR(__xludf.DUMMYFUNCTION("""COMPUTED_VALUE"""),"Pennsylvania")</f>
        <v>Pennsylvania</v>
      </c>
      <c r="E585" s="8" t="str">
        <f>IFERROR(__xludf.DUMMYFUNCTION("""COMPUTED_VALUE"""),"East")</f>
        <v>East</v>
      </c>
      <c r="F585" s="10">
        <f>IFERROR(__xludf.DUMMYFUNCTION("""COMPUTED_VALUE"""),62.808)</f>
        <v>62.808</v>
      </c>
      <c r="G585" s="11">
        <f>IFERROR(__xludf.DUMMYFUNCTION("""COMPUTED_VALUE"""),3.0)</f>
        <v>3</v>
      </c>
      <c r="H585" s="11">
        <f>IFERROR(__xludf.DUMMYFUNCTION("""COMPUTED_VALUE"""),21.1977)</f>
        <v>21.1977</v>
      </c>
    </row>
    <row r="586">
      <c r="A586" s="8" t="str">
        <f>IFERROR(__xludf.DUMMYFUNCTION("""COMPUTED_VALUE"""),"CA-2014-149104")</f>
        <v>CA-2014-149104</v>
      </c>
      <c r="B586" s="9">
        <f>IFERROR(__xludf.DUMMYFUNCTION("""COMPUTED_VALUE"""),41734.0)</f>
        <v>41734</v>
      </c>
      <c r="C586" s="8" t="str">
        <f>IFERROR(__xludf.DUMMYFUNCTION("""COMPUTED_VALUE"""),"Consumer")</f>
        <v>Consumer</v>
      </c>
      <c r="D586" s="8" t="str">
        <f>IFERROR(__xludf.DUMMYFUNCTION("""COMPUTED_VALUE"""),"Michigan")</f>
        <v>Michigan</v>
      </c>
      <c r="E586" s="8" t="str">
        <f>IFERROR(__xludf.DUMMYFUNCTION("""COMPUTED_VALUE"""),"Central")</f>
        <v>Central</v>
      </c>
      <c r="F586" s="10">
        <f>IFERROR(__xludf.DUMMYFUNCTION("""COMPUTED_VALUE"""),26.7)</f>
        <v>26.7</v>
      </c>
      <c r="G586" s="11">
        <f>IFERROR(__xludf.DUMMYFUNCTION("""COMPUTED_VALUE"""),2.0)</f>
        <v>2</v>
      </c>
      <c r="H586" s="11">
        <f>IFERROR(__xludf.DUMMYFUNCTION("""COMPUTED_VALUE"""),7.476)</f>
        <v>7.476</v>
      </c>
    </row>
    <row r="587">
      <c r="A587" s="8" t="str">
        <f>IFERROR(__xludf.DUMMYFUNCTION("""COMPUTED_VALUE"""),"CA-2014-149244")</f>
        <v>CA-2014-149244</v>
      </c>
      <c r="B587" s="9">
        <f>IFERROR(__xludf.DUMMYFUNCTION("""COMPUTED_VALUE"""),41947.0)</f>
        <v>41947</v>
      </c>
      <c r="C587" s="8" t="str">
        <f>IFERROR(__xludf.DUMMYFUNCTION("""COMPUTED_VALUE"""),"Consumer")</f>
        <v>Consumer</v>
      </c>
      <c r="D587" s="8" t="str">
        <f>IFERROR(__xludf.DUMMYFUNCTION("""COMPUTED_VALUE"""),"California")</f>
        <v>California</v>
      </c>
      <c r="E587" s="8" t="str">
        <f>IFERROR(__xludf.DUMMYFUNCTION("""COMPUTED_VALUE"""),"West")</f>
        <v>West</v>
      </c>
      <c r="F587" s="10">
        <f>IFERROR(__xludf.DUMMYFUNCTION("""COMPUTED_VALUE"""),35.34)</f>
        <v>35.34</v>
      </c>
      <c r="G587" s="11">
        <f>IFERROR(__xludf.DUMMYFUNCTION("""COMPUTED_VALUE"""),2.0)</f>
        <v>2</v>
      </c>
      <c r="H587" s="11">
        <f>IFERROR(__xludf.DUMMYFUNCTION("""COMPUTED_VALUE"""),13.4292)</f>
        <v>13.4292</v>
      </c>
    </row>
    <row r="588">
      <c r="A588" s="8" t="str">
        <f>IFERROR(__xludf.DUMMYFUNCTION("""COMPUTED_VALUE"""),"CA-2014-149524")</f>
        <v>CA-2014-149524</v>
      </c>
      <c r="B588" s="9">
        <f>IFERROR(__xludf.DUMMYFUNCTION("""COMPUTED_VALUE"""),41653.0)</f>
        <v>41653</v>
      </c>
      <c r="C588" s="8" t="str">
        <f>IFERROR(__xludf.DUMMYFUNCTION("""COMPUTED_VALUE"""),"Corporate")</f>
        <v>Corporate</v>
      </c>
      <c r="D588" s="8" t="str">
        <f>IFERROR(__xludf.DUMMYFUNCTION("""COMPUTED_VALUE"""),"Pennsylvania")</f>
        <v>Pennsylvania</v>
      </c>
      <c r="E588" s="8" t="str">
        <f>IFERROR(__xludf.DUMMYFUNCTION("""COMPUTED_VALUE"""),"East")</f>
        <v>East</v>
      </c>
      <c r="F588" s="10">
        <f>IFERROR(__xludf.DUMMYFUNCTION("""COMPUTED_VALUE"""),61.96)</f>
        <v>61.96</v>
      </c>
      <c r="G588" s="11">
        <f>IFERROR(__xludf.DUMMYFUNCTION("""COMPUTED_VALUE"""),4.0)</f>
        <v>4</v>
      </c>
      <c r="H588" s="11">
        <f>IFERROR(__xludf.DUMMYFUNCTION("""COMPUTED_VALUE"""),-53.2856)</f>
        <v>-53.2856</v>
      </c>
    </row>
    <row r="589">
      <c r="A589" s="8" t="str">
        <f>IFERROR(__xludf.DUMMYFUNCTION("""COMPUTED_VALUE"""),"CA-2014-149538")</f>
        <v>CA-2014-149538</v>
      </c>
      <c r="B589" s="9">
        <f>IFERROR(__xludf.DUMMYFUNCTION("""COMPUTED_VALUE"""),41733.0)</f>
        <v>41733</v>
      </c>
      <c r="C589" s="8" t="str">
        <f>IFERROR(__xludf.DUMMYFUNCTION("""COMPUTED_VALUE"""),"Corporate")</f>
        <v>Corporate</v>
      </c>
      <c r="D589" s="8" t="str">
        <f>IFERROR(__xludf.DUMMYFUNCTION("""COMPUTED_VALUE"""),"Louisiana")</f>
        <v>Louisiana</v>
      </c>
      <c r="E589" s="8" t="str">
        <f>IFERROR(__xludf.DUMMYFUNCTION("""COMPUTED_VALUE"""),"South")</f>
        <v>South</v>
      </c>
      <c r="F589" s="10">
        <f>IFERROR(__xludf.DUMMYFUNCTION("""COMPUTED_VALUE"""),232.55)</f>
        <v>232.55</v>
      </c>
      <c r="G589" s="11">
        <f>IFERROR(__xludf.DUMMYFUNCTION("""COMPUTED_VALUE"""),5.0)</f>
        <v>5</v>
      </c>
      <c r="H589" s="11">
        <f>IFERROR(__xludf.DUMMYFUNCTION("""COMPUTED_VALUE"""),9.302)</f>
        <v>9.302</v>
      </c>
    </row>
    <row r="590">
      <c r="A590" s="8" t="str">
        <f>IFERROR(__xludf.DUMMYFUNCTION("""COMPUTED_VALUE"""),"CA-2014-149594")</f>
        <v>CA-2014-149594</v>
      </c>
      <c r="B590" s="9">
        <f>IFERROR(__xludf.DUMMYFUNCTION("""COMPUTED_VALUE"""),41897.0)</f>
        <v>41897</v>
      </c>
      <c r="C590" s="8" t="str">
        <f>IFERROR(__xludf.DUMMYFUNCTION("""COMPUTED_VALUE"""),"Corporate")</f>
        <v>Corporate</v>
      </c>
      <c r="D590" s="8" t="str">
        <f>IFERROR(__xludf.DUMMYFUNCTION("""COMPUTED_VALUE"""),"Pennsylvania")</f>
        <v>Pennsylvania</v>
      </c>
      <c r="E590" s="8" t="str">
        <f>IFERROR(__xludf.DUMMYFUNCTION("""COMPUTED_VALUE"""),"East")</f>
        <v>East</v>
      </c>
      <c r="F590" s="10">
        <f>IFERROR(__xludf.DUMMYFUNCTION("""COMPUTED_VALUE"""),103.936)</f>
        <v>103.936</v>
      </c>
      <c r="G590" s="11">
        <f>IFERROR(__xludf.DUMMYFUNCTION("""COMPUTED_VALUE"""),4.0)</f>
        <v>4</v>
      </c>
      <c r="H590" s="11">
        <f>IFERROR(__xludf.DUMMYFUNCTION("""COMPUTED_VALUE"""),16.8896)</f>
        <v>16.8896</v>
      </c>
    </row>
    <row r="591">
      <c r="A591" s="8" t="str">
        <f>IFERROR(__xludf.DUMMYFUNCTION("""COMPUTED_VALUE"""),"CA-2014-149643")</f>
        <v>CA-2014-149643</v>
      </c>
      <c r="B591" s="9">
        <f>IFERROR(__xludf.DUMMYFUNCTION("""COMPUTED_VALUE"""),41959.0)</f>
        <v>41959</v>
      </c>
      <c r="C591" s="8" t="str">
        <f>IFERROR(__xludf.DUMMYFUNCTION("""COMPUTED_VALUE"""),"Home Office")</f>
        <v>Home Office</v>
      </c>
      <c r="D591" s="8" t="str">
        <f>IFERROR(__xludf.DUMMYFUNCTION("""COMPUTED_VALUE"""),"Kansas")</f>
        <v>Kansas</v>
      </c>
      <c r="E591" s="8" t="str">
        <f>IFERROR(__xludf.DUMMYFUNCTION("""COMPUTED_VALUE"""),"Central")</f>
        <v>Central</v>
      </c>
      <c r="F591" s="10">
        <f>IFERROR(__xludf.DUMMYFUNCTION("""COMPUTED_VALUE"""),273.96)</f>
        <v>273.96</v>
      </c>
      <c r="G591" s="11">
        <f>IFERROR(__xludf.DUMMYFUNCTION("""COMPUTED_VALUE"""),2.0)</f>
        <v>2</v>
      </c>
      <c r="H591" s="11">
        <f>IFERROR(__xludf.DUMMYFUNCTION("""COMPUTED_VALUE"""),10.9584)</f>
        <v>10.9584</v>
      </c>
    </row>
    <row r="592">
      <c r="A592" s="8" t="str">
        <f>IFERROR(__xludf.DUMMYFUNCTION("""COMPUTED_VALUE"""),"CA-2014-149958")</f>
        <v>CA-2014-149958</v>
      </c>
      <c r="B592" s="9">
        <f>IFERROR(__xludf.DUMMYFUNCTION("""COMPUTED_VALUE"""),41713.0)</f>
        <v>41713</v>
      </c>
      <c r="C592" s="8" t="str">
        <f>IFERROR(__xludf.DUMMYFUNCTION("""COMPUTED_VALUE"""),"Consumer")</f>
        <v>Consumer</v>
      </c>
      <c r="D592" s="8" t="str">
        <f>IFERROR(__xludf.DUMMYFUNCTION("""COMPUTED_VALUE"""),"Florida")</f>
        <v>Florida</v>
      </c>
      <c r="E592" s="8" t="str">
        <f>IFERROR(__xludf.DUMMYFUNCTION("""COMPUTED_VALUE"""),"South")</f>
        <v>South</v>
      </c>
      <c r="F592" s="10">
        <f>IFERROR(__xludf.DUMMYFUNCTION("""COMPUTED_VALUE"""),142.776)</f>
        <v>142.776</v>
      </c>
      <c r="G592" s="11">
        <f>IFERROR(__xludf.DUMMYFUNCTION("""COMPUTED_VALUE"""),1.0)</f>
        <v>1</v>
      </c>
      <c r="H592" s="11">
        <f>IFERROR(__xludf.DUMMYFUNCTION("""COMPUTED_VALUE"""),17.847)</f>
        <v>17.847</v>
      </c>
    </row>
    <row r="593">
      <c r="A593" s="8" t="str">
        <f>IFERROR(__xludf.DUMMYFUNCTION("""COMPUTED_VALUE"""),"CA-2014-150203")</f>
        <v>CA-2014-150203</v>
      </c>
      <c r="B593" s="9">
        <f>IFERROR(__xludf.DUMMYFUNCTION("""COMPUTED_VALUE"""),41978.0)</f>
        <v>41978</v>
      </c>
      <c r="C593" s="8" t="str">
        <f>IFERROR(__xludf.DUMMYFUNCTION("""COMPUTED_VALUE"""),"Consumer")</f>
        <v>Consumer</v>
      </c>
      <c r="D593" s="8" t="str">
        <f>IFERROR(__xludf.DUMMYFUNCTION("""COMPUTED_VALUE"""),"California")</f>
        <v>California</v>
      </c>
      <c r="E593" s="8" t="str">
        <f>IFERROR(__xludf.DUMMYFUNCTION("""COMPUTED_VALUE"""),"West")</f>
        <v>West</v>
      </c>
      <c r="F593" s="10">
        <f>IFERROR(__xludf.DUMMYFUNCTION("""COMPUTED_VALUE"""),250.26)</f>
        <v>250.26</v>
      </c>
      <c r="G593" s="11">
        <f>IFERROR(__xludf.DUMMYFUNCTION("""COMPUTED_VALUE"""),6.0)</f>
        <v>6</v>
      </c>
      <c r="H593" s="11">
        <f>IFERROR(__xludf.DUMMYFUNCTION("""COMPUTED_VALUE"""),72.5754)</f>
        <v>72.5754</v>
      </c>
    </row>
    <row r="594">
      <c r="A594" s="8" t="str">
        <f>IFERROR(__xludf.DUMMYFUNCTION("""COMPUTED_VALUE"""),"CA-2014-150245")</f>
        <v>CA-2014-150245</v>
      </c>
      <c r="B594" s="9">
        <f>IFERROR(__xludf.DUMMYFUNCTION("""COMPUTED_VALUE"""),42004.0)</f>
        <v>42004</v>
      </c>
      <c r="C594" s="8" t="str">
        <f>IFERROR(__xludf.DUMMYFUNCTION("""COMPUTED_VALUE"""),"Corporate")</f>
        <v>Corporate</v>
      </c>
      <c r="D594" s="8" t="str">
        <f>IFERROR(__xludf.DUMMYFUNCTION("""COMPUTED_VALUE"""),"New York")</f>
        <v>New York</v>
      </c>
      <c r="E594" s="8" t="str">
        <f>IFERROR(__xludf.DUMMYFUNCTION("""COMPUTED_VALUE"""),"East")</f>
        <v>East</v>
      </c>
      <c r="F594" s="10">
        <f>IFERROR(__xludf.DUMMYFUNCTION("""COMPUTED_VALUE"""),1573.488)</f>
        <v>1573.488</v>
      </c>
      <c r="G594" s="11">
        <f>IFERROR(__xludf.DUMMYFUNCTION("""COMPUTED_VALUE"""),7.0)</f>
        <v>7</v>
      </c>
      <c r="H594" s="11">
        <f>IFERROR(__xludf.DUMMYFUNCTION("""COMPUTED_VALUE"""),196.686)</f>
        <v>196.686</v>
      </c>
    </row>
    <row r="595">
      <c r="A595" s="8" t="str">
        <f>IFERROR(__xludf.DUMMYFUNCTION("""COMPUTED_VALUE"""),"CA-2014-150301")</f>
        <v>CA-2014-150301</v>
      </c>
      <c r="B595" s="9">
        <f>IFERROR(__xludf.DUMMYFUNCTION("""COMPUTED_VALUE"""),41828.0)</f>
        <v>41828</v>
      </c>
      <c r="C595" s="8" t="str">
        <f>IFERROR(__xludf.DUMMYFUNCTION("""COMPUTED_VALUE"""),"Consumer")</f>
        <v>Consumer</v>
      </c>
      <c r="D595" s="8" t="str">
        <f>IFERROR(__xludf.DUMMYFUNCTION("""COMPUTED_VALUE"""),"New York")</f>
        <v>New York</v>
      </c>
      <c r="E595" s="8" t="str">
        <f>IFERROR(__xludf.DUMMYFUNCTION("""COMPUTED_VALUE"""),"East")</f>
        <v>East</v>
      </c>
      <c r="F595" s="10">
        <f>IFERROR(__xludf.DUMMYFUNCTION("""COMPUTED_VALUE"""),63.882)</f>
        <v>63.882</v>
      </c>
      <c r="G595" s="11">
        <f>IFERROR(__xludf.DUMMYFUNCTION("""COMPUTED_VALUE"""),1.0)</f>
        <v>1</v>
      </c>
      <c r="H595" s="11">
        <f>IFERROR(__xludf.DUMMYFUNCTION("""COMPUTED_VALUE"""),10.647)</f>
        <v>10.647</v>
      </c>
    </row>
    <row r="596">
      <c r="A596" s="8" t="str">
        <f>IFERROR(__xludf.DUMMYFUNCTION("""COMPUTED_VALUE"""),"CA-2014-150329")</f>
        <v>CA-2014-150329</v>
      </c>
      <c r="B596" s="9">
        <f>IFERROR(__xludf.DUMMYFUNCTION("""COMPUTED_VALUE"""),41922.0)</f>
        <v>41922</v>
      </c>
      <c r="C596" s="8" t="str">
        <f>IFERROR(__xludf.DUMMYFUNCTION("""COMPUTED_VALUE"""),"Home Office")</f>
        <v>Home Office</v>
      </c>
      <c r="D596" s="8" t="str">
        <f>IFERROR(__xludf.DUMMYFUNCTION("""COMPUTED_VALUE"""),"Arizona")</f>
        <v>Arizona</v>
      </c>
      <c r="E596" s="8" t="str">
        <f>IFERROR(__xludf.DUMMYFUNCTION("""COMPUTED_VALUE"""),"West")</f>
        <v>West</v>
      </c>
      <c r="F596" s="10">
        <f>IFERROR(__xludf.DUMMYFUNCTION("""COMPUTED_VALUE"""),46.872)</f>
        <v>46.872</v>
      </c>
      <c r="G596" s="11">
        <f>IFERROR(__xludf.DUMMYFUNCTION("""COMPUTED_VALUE"""),7.0)</f>
        <v>7</v>
      </c>
      <c r="H596" s="11">
        <f>IFERROR(__xludf.DUMMYFUNCTION("""COMPUTED_VALUE"""),3.5154)</f>
        <v>3.5154</v>
      </c>
    </row>
    <row r="597">
      <c r="A597" s="8" t="str">
        <f>IFERROR(__xludf.DUMMYFUNCTION("""COMPUTED_VALUE"""),"CA-2014-150490")</f>
        <v>CA-2014-150490</v>
      </c>
      <c r="B597" s="9">
        <f>IFERROR(__xludf.DUMMYFUNCTION("""COMPUTED_VALUE"""),41856.0)</f>
        <v>41856</v>
      </c>
      <c r="C597" s="8" t="str">
        <f>IFERROR(__xludf.DUMMYFUNCTION("""COMPUTED_VALUE"""),"Consumer")</f>
        <v>Consumer</v>
      </c>
      <c r="D597" s="8" t="str">
        <f>IFERROR(__xludf.DUMMYFUNCTION("""COMPUTED_VALUE"""),"California")</f>
        <v>California</v>
      </c>
      <c r="E597" s="8" t="str">
        <f>IFERROR(__xludf.DUMMYFUNCTION("""COMPUTED_VALUE"""),"West")</f>
        <v>West</v>
      </c>
      <c r="F597" s="10">
        <f>IFERROR(__xludf.DUMMYFUNCTION("""COMPUTED_VALUE"""),16.36)</f>
        <v>16.36</v>
      </c>
      <c r="G597" s="11">
        <f>IFERROR(__xludf.DUMMYFUNCTION("""COMPUTED_VALUE"""),1.0)</f>
        <v>1</v>
      </c>
      <c r="H597" s="11">
        <f>IFERROR(__xludf.DUMMYFUNCTION("""COMPUTED_VALUE"""),1.636)</f>
        <v>1.636</v>
      </c>
    </row>
    <row r="598">
      <c r="A598" s="8" t="str">
        <f>IFERROR(__xludf.DUMMYFUNCTION("""COMPUTED_VALUE"""),"CA-2014-150518")</f>
        <v>CA-2014-150518</v>
      </c>
      <c r="B598" s="9">
        <f>IFERROR(__xludf.DUMMYFUNCTION("""COMPUTED_VALUE"""),41962.0)</f>
        <v>41962</v>
      </c>
      <c r="C598" s="8" t="str">
        <f>IFERROR(__xludf.DUMMYFUNCTION("""COMPUTED_VALUE"""),"Consumer")</f>
        <v>Consumer</v>
      </c>
      <c r="D598" s="8" t="str">
        <f>IFERROR(__xludf.DUMMYFUNCTION("""COMPUTED_VALUE"""),"Minnesota")</f>
        <v>Minnesota</v>
      </c>
      <c r="E598" s="8" t="str">
        <f>IFERROR(__xludf.DUMMYFUNCTION("""COMPUTED_VALUE"""),"Central")</f>
        <v>Central</v>
      </c>
      <c r="F598" s="10">
        <f>IFERROR(__xludf.DUMMYFUNCTION("""COMPUTED_VALUE"""),221.16)</f>
        <v>221.16</v>
      </c>
      <c r="G598" s="11">
        <f>IFERROR(__xludf.DUMMYFUNCTION("""COMPUTED_VALUE"""),4.0)</f>
        <v>4</v>
      </c>
      <c r="H598" s="11">
        <f>IFERROR(__xludf.DUMMYFUNCTION("""COMPUTED_VALUE"""),57.5016)</f>
        <v>57.5016</v>
      </c>
    </row>
    <row r="599">
      <c r="A599" s="8" t="str">
        <f>IFERROR(__xludf.DUMMYFUNCTION("""COMPUTED_VALUE"""),"CA-2014-150581")</f>
        <v>CA-2014-150581</v>
      </c>
      <c r="B599" s="9">
        <f>IFERROR(__xludf.DUMMYFUNCTION("""COMPUTED_VALUE"""),41737.0)</f>
        <v>41737</v>
      </c>
      <c r="C599" s="8" t="str">
        <f>IFERROR(__xludf.DUMMYFUNCTION("""COMPUTED_VALUE"""),"Home Office")</f>
        <v>Home Office</v>
      </c>
      <c r="D599" s="8" t="str">
        <f>IFERROR(__xludf.DUMMYFUNCTION("""COMPUTED_VALUE"""),"California")</f>
        <v>California</v>
      </c>
      <c r="E599" s="8" t="str">
        <f>IFERROR(__xludf.DUMMYFUNCTION("""COMPUTED_VALUE"""),"West")</f>
        <v>West</v>
      </c>
      <c r="F599" s="10">
        <f>IFERROR(__xludf.DUMMYFUNCTION("""COMPUTED_VALUE"""),99.592)</f>
        <v>99.592</v>
      </c>
      <c r="G599" s="11">
        <f>IFERROR(__xludf.DUMMYFUNCTION("""COMPUTED_VALUE"""),1.0)</f>
        <v>1</v>
      </c>
      <c r="H599" s="11">
        <f>IFERROR(__xludf.DUMMYFUNCTION("""COMPUTED_VALUE"""),2.4898)</f>
        <v>2.4898</v>
      </c>
    </row>
    <row r="600">
      <c r="A600" s="8" t="str">
        <f>IFERROR(__xludf.DUMMYFUNCTION("""COMPUTED_VALUE"""),"CA-2014-150798")</f>
        <v>CA-2014-150798</v>
      </c>
      <c r="B600" s="9">
        <f>IFERROR(__xludf.DUMMYFUNCTION("""COMPUTED_VALUE"""),41974.0)</f>
        <v>41974</v>
      </c>
      <c r="C600" s="8" t="str">
        <f>IFERROR(__xludf.DUMMYFUNCTION("""COMPUTED_VALUE"""),"Consumer")</f>
        <v>Consumer</v>
      </c>
      <c r="D600" s="8" t="str">
        <f>IFERROR(__xludf.DUMMYFUNCTION("""COMPUTED_VALUE"""),"Ohio")</f>
        <v>Ohio</v>
      </c>
      <c r="E600" s="8" t="str">
        <f>IFERROR(__xludf.DUMMYFUNCTION("""COMPUTED_VALUE"""),"East")</f>
        <v>East</v>
      </c>
      <c r="F600" s="10">
        <f>IFERROR(__xludf.DUMMYFUNCTION("""COMPUTED_VALUE"""),659.988)</f>
        <v>659.988</v>
      </c>
      <c r="G600" s="11">
        <f>IFERROR(__xludf.DUMMYFUNCTION("""COMPUTED_VALUE"""),2.0)</f>
        <v>2</v>
      </c>
      <c r="H600" s="11">
        <f>IFERROR(__xludf.DUMMYFUNCTION("""COMPUTED_VALUE"""),109.998)</f>
        <v>109.998</v>
      </c>
    </row>
    <row r="601">
      <c r="A601" s="8" t="str">
        <f>IFERROR(__xludf.DUMMYFUNCTION("""COMPUTED_VALUE"""),"CA-2014-151001")</f>
        <v>CA-2014-151001</v>
      </c>
      <c r="B601" s="9">
        <f>IFERROR(__xludf.DUMMYFUNCTION("""COMPUTED_VALUE"""),41734.0)</f>
        <v>41734</v>
      </c>
      <c r="C601" s="8" t="str">
        <f>IFERROR(__xludf.DUMMYFUNCTION("""COMPUTED_VALUE"""),"Corporate")</f>
        <v>Corporate</v>
      </c>
      <c r="D601" s="8" t="str">
        <f>IFERROR(__xludf.DUMMYFUNCTION("""COMPUTED_VALUE"""),"Illinois")</f>
        <v>Illinois</v>
      </c>
      <c r="E601" s="8" t="str">
        <f>IFERROR(__xludf.DUMMYFUNCTION("""COMPUTED_VALUE"""),"Central")</f>
        <v>Central</v>
      </c>
      <c r="F601" s="10">
        <f>IFERROR(__xludf.DUMMYFUNCTION("""COMPUTED_VALUE"""),49.632)</f>
        <v>49.632</v>
      </c>
      <c r="G601" s="11">
        <f>IFERROR(__xludf.DUMMYFUNCTION("""COMPUTED_VALUE"""),4.0)</f>
        <v>4</v>
      </c>
      <c r="H601" s="11">
        <f>IFERROR(__xludf.DUMMYFUNCTION("""COMPUTED_VALUE"""),3.7224)</f>
        <v>3.7224</v>
      </c>
    </row>
    <row r="602">
      <c r="A602" s="8" t="str">
        <f>IFERROR(__xludf.DUMMYFUNCTION("""COMPUTED_VALUE"""),"CA-2014-151078")</f>
        <v>CA-2014-151078</v>
      </c>
      <c r="B602" s="9">
        <f>IFERROR(__xludf.DUMMYFUNCTION("""COMPUTED_VALUE"""),41955.0)</f>
        <v>41955</v>
      </c>
      <c r="C602" s="8" t="str">
        <f>IFERROR(__xludf.DUMMYFUNCTION("""COMPUTED_VALUE"""),"Consumer")</f>
        <v>Consumer</v>
      </c>
      <c r="D602" s="8" t="str">
        <f>IFERROR(__xludf.DUMMYFUNCTION("""COMPUTED_VALUE"""),"Texas")</f>
        <v>Texas</v>
      </c>
      <c r="E602" s="8" t="str">
        <f>IFERROR(__xludf.DUMMYFUNCTION("""COMPUTED_VALUE"""),"Central")</f>
        <v>Central</v>
      </c>
      <c r="F602" s="10">
        <f>IFERROR(__xludf.DUMMYFUNCTION("""COMPUTED_VALUE"""),49.632)</f>
        <v>49.632</v>
      </c>
      <c r="G602" s="11">
        <f>IFERROR(__xludf.DUMMYFUNCTION("""COMPUTED_VALUE"""),4.0)</f>
        <v>4</v>
      </c>
      <c r="H602" s="11">
        <f>IFERROR(__xludf.DUMMYFUNCTION("""COMPUTED_VALUE"""),4.9632)</f>
        <v>4.9632</v>
      </c>
    </row>
    <row r="603">
      <c r="A603" s="8" t="str">
        <f>IFERROR(__xludf.DUMMYFUNCTION("""COMPUTED_VALUE"""),"CA-2014-151162")</f>
        <v>CA-2014-151162</v>
      </c>
      <c r="B603" s="9">
        <f>IFERROR(__xludf.DUMMYFUNCTION("""COMPUTED_VALUE"""),41978.0)</f>
        <v>41978</v>
      </c>
      <c r="C603" s="8" t="str">
        <f>IFERROR(__xludf.DUMMYFUNCTION("""COMPUTED_VALUE"""),"Corporate")</f>
        <v>Corporate</v>
      </c>
      <c r="D603" s="8" t="str">
        <f>IFERROR(__xludf.DUMMYFUNCTION("""COMPUTED_VALUE"""),"Ohio")</f>
        <v>Ohio</v>
      </c>
      <c r="E603" s="8" t="str">
        <f>IFERROR(__xludf.DUMMYFUNCTION("""COMPUTED_VALUE"""),"East")</f>
        <v>East</v>
      </c>
      <c r="F603" s="10">
        <f>IFERROR(__xludf.DUMMYFUNCTION("""COMPUTED_VALUE"""),98.376)</f>
        <v>98.376</v>
      </c>
      <c r="G603" s="11">
        <f>IFERROR(__xludf.DUMMYFUNCTION("""COMPUTED_VALUE"""),3.0)</f>
        <v>3</v>
      </c>
      <c r="H603" s="11">
        <f>IFERROR(__xludf.DUMMYFUNCTION("""COMPUTED_VALUE"""),35.6613)</f>
        <v>35.6613</v>
      </c>
    </row>
    <row r="604">
      <c r="A604" s="8" t="str">
        <f>IFERROR(__xludf.DUMMYFUNCTION("""COMPUTED_VALUE"""),"CA-2014-151295")</f>
        <v>CA-2014-151295</v>
      </c>
      <c r="B604" s="9">
        <f>IFERROR(__xludf.DUMMYFUNCTION("""COMPUTED_VALUE"""),41955.0)</f>
        <v>41955</v>
      </c>
      <c r="C604" s="8" t="str">
        <f>IFERROR(__xludf.DUMMYFUNCTION("""COMPUTED_VALUE"""),"Consumer")</f>
        <v>Consumer</v>
      </c>
      <c r="D604" s="8" t="str">
        <f>IFERROR(__xludf.DUMMYFUNCTION("""COMPUTED_VALUE"""),"California")</f>
        <v>California</v>
      </c>
      <c r="E604" s="8" t="str">
        <f>IFERROR(__xludf.DUMMYFUNCTION("""COMPUTED_VALUE"""),"West")</f>
        <v>West</v>
      </c>
      <c r="F604" s="10">
        <f>IFERROR(__xludf.DUMMYFUNCTION("""COMPUTED_VALUE"""),11.96)</f>
        <v>11.96</v>
      </c>
      <c r="G604" s="11">
        <f>IFERROR(__xludf.DUMMYFUNCTION("""COMPUTED_VALUE"""),2.0)</f>
        <v>2</v>
      </c>
      <c r="H604" s="11">
        <f>IFERROR(__xludf.DUMMYFUNCTION("""COMPUTED_VALUE"""),5.8604)</f>
        <v>5.8604</v>
      </c>
    </row>
    <row r="605">
      <c r="A605" s="8" t="str">
        <f>IFERROR(__xludf.DUMMYFUNCTION("""COMPUTED_VALUE"""),"CA-2014-151330")</f>
        <v>CA-2014-151330</v>
      </c>
      <c r="B605" s="9">
        <f>IFERROR(__xludf.DUMMYFUNCTION("""COMPUTED_VALUE"""),41926.0)</f>
        <v>41926</v>
      </c>
      <c r="C605" s="8" t="str">
        <f>IFERROR(__xludf.DUMMYFUNCTION("""COMPUTED_VALUE"""),"Consumer")</f>
        <v>Consumer</v>
      </c>
      <c r="D605" s="8" t="str">
        <f>IFERROR(__xludf.DUMMYFUNCTION("""COMPUTED_VALUE"""),"Massachusetts")</f>
        <v>Massachusetts</v>
      </c>
      <c r="E605" s="8" t="str">
        <f>IFERROR(__xludf.DUMMYFUNCTION("""COMPUTED_VALUE"""),"East")</f>
        <v>East</v>
      </c>
      <c r="F605" s="10">
        <f>IFERROR(__xludf.DUMMYFUNCTION("""COMPUTED_VALUE"""),177.0)</f>
        <v>177</v>
      </c>
      <c r="G605" s="11">
        <f>IFERROR(__xludf.DUMMYFUNCTION("""COMPUTED_VALUE"""),3.0)</f>
        <v>3</v>
      </c>
      <c r="H605" s="11">
        <f>IFERROR(__xludf.DUMMYFUNCTION("""COMPUTED_VALUE"""),30.09)</f>
        <v>30.09</v>
      </c>
    </row>
    <row r="606">
      <c r="A606" s="8" t="str">
        <f>IFERROR(__xludf.DUMMYFUNCTION("""COMPUTED_VALUE"""),"CA-2014-151379")</f>
        <v>CA-2014-151379</v>
      </c>
      <c r="B606" s="9">
        <f>IFERROR(__xludf.DUMMYFUNCTION("""COMPUTED_VALUE"""),41989.0)</f>
        <v>41989</v>
      </c>
      <c r="C606" s="8" t="str">
        <f>IFERROR(__xludf.DUMMYFUNCTION("""COMPUTED_VALUE"""),"Corporate")</f>
        <v>Corporate</v>
      </c>
      <c r="D606" s="8" t="str">
        <f>IFERROR(__xludf.DUMMYFUNCTION("""COMPUTED_VALUE"""),"Michigan")</f>
        <v>Michigan</v>
      </c>
      <c r="E606" s="8" t="str">
        <f>IFERROR(__xludf.DUMMYFUNCTION("""COMPUTED_VALUE"""),"Central")</f>
        <v>Central</v>
      </c>
      <c r="F606" s="10">
        <f>IFERROR(__xludf.DUMMYFUNCTION("""COMPUTED_VALUE"""),114.2)</f>
        <v>114.2</v>
      </c>
      <c r="G606" s="11">
        <f>IFERROR(__xludf.DUMMYFUNCTION("""COMPUTED_VALUE"""),5.0)</f>
        <v>5</v>
      </c>
      <c r="H606" s="11">
        <f>IFERROR(__xludf.DUMMYFUNCTION("""COMPUTED_VALUE"""),52.532)</f>
        <v>52.532</v>
      </c>
    </row>
    <row r="607">
      <c r="A607" s="8" t="str">
        <f>IFERROR(__xludf.DUMMYFUNCTION("""COMPUTED_VALUE"""),"CA-2014-151554")</f>
        <v>CA-2014-151554</v>
      </c>
      <c r="B607" s="9">
        <f>IFERROR(__xludf.DUMMYFUNCTION("""COMPUTED_VALUE"""),41957.0)</f>
        <v>41957</v>
      </c>
      <c r="C607" s="8" t="str">
        <f>IFERROR(__xludf.DUMMYFUNCTION("""COMPUTED_VALUE"""),"Corporate")</f>
        <v>Corporate</v>
      </c>
      <c r="D607" s="8" t="str">
        <f>IFERROR(__xludf.DUMMYFUNCTION("""COMPUTED_VALUE"""),"Texas")</f>
        <v>Texas</v>
      </c>
      <c r="E607" s="8" t="str">
        <f>IFERROR(__xludf.DUMMYFUNCTION("""COMPUTED_VALUE"""),"Central")</f>
        <v>Central</v>
      </c>
      <c r="F607" s="10">
        <f>IFERROR(__xludf.DUMMYFUNCTION("""COMPUTED_VALUE"""),20.736)</f>
        <v>20.736</v>
      </c>
      <c r="G607" s="11">
        <f>IFERROR(__xludf.DUMMYFUNCTION("""COMPUTED_VALUE"""),4.0)</f>
        <v>4</v>
      </c>
      <c r="H607" s="11">
        <f>IFERROR(__xludf.DUMMYFUNCTION("""COMPUTED_VALUE"""),7.2576)</f>
        <v>7.2576</v>
      </c>
    </row>
    <row r="608">
      <c r="A608" s="8" t="str">
        <f>IFERROR(__xludf.DUMMYFUNCTION("""COMPUTED_VALUE"""),"CA-2014-151708")</f>
        <v>CA-2014-151708</v>
      </c>
      <c r="B608" s="9">
        <f>IFERROR(__xludf.DUMMYFUNCTION("""COMPUTED_VALUE"""),41859.0)</f>
        <v>41859</v>
      </c>
      <c r="C608" s="8" t="str">
        <f>IFERROR(__xludf.DUMMYFUNCTION("""COMPUTED_VALUE"""),"Consumer")</f>
        <v>Consumer</v>
      </c>
      <c r="D608" s="8" t="str">
        <f>IFERROR(__xludf.DUMMYFUNCTION("""COMPUTED_VALUE"""),"Arizona")</f>
        <v>Arizona</v>
      </c>
      <c r="E608" s="8" t="str">
        <f>IFERROR(__xludf.DUMMYFUNCTION("""COMPUTED_VALUE"""),"West")</f>
        <v>West</v>
      </c>
      <c r="F608" s="10">
        <f>IFERROR(__xludf.DUMMYFUNCTION("""COMPUTED_VALUE"""),121.376)</f>
        <v>121.376</v>
      </c>
      <c r="G608" s="11">
        <f>IFERROR(__xludf.DUMMYFUNCTION("""COMPUTED_VALUE"""),4.0)</f>
        <v>4</v>
      </c>
      <c r="H608" s="11">
        <f>IFERROR(__xludf.DUMMYFUNCTION("""COMPUTED_VALUE"""),-3.0344)</f>
        <v>-3.0344</v>
      </c>
    </row>
    <row r="609">
      <c r="A609" s="8" t="str">
        <f>IFERROR(__xludf.DUMMYFUNCTION("""COMPUTED_VALUE"""),"CA-2014-151792")</f>
        <v>CA-2014-151792</v>
      </c>
      <c r="B609" s="9">
        <f>IFERROR(__xludf.DUMMYFUNCTION("""COMPUTED_VALUE"""),41884.0)</f>
        <v>41884</v>
      </c>
      <c r="C609" s="8" t="str">
        <f>IFERROR(__xludf.DUMMYFUNCTION("""COMPUTED_VALUE"""),"Consumer")</f>
        <v>Consumer</v>
      </c>
      <c r="D609" s="8" t="str">
        <f>IFERROR(__xludf.DUMMYFUNCTION("""COMPUTED_VALUE"""),"Illinois")</f>
        <v>Illinois</v>
      </c>
      <c r="E609" s="8" t="str">
        <f>IFERROR(__xludf.DUMMYFUNCTION("""COMPUTED_VALUE"""),"Central")</f>
        <v>Central</v>
      </c>
      <c r="F609" s="10">
        <f>IFERROR(__xludf.DUMMYFUNCTION("""COMPUTED_VALUE"""),239.976)</f>
        <v>239.976</v>
      </c>
      <c r="G609" s="11">
        <f>IFERROR(__xludf.DUMMYFUNCTION("""COMPUTED_VALUE"""),3.0)</f>
        <v>3</v>
      </c>
      <c r="H609" s="11">
        <f>IFERROR(__xludf.DUMMYFUNCTION("""COMPUTED_VALUE"""),53.9946)</f>
        <v>53.9946</v>
      </c>
    </row>
    <row r="610">
      <c r="A610" s="8" t="str">
        <f>IFERROR(__xludf.DUMMYFUNCTION("""COMPUTED_VALUE"""),"CA-2014-151897")</f>
        <v>CA-2014-151897</v>
      </c>
      <c r="B610" s="9">
        <f>IFERROR(__xludf.DUMMYFUNCTION("""COMPUTED_VALUE"""),41796.0)</f>
        <v>41796</v>
      </c>
      <c r="C610" s="8" t="str">
        <f>IFERROR(__xludf.DUMMYFUNCTION("""COMPUTED_VALUE"""),"Home Office")</f>
        <v>Home Office</v>
      </c>
      <c r="D610" s="8" t="str">
        <f>IFERROR(__xludf.DUMMYFUNCTION("""COMPUTED_VALUE"""),"Texas")</f>
        <v>Texas</v>
      </c>
      <c r="E610" s="8" t="str">
        <f>IFERROR(__xludf.DUMMYFUNCTION("""COMPUTED_VALUE"""),"Central")</f>
        <v>Central</v>
      </c>
      <c r="F610" s="10">
        <f>IFERROR(__xludf.DUMMYFUNCTION("""COMPUTED_VALUE"""),100.24)</f>
        <v>100.24</v>
      </c>
      <c r="G610" s="11">
        <f>IFERROR(__xludf.DUMMYFUNCTION("""COMPUTED_VALUE"""),10.0)</f>
        <v>10</v>
      </c>
      <c r="H610" s="11">
        <f>IFERROR(__xludf.DUMMYFUNCTION("""COMPUTED_VALUE"""),33.831)</f>
        <v>33.831</v>
      </c>
    </row>
    <row r="611">
      <c r="A611" s="8" t="str">
        <f>IFERROR(__xludf.DUMMYFUNCTION("""COMPUTED_VALUE"""),"CA-2014-151946")</f>
        <v>CA-2014-151946</v>
      </c>
      <c r="B611" s="9">
        <f>IFERROR(__xludf.DUMMYFUNCTION("""COMPUTED_VALUE"""),41794.0)</f>
        <v>41794</v>
      </c>
      <c r="C611" s="8" t="str">
        <f>IFERROR(__xludf.DUMMYFUNCTION("""COMPUTED_VALUE"""),"Consumer")</f>
        <v>Consumer</v>
      </c>
      <c r="D611" s="8" t="str">
        <f>IFERROR(__xludf.DUMMYFUNCTION("""COMPUTED_VALUE"""),"New York")</f>
        <v>New York</v>
      </c>
      <c r="E611" s="8" t="str">
        <f>IFERROR(__xludf.DUMMYFUNCTION("""COMPUTED_VALUE"""),"East")</f>
        <v>East</v>
      </c>
      <c r="F611" s="10">
        <f>IFERROR(__xludf.DUMMYFUNCTION("""COMPUTED_VALUE"""),56.96)</f>
        <v>56.96</v>
      </c>
      <c r="G611" s="11">
        <f>IFERROR(__xludf.DUMMYFUNCTION("""COMPUTED_VALUE"""),2.0)</f>
        <v>2</v>
      </c>
      <c r="H611" s="11">
        <f>IFERROR(__xludf.DUMMYFUNCTION("""COMPUTED_VALUE"""),21.0752)</f>
        <v>21.0752</v>
      </c>
    </row>
    <row r="612">
      <c r="A612" s="8" t="str">
        <f>IFERROR(__xludf.DUMMYFUNCTION("""COMPUTED_VALUE"""),"CA-2014-151953")</f>
        <v>CA-2014-151953</v>
      </c>
      <c r="B612" s="9">
        <f>IFERROR(__xludf.DUMMYFUNCTION("""COMPUTED_VALUE"""),41902.0)</f>
        <v>41902</v>
      </c>
      <c r="C612" s="8" t="str">
        <f>IFERROR(__xludf.DUMMYFUNCTION("""COMPUTED_VALUE"""),"Corporate")</f>
        <v>Corporate</v>
      </c>
      <c r="D612" s="8" t="str">
        <f>IFERROR(__xludf.DUMMYFUNCTION("""COMPUTED_VALUE"""),"Florida")</f>
        <v>Florida</v>
      </c>
      <c r="E612" s="8" t="str">
        <f>IFERROR(__xludf.DUMMYFUNCTION("""COMPUTED_VALUE"""),"South")</f>
        <v>South</v>
      </c>
      <c r="F612" s="10">
        <f>IFERROR(__xludf.DUMMYFUNCTION("""COMPUTED_VALUE"""),2.816)</f>
        <v>2.816</v>
      </c>
      <c r="G612" s="11">
        <f>IFERROR(__xludf.DUMMYFUNCTION("""COMPUTED_VALUE"""),2.0)</f>
        <v>2</v>
      </c>
      <c r="H612" s="11">
        <f>IFERROR(__xludf.DUMMYFUNCTION("""COMPUTED_VALUE"""),0.9856)</f>
        <v>0.9856</v>
      </c>
    </row>
    <row r="613">
      <c r="A613" s="8" t="str">
        <f>IFERROR(__xludf.DUMMYFUNCTION("""COMPUTED_VALUE"""),"CA-2014-151967")</f>
        <v>CA-2014-151967</v>
      </c>
      <c r="B613" s="9">
        <f>IFERROR(__xludf.DUMMYFUNCTION("""COMPUTED_VALUE"""),41934.0)</f>
        <v>41934</v>
      </c>
      <c r="C613" s="8" t="str">
        <f>IFERROR(__xludf.DUMMYFUNCTION("""COMPUTED_VALUE"""),"Corporate")</f>
        <v>Corporate</v>
      </c>
      <c r="D613" s="8" t="str">
        <f>IFERROR(__xludf.DUMMYFUNCTION("""COMPUTED_VALUE"""),"Louisiana")</f>
        <v>Louisiana</v>
      </c>
      <c r="E613" s="8" t="str">
        <f>IFERROR(__xludf.DUMMYFUNCTION("""COMPUTED_VALUE"""),"South")</f>
        <v>South</v>
      </c>
      <c r="F613" s="10">
        <f>IFERROR(__xludf.DUMMYFUNCTION("""COMPUTED_VALUE"""),129.92)</f>
        <v>129.92</v>
      </c>
      <c r="G613" s="11">
        <f>IFERROR(__xludf.DUMMYFUNCTION("""COMPUTED_VALUE"""),4.0)</f>
        <v>4</v>
      </c>
      <c r="H613" s="11">
        <f>IFERROR(__xludf.DUMMYFUNCTION("""COMPUTED_VALUE"""),10.3936)</f>
        <v>10.3936</v>
      </c>
    </row>
    <row r="614">
      <c r="A614" s="8" t="str">
        <f>IFERROR(__xludf.DUMMYFUNCTION("""COMPUTED_VALUE"""),"CA-2014-151995")</f>
        <v>CA-2014-151995</v>
      </c>
      <c r="B614" s="9">
        <f>IFERROR(__xludf.DUMMYFUNCTION("""COMPUTED_VALUE"""),41925.0)</f>
        <v>41925</v>
      </c>
      <c r="C614" s="8" t="str">
        <f>IFERROR(__xludf.DUMMYFUNCTION("""COMPUTED_VALUE"""),"Consumer")</f>
        <v>Consumer</v>
      </c>
      <c r="D614" s="8" t="str">
        <f>IFERROR(__xludf.DUMMYFUNCTION("""COMPUTED_VALUE"""),"Washington")</f>
        <v>Washington</v>
      </c>
      <c r="E614" s="8" t="str">
        <f>IFERROR(__xludf.DUMMYFUNCTION("""COMPUTED_VALUE"""),"West")</f>
        <v>West</v>
      </c>
      <c r="F614" s="10">
        <f>IFERROR(__xludf.DUMMYFUNCTION("""COMPUTED_VALUE"""),11.52)</f>
        <v>11.52</v>
      </c>
      <c r="G614" s="11">
        <f>IFERROR(__xludf.DUMMYFUNCTION("""COMPUTED_VALUE"""),4.0)</f>
        <v>4</v>
      </c>
      <c r="H614" s="11">
        <f>IFERROR(__xludf.DUMMYFUNCTION("""COMPUTED_VALUE"""),3.2256)</f>
        <v>3.2256</v>
      </c>
    </row>
    <row r="615">
      <c r="A615" s="8" t="str">
        <f>IFERROR(__xludf.DUMMYFUNCTION("""COMPUTED_VALUE"""),"CA-2014-152100")</f>
        <v>CA-2014-152100</v>
      </c>
      <c r="B615" s="9">
        <f>IFERROR(__xludf.DUMMYFUNCTION("""COMPUTED_VALUE"""),41770.0)</f>
        <v>41770</v>
      </c>
      <c r="C615" s="8" t="str">
        <f>IFERROR(__xludf.DUMMYFUNCTION("""COMPUTED_VALUE"""),"Corporate")</f>
        <v>Corporate</v>
      </c>
      <c r="D615" s="8" t="str">
        <f>IFERROR(__xludf.DUMMYFUNCTION("""COMPUTED_VALUE"""),"Texas")</f>
        <v>Texas</v>
      </c>
      <c r="E615" s="8" t="str">
        <f>IFERROR(__xludf.DUMMYFUNCTION("""COMPUTED_VALUE"""),"Central")</f>
        <v>Central</v>
      </c>
      <c r="F615" s="10">
        <f>IFERROR(__xludf.DUMMYFUNCTION("""COMPUTED_VALUE"""),1212.96)</f>
        <v>1212.96</v>
      </c>
      <c r="G615" s="11">
        <f>IFERROR(__xludf.DUMMYFUNCTION("""COMPUTED_VALUE"""),8.0)</f>
        <v>8</v>
      </c>
      <c r="H615" s="11">
        <f>IFERROR(__xludf.DUMMYFUNCTION("""COMPUTED_VALUE"""),-69.312)</f>
        <v>-69.312</v>
      </c>
    </row>
    <row r="616">
      <c r="A616" s="8" t="str">
        <f>IFERROR(__xludf.DUMMYFUNCTION("""COMPUTED_VALUE"""),"CA-2014-152233")</f>
        <v>CA-2014-152233</v>
      </c>
      <c r="B616" s="9">
        <f>IFERROR(__xludf.DUMMYFUNCTION("""COMPUTED_VALUE"""),41917.0)</f>
        <v>41917</v>
      </c>
      <c r="C616" s="8" t="str">
        <f>IFERROR(__xludf.DUMMYFUNCTION("""COMPUTED_VALUE"""),"Consumer")</f>
        <v>Consumer</v>
      </c>
      <c r="D616" s="8" t="str">
        <f>IFERROR(__xludf.DUMMYFUNCTION("""COMPUTED_VALUE"""),"California")</f>
        <v>California</v>
      </c>
      <c r="E616" s="8" t="str">
        <f>IFERROR(__xludf.DUMMYFUNCTION("""COMPUTED_VALUE"""),"West")</f>
        <v>West</v>
      </c>
      <c r="F616" s="10">
        <f>IFERROR(__xludf.DUMMYFUNCTION("""COMPUTED_VALUE"""),99.98)</f>
        <v>99.98</v>
      </c>
      <c r="G616" s="11">
        <f>IFERROR(__xludf.DUMMYFUNCTION("""COMPUTED_VALUE"""),2.0)</f>
        <v>2</v>
      </c>
      <c r="H616" s="11">
        <f>IFERROR(__xludf.DUMMYFUNCTION("""COMPUTED_VALUE"""),34.993)</f>
        <v>34.993</v>
      </c>
    </row>
    <row r="617">
      <c r="A617" s="8" t="str">
        <f>IFERROR(__xludf.DUMMYFUNCTION("""COMPUTED_VALUE"""),"CA-2014-152254")</f>
        <v>CA-2014-152254</v>
      </c>
      <c r="B617" s="9">
        <f>IFERROR(__xludf.DUMMYFUNCTION("""COMPUTED_VALUE"""),41820.0)</f>
        <v>41820</v>
      </c>
      <c r="C617" s="8" t="str">
        <f>IFERROR(__xludf.DUMMYFUNCTION("""COMPUTED_VALUE"""),"Consumer")</f>
        <v>Consumer</v>
      </c>
      <c r="D617" s="8" t="str">
        <f>IFERROR(__xludf.DUMMYFUNCTION("""COMPUTED_VALUE"""),"North Carolina")</f>
        <v>North Carolina</v>
      </c>
      <c r="E617" s="8" t="str">
        <f>IFERROR(__xludf.DUMMYFUNCTION("""COMPUTED_VALUE"""),"South")</f>
        <v>South</v>
      </c>
      <c r="F617" s="10">
        <f>IFERROR(__xludf.DUMMYFUNCTION("""COMPUTED_VALUE"""),310.688)</f>
        <v>310.688</v>
      </c>
      <c r="G617" s="11">
        <f>IFERROR(__xludf.DUMMYFUNCTION("""COMPUTED_VALUE"""),7.0)</f>
        <v>7</v>
      </c>
      <c r="H617" s="11">
        <f>IFERROR(__xludf.DUMMYFUNCTION("""COMPUTED_VALUE"""),108.7408)</f>
        <v>108.7408</v>
      </c>
    </row>
    <row r="618">
      <c r="A618" s="8" t="str">
        <f>IFERROR(__xludf.DUMMYFUNCTION("""COMPUTED_VALUE"""),"CA-2014-152268")</f>
        <v>CA-2014-152268</v>
      </c>
      <c r="B618" s="9">
        <f>IFERROR(__xludf.DUMMYFUNCTION("""COMPUTED_VALUE"""),41884.0)</f>
        <v>41884</v>
      </c>
      <c r="C618" s="8" t="str">
        <f>IFERROR(__xludf.DUMMYFUNCTION("""COMPUTED_VALUE"""),"Consumer")</f>
        <v>Consumer</v>
      </c>
      <c r="D618" s="8" t="str">
        <f>IFERROR(__xludf.DUMMYFUNCTION("""COMPUTED_VALUE"""),"Arkansas")</f>
        <v>Arkansas</v>
      </c>
      <c r="E618" s="8" t="str">
        <f>IFERROR(__xludf.DUMMYFUNCTION("""COMPUTED_VALUE"""),"South")</f>
        <v>South</v>
      </c>
      <c r="F618" s="10">
        <f>IFERROR(__xludf.DUMMYFUNCTION("""COMPUTED_VALUE"""),1793.98)</f>
        <v>1793.98</v>
      </c>
      <c r="G618" s="11">
        <f>IFERROR(__xludf.DUMMYFUNCTION("""COMPUTED_VALUE"""),2.0)</f>
        <v>2</v>
      </c>
      <c r="H618" s="11">
        <f>IFERROR(__xludf.DUMMYFUNCTION("""COMPUTED_VALUE"""),843.1706)</f>
        <v>843.1706</v>
      </c>
    </row>
    <row r="619">
      <c r="A619" s="8" t="str">
        <f>IFERROR(__xludf.DUMMYFUNCTION("""COMPUTED_VALUE"""),"CA-2014-152296")</f>
        <v>CA-2014-152296</v>
      </c>
      <c r="B619" s="9">
        <f>IFERROR(__xludf.DUMMYFUNCTION("""COMPUTED_VALUE"""),41852.0)</f>
        <v>41852</v>
      </c>
      <c r="C619" s="8" t="str">
        <f>IFERROR(__xludf.DUMMYFUNCTION("""COMPUTED_VALUE"""),"Consumer")</f>
        <v>Consumer</v>
      </c>
      <c r="D619" s="8" t="str">
        <f>IFERROR(__xludf.DUMMYFUNCTION("""COMPUTED_VALUE"""),"California")</f>
        <v>California</v>
      </c>
      <c r="E619" s="8" t="str">
        <f>IFERROR(__xludf.DUMMYFUNCTION("""COMPUTED_VALUE"""),"West")</f>
        <v>West</v>
      </c>
      <c r="F619" s="10">
        <f>IFERROR(__xludf.DUMMYFUNCTION("""COMPUTED_VALUE"""),19.752)</f>
        <v>19.752</v>
      </c>
      <c r="G619" s="11">
        <f>IFERROR(__xludf.DUMMYFUNCTION("""COMPUTED_VALUE"""),3.0)</f>
        <v>3</v>
      </c>
      <c r="H619" s="11">
        <f>IFERROR(__xludf.DUMMYFUNCTION("""COMPUTED_VALUE"""),6.9132)</f>
        <v>6.9132</v>
      </c>
    </row>
    <row r="620">
      <c r="A620" s="8" t="str">
        <f>IFERROR(__xludf.DUMMYFUNCTION("""COMPUTED_VALUE"""),"CA-2014-152345")</f>
        <v>CA-2014-152345</v>
      </c>
      <c r="B620" s="9">
        <f>IFERROR(__xludf.DUMMYFUNCTION("""COMPUTED_VALUE"""),42002.0)</f>
        <v>42002</v>
      </c>
      <c r="C620" s="8" t="str">
        <f>IFERROR(__xludf.DUMMYFUNCTION("""COMPUTED_VALUE"""),"Consumer")</f>
        <v>Consumer</v>
      </c>
      <c r="D620" s="8" t="str">
        <f>IFERROR(__xludf.DUMMYFUNCTION("""COMPUTED_VALUE"""),"New Mexico")</f>
        <v>New Mexico</v>
      </c>
      <c r="E620" s="8" t="str">
        <f>IFERROR(__xludf.DUMMYFUNCTION("""COMPUTED_VALUE"""),"West")</f>
        <v>West</v>
      </c>
      <c r="F620" s="10">
        <f>IFERROR(__xludf.DUMMYFUNCTION("""COMPUTED_VALUE"""),23.976)</f>
        <v>23.976</v>
      </c>
      <c r="G620" s="11">
        <f>IFERROR(__xludf.DUMMYFUNCTION("""COMPUTED_VALUE"""),3.0)</f>
        <v>3</v>
      </c>
      <c r="H620" s="11">
        <f>IFERROR(__xludf.DUMMYFUNCTION("""COMPUTED_VALUE"""),-5.6943)</f>
        <v>-5.6943</v>
      </c>
    </row>
    <row r="621">
      <c r="A621" s="8" t="str">
        <f>IFERROR(__xludf.DUMMYFUNCTION("""COMPUTED_VALUE"""),"CA-2014-152422")</f>
        <v>CA-2014-152422</v>
      </c>
      <c r="B621" s="9">
        <f>IFERROR(__xludf.DUMMYFUNCTION("""COMPUTED_VALUE"""),41917.0)</f>
        <v>41917</v>
      </c>
      <c r="C621" s="8" t="str">
        <f>IFERROR(__xludf.DUMMYFUNCTION("""COMPUTED_VALUE"""),"Consumer")</f>
        <v>Consumer</v>
      </c>
      <c r="D621" s="8" t="str">
        <f>IFERROR(__xludf.DUMMYFUNCTION("""COMPUTED_VALUE"""),"Ohio")</f>
        <v>Ohio</v>
      </c>
      <c r="E621" s="8" t="str">
        <f>IFERROR(__xludf.DUMMYFUNCTION("""COMPUTED_VALUE"""),"East")</f>
        <v>East</v>
      </c>
      <c r="F621" s="10">
        <f>IFERROR(__xludf.DUMMYFUNCTION("""COMPUTED_VALUE"""),91.92)</f>
        <v>91.92</v>
      </c>
      <c r="G621" s="11">
        <f>IFERROR(__xludf.DUMMYFUNCTION("""COMPUTED_VALUE"""),5.0)</f>
        <v>5</v>
      </c>
      <c r="H621" s="11">
        <f>IFERROR(__xludf.DUMMYFUNCTION("""COMPUTED_VALUE"""),11.49)</f>
        <v>11.49</v>
      </c>
    </row>
    <row r="622">
      <c r="A622" s="8" t="str">
        <f>IFERROR(__xludf.DUMMYFUNCTION("""COMPUTED_VALUE"""),"CA-2014-152443")</f>
        <v>CA-2014-152443</v>
      </c>
      <c r="B622" s="9">
        <f>IFERROR(__xludf.DUMMYFUNCTION("""COMPUTED_VALUE"""),41780.0)</f>
        <v>41780</v>
      </c>
      <c r="C622" s="8" t="str">
        <f>IFERROR(__xludf.DUMMYFUNCTION("""COMPUTED_VALUE"""),"Home Office")</f>
        <v>Home Office</v>
      </c>
      <c r="D622" s="8" t="str">
        <f>IFERROR(__xludf.DUMMYFUNCTION("""COMPUTED_VALUE"""),"Massachusetts")</f>
        <v>Massachusetts</v>
      </c>
      <c r="E622" s="8" t="str">
        <f>IFERROR(__xludf.DUMMYFUNCTION("""COMPUTED_VALUE"""),"East")</f>
        <v>East</v>
      </c>
      <c r="F622" s="10">
        <f>IFERROR(__xludf.DUMMYFUNCTION("""COMPUTED_VALUE"""),447.86)</f>
        <v>447.86</v>
      </c>
      <c r="G622" s="11">
        <f>IFERROR(__xludf.DUMMYFUNCTION("""COMPUTED_VALUE"""),7.0)</f>
        <v>7</v>
      </c>
      <c r="H622" s="11">
        <f>IFERROR(__xludf.DUMMYFUNCTION("""COMPUTED_VALUE"""),219.4514)</f>
        <v>219.4514</v>
      </c>
    </row>
    <row r="623">
      <c r="A623" s="8" t="str">
        <f>IFERROR(__xludf.DUMMYFUNCTION("""COMPUTED_VALUE"""),"CA-2014-152562")</f>
        <v>CA-2014-152562</v>
      </c>
      <c r="B623" s="9">
        <f>IFERROR(__xludf.DUMMYFUNCTION("""COMPUTED_VALUE"""),41944.0)</f>
        <v>41944</v>
      </c>
      <c r="C623" s="8" t="str">
        <f>IFERROR(__xludf.DUMMYFUNCTION("""COMPUTED_VALUE"""),"Corporate")</f>
        <v>Corporate</v>
      </c>
      <c r="D623" s="8" t="str">
        <f>IFERROR(__xludf.DUMMYFUNCTION("""COMPUTED_VALUE"""),"Kentucky")</f>
        <v>Kentucky</v>
      </c>
      <c r="E623" s="8" t="str">
        <f>IFERROR(__xludf.DUMMYFUNCTION("""COMPUTED_VALUE"""),"South")</f>
        <v>South</v>
      </c>
      <c r="F623" s="10">
        <f>IFERROR(__xludf.DUMMYFUNCTION("""COMPUTED_VALUE"""),69.52)</f>
        <v>69.52</v>
      </c>
      <c r="G623" s="11">
        <f>IFERROR(__xludf.DUMMYFUNCTION("""COMPUTED_VALUE"""),2.0)</f>
        <v>2</v>
      </c>
      <c r="H623" s="11">
        <f>IFERROR(__xludf.DUMMYFUNCTION("""COMPUTED_VALUE"""),19.4656)</f>
        <v>19.4656</v>
      </c>
    </row>
    <row r="624">
      <c r="A624" s="8" t="str">
        <f>IFERROR(__xludf.DUMMYFUNCTION("""COMPUTED_VALUE"""),"CA-2014-152618")</f>
        <v>CA-2014-152618</v>
      </c>
      <c r="B624" s="9">
        <f>IFERROR(__xludf.DUMMYFUNCTION("""COMPUTED_VALUE"""),41712.0)</f>
        <v>41712</v>
      </c>
      <c r="C624" s="8" t="str">
        <f>IFERROR(__xludf.DUMMYFUNCTION("""COMPUTED_VALUE"""),"Home Office")</f>
        <v>Home Office</v>
      </c>
      <c r="D624" s="8" t="str">
        <f>IFERROR(__xludf.DUMMYFUNCTION("""COMPUTED_VALUE"""),"Illinois")</f>
        <v>Illinois</v>
      </c>
      <c r="E624" s="8" t="str">
        <f>IFERROR(__xludf.DUMMYFUNCTION("""COMPUTED_VALUE"""),"Central")</f>
        <v>Central</v>
      </c>
      <c r="F624" s="10">
        <f>IFERROR(__xludf.DUMMYFUNCTION("""COMPUTED_VALUE"""),574.91)</f>
        <v>574.91</v>
      </c>
      <c r="G624" s="11">
        <f>IFERROR(__xludf.DUMMYFUNCTION("""COMPUTED_VALUE"""),2.0)</f>
        <v>2</v>
      </c>
      <c r="H624" s="11">
        <f>IFERROR(__xludf.DUMMYFUNCTION("""COMPUTED_VALUE"""),156.047)</f>
        <v>156.047</v>
      </c>
    </row>
    <row r="625">
      <c r="A625" s="8" t="str">
        <f>IFERROR(__xludf.DUMMYFUNCTION("""COMPUTED_VALUE"""),"CA-2014-152849")</f>
        <v>CA-2014-152849</v>
      </c>
      <c r="B625" s="9">
        <f>IFERROR(__xludf.DUMMYFUNCTION("""COMPUTED_VALUE"""),41825.0)</f>
        <v>41825</v>
      </c>
      <c r="C625" s="8" t="str">
        <f>IFERROR(__xludf.DUMMYFUNCTION("""COMPUTED_VALUE"""),"Corporate")</f>
        <v>Corporate</v>
      </c>
      <c r="D625" s="8" t="str">
        <f>IFERROR(__xludf.DUMMYFUNCTION("""COMPUTED_VALUE"""),"Tennessee")</f>
        <v>Tennessee</v>
      </c>
      <c r="E625" s="8" t="str">
        <f>IFERROR(__xludf.DUMMYFUNCTION("""COMPUTED_VALUE"""),"South")</f>
        <v>South</v>
      </c>
      <c r="F625" s="10">
        <f>IFERROR(__xludf.DUMMYFUNCTION("""COMPUTED_VALUE"""),4.368)</f>
        <v>4.368</v>
      </c>
      <c r="G625" s="11">
        <f>IFERROR(__xludf.DUMMYFUNCTION("""COMPUTED_VALUE"""),3.0)</f>
        <v>3</v>
      </c>
      <c r="H625" s="11">
        <f>IFERROR(__xludf.DUMMYFUNCTION("""COMPUTED_VALUE"""),0.3822)</f>
        <v>0.3822</v>
      </c>
    </row>
    <row r="626">
      <c r="A626" s="8" t="str">
        <f>IFERROR(__xludf.DUMMYFUNCTION("""COMPUTED_VALUE"""),"CA-2014-152905")</f>
        <v>CA-2014-152905</v>
      </c>
      <c r="B626" s="9">
        <f>IFERROR(__xludf.DUMMYFUNCTION("""COMPUTED_VALUE"""),41688.0)</f>
        <v>41688</v>
      </c>
      <c r="C626" s="8" t="str">
        <f>IFERROR(__xludf.DUMMYFUNCTION("""COMPUTED_VALUE"""),"Consumer")</f>
        <v>Consumer</v>
      </c>
      <c r="D626" s="8" t="str">
        <f>IFERROR(__xludf.DUMMYFUNCTION("""COMPUTED_VALUE"""),"Texas")</f>
        <v>Texas</v>
      </c>
      <c r="E626" s="8" t="str">
        <f>IFERROR(__xludf.DUMMYFUNCTION("""COMPUTED_VALUE"""),"Central")</f>
        <v>Central</v>
      </c>
      <c r="F626" s="10">
        <f>IFERROR(__xludf.DUMMYFUNCTION("""COMPUTED_VALUE"""),12.624)</f>
        <v>12.624</v>
      </c>
      <c r="G626" s="11">
        <f>IFERROR(__xludf.DUMMYFUNCTION("""COMPUTED_VALUE"""),2.0)</f>
        <v>2</v>
      </c>
      <c r="H626" s="11">
        <f>IFERROR(__xludf.DUMMYFUNCTION("""COMPUTED_VALUE"""),-2.5248)</f>
        <v>-2.5248</v>
      </c>
    </row>
    <row r="627">
      <c r="A627" s="8" t="str">
        <f>IFERROR(__xludf.DUMMYFUNCTION("""COMPUTED_VALUE"""),"CA-2014-153087")</f>
        <v>CA-2014-153087</v>
      </c>
      <c r="B627" s="9">
        <f>IFERROR(__xludf.DUMMYFUNCTION("""COMPUTED_VALUE"""),42000.0)</f>
        <v>42000</v>
      </c>
      <c r="C627" s="8" t="str">
        <f>IFERROR(__xludf.DUMMYFUNCTION("""COMPUTED_VALUE"""),"Corporate")</f>
        <v>Corporate</v>
      </c>
      <c r="D627" s="8" t="str">
        <f>IFERROR(__xludf.DUMMYFUNCTION("""COMPUTED_VALUE"""),"Alabama")</f>
        <v>Alabama</v>
      </c>
      <c r="E627" s="8" t="str">
        <f>IFERROR(__xludf.DUMMYFUNCTION("""COMPUTED_VALUE"""),"South")</f>
        <v>South</v>
      </c>
      <c r="F627" s="10">
        <f>IFERROR(__xludf.DUMMYFUNCTION("""COMPUTED_VALUE"""),23.92)</f>
        <v>23.92</v>
      </c>
      <c r="G627" s="11">
        <f>IFERROR(__xludf.DUMMYFUNCTION("""COMPUTED_VALUE"""),4.0)</f>
        <v>4</v>
      </c>
      <c r="H627" s="11">
        <f>IFERROR(__xludf.DUMMYFUNCTION("""COMPUTED_VALUE"""),11.7208)</f>
        <v>11.7208</v>
      </c>
    </row>
    <row r="628">
      <c r="A628" s="8" t="str">
        <f>IFERROR(__xludf.DUMMYFUNCTION("""COMPUTED_VALUE"""),"CA-2014-153150")</f>
        <v>CA-2014-153150</v>
      </c>
      <c r="B628" s="9">
        <f>IFERROR(__xludf.DUMMYFUNCTION("""COMPUTED_VALUE"""),41821.0)</f>
        <v>41821</v>
      </c>
      <c r="C628" s="8" t="str">
        <f>IFERROR(__xludf.DUMMYFUNCTION("""COMPUTED_VALUE"""),"Corporate")</f>
        <v>Corporate</v>
      </c>
      <c r="D628" s="8" t="str">
        <f>IFERROR(__xludf.DUMMYFUNCTION("""COMPUTED_VALUE"""),"Washington")</f>
        <v>Washington</v>
      </c>
      <c r="E628" s="8" t="str">
        <f>IFERROR(__xludf.DUMMYFUNCTION("""COMPUTED_VALUE"""),"West")</f>
        <v>West</v>
      </c>
      <c r="F628" s="10">
        <f>IFERROR(__xludf.DUMMYFUNCTION("""COMPUTED_VALUE"""),19.92)</f>
        <v>19.92</v>
      </c>
      <c r="G628" s="11">
        <f>IFERROR(__xludf.DUMMYFUNCTION("""COMPUTED_VALUE"""),5.0)</f>
        <v>5</v>
      </c>
      <c r="H628" s="11">
        <f>IFERROR(__xludf.DUMMYFUNCTION("""COMPUTED_VALUE"""),6.972)</f>
        <v>6.972</v>
      </c>
    </row>
    <row r="629">
      <c r="A629" s="8" t="str">
        <f>IFERROR(__xludf.DUMMYFUNCTION("""COMPUTED_VALUE"""),"CA-2014-153479")</f>
        <v>CA-2014-153479</v>
      </c>
      <c r="B629" s="9">
        <f>IFERROR(__xludf.DUMMYFUNCTION("""COMPUTED_VALUE"""),41916.0)</f>
        <v>41916</v>
      </c>
      <c r="C629" s="8" t="str">
        <f>IFERROR(__xludf.DUMMYFUNCTION("""COMPUTED_VALUE"""),"Consumer")</f>
        <v>Consumer</v>
      </c>
      <c r="D629" s="8" t="str">
        <f>IFERROR(__xludf.DUMMYFUNCTION("""COMPUTED_VALUE"""),"California")</f>
        <v>California</v>
      </c>
      <c r="E629" s="8" t="str">
        <f>IFERROR(__xludf.DUMMYFUNCTION("""COMPUTED_VALUE"""),"West")</f>
        <v>West</v>
      </c>
      <c r="F629" s="10">
        <f>IFERROR(__xludf.DUMMYFUNCTION("""COMPUTED_VALUE"""),14.45)</f>
        <v>14.45</v>
      </c>
      <c r="G629" s="11">
        <f>IFERROR(__xludf.DUMMYFUNCTION("""COMPUTED_VALUE"""),5.0)</f>
        <v>5</v>
      </c>
      <c r="H629" s="11">
        <f>IFERROR(__xludf.DUMMYFUNCTION("""COMPUTED_VALUE"""),6.7915)</f>
        <v>6.7915</v>
      </c>
    </row>
    <row r="630">
      <c r="A630" s="8" t="str">
        <f>IFERROR(__xludf.DUMMYFUNCTION("""COMPUTED_VALUE"""),"CA-2014-153619")</f>
        <v>CA-2014-153619</v>
      </c>
      <c r="B630" s="9">
        <f>IFERROR(__xludf.DUMMYFUNCTION("""COMPUTED_VALUE"""),41946.0)</f>
        <v>41946</v>
      </c>
      <c r="C630" s="8" t="str">
        <f>IFERROR(__xludf.DUMMYFUNCTION("""COMPUTED_VALUE"""),"Home Office")</f>
        <v>Home Office</v>
      </c>
      <c r="D630" s="8" t="str">
        <f>IFERROR(__xludf.DUMMYFUNCTION("""COMPUTED_VALUE"""),"California")</f>
        <v>California</v>
      </c>
      <c r="E630" s="8" t="str">
        <f>IFERROR(__xludf.DUMMYFUNCTION("""COMPUTED_VALUE"""),"West")</f>
        <v>West</v>
      </c>
      <c r="F630" s="10">
        <f>IFERROR(__xludf.DUMMYFUNCTION("""COMPUTED_VALUE"""),6.72)</f>
        <v>6.72</v>
      </c>
      <c r="G630" s="11">
        <f>IFERROR(__xludf.DUMMYFUNCTION("""COMPUTED_VALUE"""),4.0)</f>
        <v>4</v>
      </c>
      <c r="H630" s="11">
        <f>IFERROR(__xludf.DUMMYFUNCTION("""COMPUTED_VALUE"""),3.36)</f>
        <v>3.36</v>
      </c>
    </row>
    <row r="631">
      <c r="A631" s="8" t="str">
        <f>IFERROR(__xludf.DUMMYFUNCTION("""COMPUTED_VALUE"""),"CA-2014-153808")</f>
        <v>CA-2014-153808</v>
      </c>
      <c r="B631" s="9">
        <f>IFERROR(__xludf.DUMMYFUNCTION("""COMPUTED_VALUE"""),41735.0)</f>
        <v>41735</v>
      </c>
      <c r="C631" s="8" t="str">
        <f>IFERROR(__xludf.DUMMYFUNCTION("""COMPUTED_VALUE"""),"Corporate")</f>
        <v>Corporate</v>
      </c>
      <c r="D631" s="8" t="str">
        <f>IFERROR(__xludf.DUMMYFUNCTION("""COMPUTED_VALUE"""),"California")</f>
        <v>California</v>
      </c>
      <c r="E631" s="8" t="str">
        <f>IFERROR(__xludf.DUMMYFUNCTION("""COMPUTED_VALUE"""),"West")</f>
        <v>West</v>
      </c>
      <c r="F631" s="10">
        <f>IFERROR(__xludf.DUMMYFUNCTION("""COMPUTED_VALUE"""),70.95)</f>
        <v>70.95</v>
      </c>
      <c r="G631" s="11">
        <f>IFERROR(__xludf.DUMMYFUNCTION("""COMPUTED_VALUE"""),3.0)</f>
        <v>3</v>
      </c>
      <c r="H631" s="11">
        <f>IFERROR(__xludf.DUMMYFUNCTION("""COMPUTED_VALUE"""),18.447)</f>
        <v>18.447</v>
      </c>
    </row>
    <row r="632">
      <c r="A632" s="8" t="str">
        <f>IFERROR(__xludf.DUMMYFUNCTION("""COMPUTED_VALUE"""),"CA-2014-153850")</f>
        <v>CA-2014-153850</v>
      </c>
      <c r="B632" s="9">
        <f>IFERROR(__xludf.DUMMYFUNCTION("""COMPUTED_VALUE"""),41967.0)</f>
        <v>41967</v>
      </c>
      <c r="C632" s="8" t="str">
        <f>IFERROR(__xludf.DUMMYFUNCTION("""COMPUTED_VALUE"""),"Consumer")</f>
        <v>Consumer</v>
      </c>
      <c r="D632" s="8" t="str">
        <f>IFERROR(__xludf.DUMMYFUNCTION("""COMPUTED_VALUE"""),"Ohio")</f>
        <v>Ohio</v>
      </c>
      <c r="E632" s="8" t="str">
        <f>IFERROR(__xludf.DUMMYFUNCTION("""COMPUTED_VALUE"""),"East")</f>
        <v>East</v>
      </c>
      <c r="F632" s="10">
        <f>IFERROR(__xludf.DUMMYFUNCTION("""COMPUTED_VALUE"""),35.168)</f>
        <v>35.168</v>
      </c>
      <c r="G632" s="11">
        <f>IFERROR(__xludf.DUMMYFUNCTION("""COMPUTED_VALUE"""),7.0)</f>
        <v>7</v>
      </c>
      <c r="H632" s="11">
        <f>IFERROR(__xludf.DUMMYFUNCTION("""COMPUTED_VALUE"""),9.6712)</f>
        <v>9.6712</v>
      </c>
    </row>
    <row r="633">
      <c r="A633" s="8" t="str">
        <f>IFERROR(__xludf.DUMMYFUNCTION("""COMPUTED_VALUE"""),"CA-2014-153913")</f>
        <v>CA-2014-153913</v>
      </c>
      <c r="B633" s="9">
        <f>IFERROR(__xludf.DUMMYFUNCTION("""COMPUTED_VALUE"""),41989.0)</f>
        <v>41989</v>
      </c>
      <c r="C633" s="8" t="str">
        <f>IFERROR(__xludf.DUMMYFUNCTION("""COMPUTED_VALUE"""),"Corporate")</f>
        <v>Corporate</v>
      </c>
      <c r="D633" s="8" t="str">
        <f>IFERROR(__xludf.DUMMYFUNCTION("""COMPUTED_VALUE"""),"Florida")</f>
        <v>Florida</v>
      </c>
      <c r="E633" s="8" t="str">
        <f>IFERROR(__xludf.DUMMYFUNCTION("""COMPUTED_VALUE"""),"South")</f>
        <v>South</v>
      </c>
      <c r="F633" s="10">
        <f>IFERROR(__xludf.DUMMYFUNCTION("""COMPUTED_VALUE"""),1013.832)</f>
        <v>1013.832</v>
      </c>
      <c r="G633" s="11">
        <f>IFERROR(__xludf.DUMMYFUNCTION("""COMPUTED_VALUE"""),9.0)</f>
        <v>9</v>
      </c>
      <c r="H633" s="11">
        <f>IFERROR(__xludf.DUMMYFUNCTION("""COMPUTED_VALUE"""),101.3832)</f>
        <v>101.3832</v>
      </c>
    </row>
    <row r="634">
      <c r="A634" s="8" t="str">
        <f>IFERROR(__xludf.DUMMYFUNCTION("""COMPUTED_VALUE"""),"CA-2014-153927")</f>
        <v>CA-2014-153927</v>
      </c>
      <c r="B634" s="9">
        <f>IFERROR(__xludf.DUMMYFUNCTION("""COMPUTED_VALUE"""),41863.0)</f>
        <v>41863</v>
      </c>
      <c r="C634" s="8" t="str">
        <f>IFERROR(__xludf.DUMMYFUNCTION("""COMPUTED_VALUE"""),"Consumer")</f>
        <v>Consumer</v>
      </c>
      <c r="D634" s="8" t="str">
        <f>IFERROR(__xludf.DUMMYFUNCTION("""COMPUTED_VALUE"""),"Georgia")</f>
        <v>Georgia</v>
      </c>
      <c r="E634" s="8" t="str">
        <f>IFERROR(__xludf.DUMMYFUNCTION("""COMPUTED_VALUE"""),"South")</f>
        <v>South</v>
      </c>
      <c r="F634" s="10">
        <f>IFERROR(__xludf.DUMMYFUNCTION("""COMPUTED_VALUE"""),14.04)</f>
        <v>14.04</v>
      </c>
      <c r="G634" s="11">
        <f>IFERROR(__xludf.DUMMYFUNCTION("""COMPUTED_VALUE"""),3.0)</f>
        <v>3</v>
      </c>
      <c r="H634" s="11">
        <f>IFERROR(__xludf.DUMMYFUNCTION("""COMPUTED_VALUE"""),6.7392)</f>
        <v>6.7392</v>
      </c>
    </row>
    <row r="635">
      <c r="A635" s="8" t="str">
        <f>IFERROR(__xludf.DUMMYFUNCTION("""COMPUTED_VALUE"""),"CA-2014-153969")</f>
        <v>CA-2014-153969</v>
      </c>
      <c r="B635" s="9">
        <f>IFERROR(__xludf.DUMMYFUNCTION("""COMPUTED_VALUE"""),41903.0)</f>
        <v>41903</v>
      </c>
      <c r="C635" s="8" t="str">
        <f>IFERROR(__xludf.DUMMYFUNCTION("""COMPUTED_VALUE"""),"Consumer")</f>
        <v>Consumer</v>
      </c>
      <c r="D635" s="8" t="str">
        <f>IFERROR(__xludf.DUMMYFUNCTION("""COMPUTED_VALUE"""),"California")</f>
        <v>California</v>
      </c>
      <c r="E635" s="8" t="str">
        <f>IFERROR(__xludf.DUMMYFUNCTION("""COMPUTED_VALUE"""),"West")</f>
        <v>West</v>
      </c>
      <c r="F635" s="10">
        <f>IFERROR(__xludf.DUMMYFUNCTION("""COMPUTED_VALUE"""),15.56)</f>
        <v>15.56</v>
      </c>
      <c r="G635" s="11">
        <f>IFERROR(__xludf.DUMMYFUNCTION("""COMPUTED_VALUE"""),2.0)</f>
        <v>2</v>
      </c>
      <c r="H635" s="11">
        <f>IFERROR(__xludf.DUMMYFUNCTION("""COMPUTED_VALUE"""),7.3132)</f>
        <v>7.3132</v>
      </c>
    </row>
    <row r="636">
      <c r="A636" s="8" t="str">
        <f>IFERROR(__xludf.DUMMYFUNCTION("""COMPUTED_VALUE"""),"CA-2014-153976")</f>
        <v>CA-2014-153976</v>
      </c>
      <c r="B636" s="9">
        <f>IFERROR(__xludf.DUMMYFUNCTION("""COMPUTED_VALUE"""),41915.0)</f>
        <v>41915</v>
      </c>
      <c r="C636" s="8" t="str">
        <f>IFERROR(__xludf.DUMMYFUNCTION("""COMPUTED_VALUE"""),"Consumer")</f>
        <v>Consumer</v>
      </c>
      <c r="D636" s="8" t="str">
        <f>IFERROR(__xludf.DUMMYFUNCTION("""COMPUTED_VALUE"""),"Illinois")</f>
        <v>Illinois</v>
      </c>
      <c r="E636" s="8" t="str">
        <f>IFERROR(__xludf.DUMMYFUNCTION("""COMPUTED_VALUE"""),"Central")</f>
        <v>Central</v>
      </c>
      <c r="F636" s="10">
        <f>IFERROR(__xludf.DUMMYFUNCTION("""COMPUTED_VALUE"""),258.279)</f>
        <v>258.279</v>
      </c>
      <c r="G636" s="11">
        <f>IFERROR(__xludf.DUMMYFUNCTION("""COMPUTED_VALUE"""),3.0)</f>
        <v>3</v>
      </c>
      <c r="H636" s="11">
        <f>IFERROR(__xludf.DUMMYFUNCTION("""COMPUTED_VALUE"""),-70.1043)</f>
        <v>-70.1043</v>
      </c>
    </row>
    <row r="637">
      <c r="A637" s="8" t="str">
        <f>IFERROR(__xludf.DUMMYFUNCTION("""COMPUTED_VALUE"""),"CA-2014-153983")</f>
        <v>CA-2014-153983</v>
      </c>
      <c r="B637" s="9">
        <f>IFERROR(__xludf.DUMMYFUNCTION("""COMPUTED_VALUE"""),41972.0)</f>
        <v>41972</v>
      </c>
      <c r="C637" s="8" t="str">
        <f>IFERROR(__xludf.DUMMYFUNCTION("""COMPUTED_VALUE"""),"Consumer")</f>
        <v>Consumer</v>
      </c>
      <c r="D637" s="8" t="str">
        <f>IFERROR(__xludf.DUMMYFUNCTION("""COMPUTED_VALUE"""),"California")</f>
        <v>California</v>
      </c>
      <c r="E637" s="8" t="str">
        <f>IFERROR(__xludf.DUMMYFUNCTION("""COMPUTED_VALUE"""),"West")</f>
        <v>West</v>
      </c>
      <c r="F637" s="10">
        <f>IFERROR(__xludf.DUMMYFUNCTION("""COMPUTED_VALUE"""),575.92)</f>
        <v>575.92</v>
      </c>
      <c r="G637" s="11">
        <f>IFERROR(__xludf.DUMMYFUNCTION("""COMPUTED_VALUE"""),2.0)</f>
        <v>2</v>
      </c>
      <c r="H637" s="11">
        <f>IFERROR(__xludf.DUMMYFUNCTION("""COMPUTED_VALUE"""),71.99)</f>
        <v>71.99</v>
      </c>
    </row>
    <row r="638">
      <c r="A638" s="8" t="str">
        <f>IFERROR(__xludf.DUMMYFUNCTION("""COMPUTED_VALUE"""),"CA-2014-154095")</f>
        <v>CA-2014-154095</v>
      </c>
      <c r="B638" s="9">
        <f>IFERROR(__xludf.DUMMYFUNCTION("""COMPUTED_VALUE"""),41975.0)</f>
        <v>41975</v>
      </c>
      <c r="C638" s="8" t="str">
        <f>IFERROR(__xludf.DUMMYFUNCTION("""COMPUTED_VALUE"""),"Corporate")</f>
        <v>Corporate</v>
      </c>
      <c r="D638" s="8" t="str">
        <f>IFERROR(__xludf.DUMMYFUNCTION("""COMPUTED_VALUE"""),"Maryland")</f>
        <v>Maryland</v>
      </c>
      <c r="E638" s="8" t="str">
        <f>IFERROR(__xludf.DUMMYFUNCTION("""COMPUTED_VALUE"""),"East")</f>
        <v>East</v>
      </c>
      <c r="F638" s="10">
        <f>IFERROR(__xludf.DUMMYFUNCTION("""COMPUTED_VALUE"""),60.72)</f>
        <v>60.72</v>
      </c>
      <c r="G638" s="11">
        <f>IFERROR(__xludf.DUMMYFUNCTION("""COMPUTED_VALUE"""),3.0)</f>
        <v>3</v>
      </c>
      <c r="H638" s="11">
        <f>IFERROR(__xludf.DUMMYFUNCTION("""COMPUTED_VALUE"""),23.6808)</f>
        <v>23.6808</v>
      </c>
    </row>
    <row r="639">
      <c r="A639" s="8" t="str">
        <f>IFERROR(__xludf.DUMMYFUNCTION("""COMPUTED_VALUE"""),"CA-2014-154158")</f>
        <v>CA-2014-154158</v>
      </c>
      <c r="B639" s="9">
        <f>IFERROR(__xludf.DUMMYFUNCTION("""COMPUTED_VALUE"""),41996.0)</f>
        <v>41996</v>
      </c>
      <c r="C639" s="8" t="str">
        <f>IFERROR(__xludf.DUMMYFUNCTION("""COMPUTED_VALUE"""),"Consumer")</f>
        <v>Consumer</v>
      </c>
      <c r="D639" s="8" t="str">
        <f>IFERROR(__xludf.DUMMYFUNCTION("""COMPUTED_VALUE"""),"Florida")</f>
        <v>Florida</v>
      </c>
      <c r="E639" s="8" t="str">
        <f>IFERROR(__xludf.DUMMYFUNCTION("""COMPUTED_VALUE"""),"South")</f>
        <v>South</v>
      </c>
      <c r="F639" s="10">
        <f>IFERROR(__xludf.DUMMYFUNCTION("""COMPUTED_VALUE"""),45.528)</f>
        <v>45.528</v>
      </c>
      <c r="G639" s="11">
        <f>IFERROR(__xludf.DUMMYFUNCTION("""COMPUTED_VALUE"""),3.0)</f>
        <v>3</v>
      </c>
      <c r="H639" s="11">
        <f>IFERROR(__xludf.DUMMYFUNCTION("""COMPUTED_VALUE"""),15.9348)</f>
        <v>15.9348</v>
      </c>
    </row>
    <row r="640">
      <c r="A640" s="8" t="str">
        <f>IFERROR(__xludf.DUMMYFUNCTION("""COMPUTED_VALUE"""),"CA-2014-154165")</f>
        <v>CA-2014-154165</v>
      </c>
      <c r="B640" s="9">
        <f>IFERROR(__xludf.DUMMYFUNCTION("""COMPUTED_VALUE"""),41687.0)</f>
        <v>41687</v>
      </c>
      <c r="C640" s="8" t="str">
        <f>IFERROR(__xludf.DUMMYFUNCTION("""COMPUTED_VALUE"""),"Consumer")</f>
        <v>Consumer</v>
      </c>
      <c r="D640" s="8" t="str">
        <f>IFERROR(__xludf.DUMMYFUNCTION("""COMPUTED_VALUE"""),"Illinois")</f>
        <v>Illinois</v>
      </c>
      <c r="E640" s="8" t="str">
        <f>IFERROR(__xludf.DUMMYFUNCTION("""COMPUTED_VALUE"""),"Central")</f>
        <v>Central</v>
      </c>
      <c r="F640" s="10">
        <f>IFERROR(__xludf.DUMMYFUNCTION("""COMPUTED_VALUE"""),54.208)</f>
        <v>54.208</v>
      </c>
      <c r="G640" s="11">
        <f>IFERROR(__xludf.DUMMYFUNCTION("""COMPUTED_VALUE"""),14.0)</f>
        <v>14</v>
      </c>
      <c r="H640" s="11">
        <f>IFERROR(__xludf.DUMMYFUNCTION("""COMPUTED_VALUE"""),8.8088)</f>
        <v>8.8088</v>
      </c>
    </row>
    <row r="641">
      <c r="A641" s="8" t="str">
        <f>IFERROR(__xludf.DUMMYFUNCTION("""COMPUTED_VALUE"""),"CA-2014-154186")</f>
        <v>CA-2014-154186</v>
      </c>
      <c r="B641" s="9">
        <f>IFERROR(__xludf.DUMMYFUNCTION("""COMPUTED_VALUE"""),41986.0)</f>
        <v>41986</v>
      </c>
      <c r="C641" s="8" t="str">
        <f>IFERROR(__xludf.DUMMYFUNCTION("""COMPUTED_VALUE"""),"Consumer")</f>
        <v>Consumer</v>
      </c>
      <c r="D641" s="8" t="str">
        <f>IFERROR(__xludf.DUMMYFUNCTION("""COMPUTED_VALUE"""),"Texas")</f>
        <v>Texas</v>
      </c>
      <c r="E641" s="8" t="str">
        <f>IFERROR(__xludf.DUMMYFUNCTION("""COMPUTED_VALUE"""),"Central")</f>
        <v>Central</v>
      </c>
      <c r="F641" s="10">
        <f>IFERROR(__xludf.DUMMYFUNCTION("""COMPUTED_VALUE"""),2.92)</f>
        <v>2.92</v>
      </c>
      <c r="G641" s="11">
        <f>IFERROR(__xludf.DUMMYFUNCTION("""COMPUTED_VALUE"""),1.0)</f>
        <v>1</v>
      </c>
      <c r="H641" s="11">
        <f>IFERROR(__xludf.DUMMYFUNCTION("""COMPUTED_VALUE"""),0.365)</f>
        <v>0.365</v>
      </c>
    </row>
    <row r="642">
      <c r="A642" s="8" t="str">
        <f>IFERROR(__xludf.DUMMYFUNCTION("""COMPUTED_VALUE"""),"CA-2014-154592")</f>
        <v>CA-2014-154592</v>
      </c>
      <c r="B642" s="9">
        <f>IFERROR(__xludf.DUMMYFUNCTION("""COMPUTED_VALUE"""),41980.0)</f>
        <v>41980</v>
      </c>
      <c r="C642" s="8" t="str">
        <f>IFERROR(__xludf.DUMMYFUNCTION("""COMPUTED_VALUE"""),"Home Office")</f>
        <v>Home Office</v>
      </c>
      <c r="D642" s="8" t="str">
        <f>IFERROR(__xludf.DUMMYFUNCTION("""COMPUTED_VALUE"""),"California")</f>
        <v>California</v>
      </c>
      <c r="E642" s="8" t="str">
        <f>IFERROR(__xludf.DUMMYFUNCTION("""COMPUTED_VALUE"""),"West")</f>
        <v>West</v>
      </c>
      <c r="F642" s="10">
        <f>IFERROR(__xludf.DUMMYFUNCTION("""COMPUTED_VALUE"""),164.88)</f>
        <v>164.88</v>
      </c>
      <c r="G642" s="11">
        <f>IFERROR(__xludf.DUMMYFUNCTION("""COMPUTED_VALUE"""),3.0)</f>
        <v>3</v>
      </c>
      <c r="H642" s="11">
        <f>IFERROR(__xludf.DUMMYFUNCTION("""COMPUTED_VALUE"""),80.7912)</f>
        <v>80.7912</v>
      </c>
    </row>
    <row r="643">
      <c r="A643" s="8" t="str">
        <f>IFERROR(__xludf.DUMMYFUNCTION("""COMPUTED_VALUE"""),"CA-2014-154599")</f>
        <v>CA-2014-154599</v>
      </c>
      <c r="B643" s="9">
        <f>IFERROR(__xludf.DUMMYFUNCTION("""COMPUTED_VALUE"""),41741.0)</f>
        <v>41741</v>
      </c>
      <c r="C643" s="8" t="str">
        <f>IFERROR(__xludf.DUMMYFUNCTION("""COMPUTED_VALUE"""),"Corporate")</f>
        <v>Corporate</v>
      </c>
      <c r="D643" s="8" t="str">
        <f>IFERROR(__xludf.DUMMYFUNCTION("""COMPUTED_VALUE"""),"California")</f>
        <v>California</v>
      </c>
      <c r="E643" s="8" t="str">
        <f>IFERROR(__xludf.DUMMYFUNCTION("""COMPUTED_VALUE"""),"West")</f>
        <v>West</v>
      </c>
      <c r="F643" s="10">
        <f>IFERROR(__xludf.DUMMYFUNCTION("""COMPUTED_VALUE"""),1075.088)</f>
        <v>1075.088</v>
      </c>
      <c r="G643" s="11">
        <f>IFERROR(__xludf.DUMMYFUNCTION("""COMPUTED_VALUE"""),14.0)</f>
        <v>14</v>
      </c>
      <c r="H643" s="11">
        <f>IFERROR(__xludf.DUMMYFUNCTION("""COMPUTED_VALUE"""),94.0702)</f>
        <v>94.0702</v>
      </c>
    </row>
    <row r="644">
      <c r="A644" s="8" t="str">
        <f>IFERROR(__xludf.DUMMYFUNCTION("""COMPUTED_VALUE"""),"CA-2014-154627")</f>
        <v>CA-2014-154627</v>
      </c>
      <c r="B644" s="9">
        <f>IFERROR(__xludf.DUMMYFUNCTION("""COMPUTED_VALUE"""),41941.0)</f>
        <v>41941</v>
      </c>
      <c r="C644" s="8" t="str">
        <f>IFERROR(__xludf.DUMMYFUNCTION("""COMPUTED_VALUE"""),"Consumer")</f>
        <v>Consumer</v>
      </c>
      <c r="D644" s="8" t="str">
        <f>IFERROR(__xludf.DUMMYFUNCTION("""COMPUTED_VALUE"""),"Illinois")</f>
        <v>Illinois</v>
      </c>
      <c r="E644" s="8" t="str">
        <f>IFERROR(__xludf.DUMMYFUNCTION("""COMPUTED_VALUE"""),"Central")</f>
        <v>Central</v>
      </c>
      <c r="F644" s="10">
        <f>IFERROR(__xludf.DUMMYFUNCTION("""COMPUTED_VALUE"""),2735.952)</f>
        <v>2735.952</v>
      </c>
      <c r="G644" s="11">
        <f>IFERROR(__xludf.DUMMYFUNCTION("""COMPUTED_VALUE"""),6.0)</f>
        <v>6</v>
      </c>
      <c r="H644" s="11">
        <f>IFERROR(__xludf.DUMMYFUNCTION("""COMPUTED_VALUE"""),341.994)</f>
        <v>341.994</v>
      </c>
    </row>
    <row r="645">
      <c r="A645" s="8" t="str">
        <f>IFERROR(__xludf.DUMMYFUNCTION("""COMPUTED_VALUE"""),"CA-2014-154641")</f>
        <v>CA-2014-154641</v>
      </c>
      <c r="B645" s="9">
        <f>IFERROR(__xludf.DUMMYFUNCTION("""COMPUTED_VALUE"""),41862.0)</f>
        <v>41862</v>
      </c>
      <c r="C645" s="8" t="str">
        <f>IFERROR(__xludf.DUMMYFUNCTION("""COMPUTED_VALUE"""),"Consumer")</f>
        <v>Consumer</v>
      </c>
      <c r="D645" s="8" t="str">
        <f>IFERROR(__xludf.DUMMYFUNCTION("""COMPUTED_VALUE"""),"New York")</f>
        <v>New York</v>
      </c>
      <c r="E645" s="8" t="str">
        <f>IFERROR(__xludf.DUMMYFUNCTION("""COMPUTED_VALUE"""),"East")</f>
        <v>East</v>
      </c>
      <c r="F645" s="10">
        <f>IFERROR(__xludf.DUMMYFUNCTION("""COMPUTED_VALUE"""),375.34)</f>
        <v>375.34</v>
      </c>
      <c r="G645" s="11">
        <f>IFERROR(__xludf.DUMMYFUNCTION("""COMPUTED_VALUE"""),1.0)</f>
        <v>1</v>
      </c>
      <c r="H645" s="11">
        <f>IFERROR(__xludf.DUMMYFUNCTION("""COMPUTED_VALUE"""),18.767)</f>
        <v>18.767</v>
      </c>
    </row>
    <row r="646">
      <c r="A646" s="8" t="str">
        <f>IFERROR(__xludf.DUMMYFUNCTION("""COMPUTED_VALUE"""),"CA-2014-154669")</f>
        <v>CA-2014-154669</v>
      </c>
      <c r="B646" s="9">
        <f>IFERROR(__xludf.DUMMYFUNCTION("""COMPUTED_VALUE"""),41859.0)</f>
        <v>41859</v>
      </c>
      <c r="C646" s="8" t="str">
        <f>IFERROR(__xludf.DUMMYFUNCTION("""COMPUTED_VALUE"""),"Consumer")</f>
        <v>Consumer</v>
      </c>
      <c r="D646" s="8" t="str">
        <f>IFERROR(__xludf.DUMMYFUNCTION("""COMPUTED_VALUE"""),"California")</f>
        <v>California</v>
      </c>
      <c r="E646" s="8" t="str">
        <f>IFERROR(__xludf.DUMMYFUNCTION("""COMPUTED_VALUE"""),"West")</f>
        <v>West</v>
      </c>
      <c r="F646" s="10">
        <f>IFERROR(__xludf.DUMMYFUNCTION("""COMPUTED_VALUE"""),423.28)</f>
        <v>423.28</v>
      </c>
      <c r="G646" s="11">
        <f>IFERROR(__xludf.DUMMYFUNCTION("""COMPUTED_VALUE"""),11.0)</f>
        <v>11</v>
      </c>
      <c r="H646" s="11">
        <f>IFERROR(__xludf.DUMMYFUNCTION("""COMPUTED_VALUE"""),110.0528)</f>
        <v>110.0528</v>
      </c>
    </row>
    <row r="647">
      <c r="A647" s="8" t="str">
        <f>IFERROR(__xludf.DUMMYFUNCTION("""COMPUTED_VALUE"""),"CA-2014-154781")</f>
        <v>CA-2014-154781</v>
      </c>
      <c r="B647" s="9">
        <f>IFERROR(__xludf.DUMMYFUNCTION("""COMPUTED_VALUE"""),41964.0)</f>
        <v>41964</v>
      </c>
      <c r="C647" s="8" t="str">
        <f>IFERROR(__xludf.DUMMYFUNCTION("""COMPUTED_VALUE"""),"Home Office")</f>
        <v>Home Office</v>
      </c>
      <c r="D647" s="8" t="str">
        <f>IFERROR(__xludf.DUMMYFUNCTION("""COMPUTED_VALUE"""),"California")</f>
        <v>California</v>
      </c>
      <c r="E647" s="8" t="str">
        <f>IFERROR(__xludf.DUMMYFUNCTION("""COMPUTED_VALUE"""),"West")</f>
        <v>West</v>
      </c>
      <c r="F647" s="10">
        <f>IFERROR(__xludf.DUMMYFUNCTION("""COMPUTED_VALUE"""),6.58)</f>
        <v>6.58</v>
      </c>
      <c r="G647" s="11">
        <f>IFERROR(__xludf.DUMMYFUNCTION("""COMPUTED_VALUE"""),2.0)</f>
        <v>2</v>
      </c>
      <c r="H647" s="11">
        <f>IFERROR(__xludf.DUMMYFUNCTION("""COMPUTED_VALUE"""),3.0268)</f>
        <v>3.0268</v>
      </c>
    </row>
    <row r="648">
      <c r="A648" s="8" t="str">
        <f>IFERROR(__xludf.DUMMYFUNCTION("""COMPUTED_VALUE"""),"CA-2014-154837")</f>
        <v>CA-2014-154837</v>
      </c>
      <c r="B648" s="9">
        <f>IFERROR(__xludf.DUMMYFUNCTION("""COMPUTED_VALUE"""),41874.0)</f>
        <v>41874</v>
      </c>
      <c r="C648" s="8" t="str">
        <f>IFERROR(__xludf.DUMMYFUNCTION("""COMPUTED_VALUE"""),"Corporate")</f>
        <v>Corporate</v>
      </c>
      <c r="D648" s="8" t="str">
        <f>IFERROR(__xludf.DUMMYFUNCTION("""COMPUTED_VALUE"""),"California")</f>
        <v>California</v>
      </c>
      <c r="E648" s="8" t="str">
        <f>IFERROR(__xludf.DUMMYFUNCTION("""COMPUTED_VALUE"""),"West")</f>
        <v>West</v>
      </c>
      <c r="F648" s="10">
        <f>IFERROR(__xludf.DUMMYFUNCTION("""COMPUTED_VALUE"""),49.568)</f>
        <v>49.568</v>
      </c>
      <c r="G648" s="11">
        <f>IFERROR(__xludf.DUMMYFUNCTION("""COMPUTED_VALUE"""),2.0)</f>
        <v>2</v>
      </c>
      <c r="H648" s="11">
        <f>IFERROR(__xludf.DUMMYFUNCTION("""COMPUTED_VALUE"""),17.3488)</f>
        <v>17.3488</v>
      </c>
    </row>
    <row r="649">
      <c r="A649" s="8" t="str">
        <f>IFERROR(__xludf.DUMMYFUNCTION("""COMPUTED_VALUE"""),"CA-2014-154893")</f>
        <v>CA-2014-154893</v>
      </c>
      <c r="B649" s="9">
        <f>IFERROR(__xludf.DUMMYFUNCTION("""COMPUTED_VALUE"""),41994.0)</f>
        <v>41994</v>
      </c>
      <c r="C649" s="8" t="str">
        <f>IFERROR(__xludf.DUMMYFUNCTION("""COMPUTED_VALUE"""),"Consumer")</f>
        <v>Consumer</v>
      </c>
      <c r="D649" s="8" t="str">
        <f>IFERROR(__xludf.DUMMYFUNCTION("""COMPUTED_VALUE"""),"California")</f>
        <v>California</v>
      </c>
      <c r="E649" s="8" t="str">
        <f>IFERROR(__xludf.DUMMYFUNCTION("""COMPUTED_VALUE"""),"West")</f>
        <v>West</v>
      </c>
      <c r="F649" s="10">
        <f>IFERROR(__xludf.DUMMYFUNCTION("""COMPUTED_VALUE"""),1325.76)</f>
        <v>1325.76</v>
      </c>
      <c r="G649" s="11">
        <f>IFERROR(__xludf.DUMMYFUNCTION("""COMPUTED_VALUE"""),6.0)</f>
        <v>6</v>
      </c>
      <c r="H649" s="11">
        <f>IFERROR(__xludf.DUMMYFUNCTION("""COMPUTED_VALUE"""),149.148)</f>
        <v>149.148</v>
      </c>
    </row>
    <row r="650">
      <c r="A650" s="8" t="str">
        <f>IFERROR(__xludf.DUMMYFUNCTION("""COMPUTED_VALUE"""),"CA-2014-154963")</f>
        <v>CA-2014-154963</v>
      </c>
      <c r="B650" s="9">
        <f>IFERROR(__xludf.DUMMYFUNCTION("""COMPUTED_VALUE"""),41812.0)</f>
        <v>41812</v>
      </c>
      <c r="C650" s="8" t="str">
        <f>IFERROR(__xludf.DUMMYFUNCTION("""COMPUTED_VALUE"""),"Consumer")</f>
        <v>Consumer</v>
      </c>
      <c r="D650" s="8" t="str">
        <f>IFERROR(__xludf.DUMMYFUNCTION("""COMPUTED_VALUE"""),"Pennsylvania")</f>
        <v>Pennsylvania</v>
      </c>
      <c r="E650" s="8" t="str">
        <f>IFERROR(__xludf.DUMMYFUNCTION("""COMPUTED_VALUE"""),"East")</f>
        <v>East</v>
      </c>
      <c r="F650" s="10">
        <f>IFERROR(__xludf.DUMMYFUNCTION("""COMPUTED_VALUE"""),170.058)</f>
        <v>170.058</v>
      </c>
      <c r="G650" s="11">
        <f>IFERROR(__xludf.DUMMYFUNCTION("""COMPUTED_VALUE"""),3.0)</f>
        <v>3</v>
      </c>
      <c r="H650" s="11">
        <f>IFERROR(__xludf.DUMMYFUNCTION("""COMPUTED_VALUE"""),-4.8588)</f>
        <v>-4.8588</v>
      </c>
    </row>
    <row r="651">
      <c r="A651" s="8" t="str">
        <f>IFERROR(__xludf.DUMMYFUNCTION("""COMPUTED_VALUE"""),"CA-2014-155208")</f>
        <v>CA-2014-155208</v>
      </c>
      <c r="B651" s="9">
        <f>IFERROR(__xludf.DUMMYFUNCTION("""COMPUTED_VALUE"""),41745.0)</f>
        <v>41745</v>
      </c>
      <c r="C651" s="8" t="str">
        <f>IFERROR(__xludf.DUMMYFUNCTION("""COMPUTED_VALUE"""),"Corporate")</f>
        <v>Corporate</v>
      </c>
      <c r="D651" s="8" t="str">
        <f>IFERROR(__xludf.DUMMYFUNCTION("""COMPUTED_VALUE"""),"North Carolina")</f>
        <v>North Carolina</v>
      </c>
      <c r="E651" s="8" t="str">
        <f>IFERROR(__xludf.DUMMYFUNCTION("""COMPUTED_VALUE"""),"South")</f>
        <v>South</v>
      </c>
      <c r="F651" s="10">
        <f>IFERROR(__xludf.DUMMYFUNCTION("""COMPUTED_VALUE"""),39.072)</f>
        <v>39.072</v>
      </c>
      <c r="G651" s="11">
        <f>IFERROR(__xludf.DUMMYFUNCTION("""COMPUTED_VALUE"""),6.0)</f>
        <v>6</v>
      </c>
      <c r="H651" s="11">
        <f>IFERROR(__xludf.DUMMYFUNCTION("""COMPUTED_VALUE"""),9.768)</f>
        <v>9.768</v>
      </c>
    </row>
    <row r="652">
      <c r="A652" s="8" t="str">
        <f>IFERROR(__xludf.DUMMYFUNCTION("""COMPUTED_VALUE"""),"CA-2014-155264")</f>
        <v>CA-2014-155264</v>
      </c>
      <c r="B652" s="9">
        <f>IFERROR(__xludf.DUMMYFUNCTION("""COMPUTED_VALUE"""),41931.0)</f>
        <v>41931</v>
      </c>
      <c r="C652" s="8" t="str">
        <f>IFERROR(__xludf.DUMMYFUNCTION("""COMPUTED_VALUE"""),"Corporate")</f>
        <v>Corporate</v>
      </c>
      <c r="D652" s="8" t="str">
        <f>IFERROR(__xludf.DUMMYFUNCTION("""COMPUTED_VALUE"""),"California")</f>
        <v>California</v>
      </c>
      <c r="E652" s="8" t="str">
        <f>IFERROR(__xludf.DUMMYFUNCTION("""COMPUTED_VALUE"""),"West")</f>
        <v>West</v>
      </c>
      <c r="F652" s="10">
        <f>IFERROR(__xludf.DUMMYFUNCTION("""COMPUTED_VALUE"""),2.992)</f>
        <v>2.992</v>
      </c>
      <c r="G652" s="11">
        <f>IFERROR(__xludf.DUMMYFUNCTION("""COMPUTED_VALUE"""),1.0)</f>
        <v>1</v>
      </c>
      <c r="H652" s="11">
        <f>IFERROR(__xludf.DUMMYFUNCTION("""COMPUTED_VALUE"""),1.122)</f>
        <v>1.122</v>
      </c>
    </row>
    <row r="653">
      <c r="A653" s="8" t="str">
        <f>IFERROR(__xludf.DUMMYFUNCTION("""COMPUTED_VALUE"""),"CA-2014-155271")</f>
        <v>CA-2014-155271</v>
      </c>
      <c r="B653" s="9">
        <f>IFERROR(__xludf.DUMMYFUNCTION("""COMPUTED_VALUE"""),41763.0)</f>
        <v>41763</v>
      </c>
      <c r="C653" s="8" t="str">
        <f>IFERROR(__xludf.DUMMYFUNCTION("""COMPUTED_VALUE"""),"Consumer")</f>
        <v>Consumer</v>
      </c>
      <c r="D653" s="8" t="str">
        <f>IFERROR(__xludf.DUMMYFUNCTION("""COMPUTED_VALUE"""),"Connecticut")</f>
        <v>Connecticut</v>
      </c>
      <c r="E653" s="8" t="str">
        <f>IFERROR(__xludf.DUMMYFUNCTION("""COMPUTED_VALUE"""),"East")</f>
        <v>East</v>
      </c>
      <c r="F653" s="10">
        <f>IFERROR(__xludf.DUMMYFUNCTION("""COMPUTED_VALUE"""),27.46)</f>
        <v>27.46</v>
      </c>
      <c r="G653" s="11">
        <f>IFERROR(__xludf.DUMMYFUNCTION("""COMPUTED_VALUE"""),2.0)</f>
        <v>2</v>
      </c>
      <c r="H653" s="11">
        <f>IFERROR(__xludf.DUMMYFUNCTION("""COMPUTED_VALUE"""),9.8856)</f>
        <v>9.8856</v>
      </c>
    </row>
    <row r="654">
      <c r="A654" s="8" t="str">
        <f>IFERROR(__xludf.DUMMYFUNCTION("""COMPUTED_VALUE"""),"CA-2014-155390")</f>
        <v>CA-2014-155390</v>
      </c>
      <c r="B654" s="9">
        <f>IFERROR(__xludf.DUMMYFUNCTION("""COMPUTED_VALUE"""),41979.0)</f>
        <v>41979</v>
      </c>
      <c r="C654" s="8" t="str">
        <f>IFERROR(__xludf.DUMMYFUNCTION("""COMPUTED_VALUE"""),"Consumer")</f>
        <v>Consumer</v>
      </c>
      <c r="D654" s="8" t="str">
        <f>IFERROR(__xludf.DUMMYFUNCTION("""COMPUTED_VALUE"""),"Tennessee")</f>
        <v>Tennessee</v>
      </c>
      <c r="E654" s="8" t="str">
        <f>IFERROR(__xludf.DUMMYFUNCTION("""COMPUTED_VALUE"""),"South")</f>
        <v>South</v>
      </c>
      <c r="F654" s="10">
        <f>IFERROR(__xludf.DUMMYFUNCTION("""COMPUTED_VALUE"""),42.208)</f>
        <v>42.208</v>
      </c>
      <c r="G654" s="11">
        <f>IFERROR(__xludf.DUMMYFUNCTION("""COMPUTED_VALUE"""),2.0)</f>
        <v>2</v>
      </c>
      <c r="H654" s="11">
        <f>IFERROR(__xludf.DUMMYFUNCTION("""COMPUTED_VALUE"""),13.7176)</f>
        <v>13.7176</v>
      </c>
    </row>
    <row r="655">
      <c r="A655" s="8" t="str">
        <f>IFERROR(__xludf.DUMMYFUNCTION("""COMPUTED_VALUE"""),"CA-2014-155593")</f>
        <v>CA-2014-155593</v>
      </c>
      <c r="B655" s="9">
        <f>IFERROR(__xludf.DUMMYFUNCTION("""COMPUTED_VALUE"""),41946.0)</f>
        <v>41946</v>
      </c>
      <c r="C655" s="8" t="str">
        <f>IFERROR(__xludf.DUMMYFUNCTION("""COMPUTED_VALUE"""),"Consumer")</f>
        <v>Consumer</v>
      </c>
      <c r="D655" s="8" t="str">
        <f>IFERROR(__xludf.DUMMYFUNCTION("""COMPUTED_VALUE"""),"Connecticut")</f>
        <v>Connecticut</v>
      </c>
      <c r="E655" s="8" t="str">
        <f>IFERROR(__xludf.DUMMYFUNCTION("""COMPUTED_VALUE"""),"East")</f>
        <v>East</v>
      </c>
      <c r="F655" s="10">
        <f>IFERROR(__xludf.DUMMYFUNCTION("""COMPUTED_VALUE"""),11.64)</f>
        <v>11.64</v>
      </c>
      <c r="G655" s="11">
        <f>IFERROR(__xludf.DUMMYFUNCTION("""COMPUTED_VALUE"""),3.0)</f>
        <v>3</v>
      </c>
      <c r="H655" s="11">
        <f>IFERROR(__xludf.DUMMYFUNCTION("""COMPUTED_VALUE"""),3.3756)</f>
        <v>3.3756</v>
      </c>
    </row>
    <row r="656">
      <c r="A656" s="8" t="str">
        <f>IFERROR(__xludf.DUMMYFUNCTION("""COMPUTED_VALUE"""),"CA-2014-155796")</f>
        <v>CA-2014-155796</v>
      </c>
      <c r="B656" s="9">
        <f>IFERROR(__xludf.DUMMYFUNCTION("""COMPUTED_VALUE"""),41954.0)</f>
        <v>41954</v>
      </c>
      <c r="C656" s="8" t="str">
        <f>IFERROR(__xludf.DUMMYFUNCTION("""COMPUTED_VALUE"""),"Corporate")</f>
        <v>Corporate</v>
      </c>
      <c r="D656" s="8" t="str">
        <f>IFERROR(__xludf.DUMMYFUNCTION("""COMPUTED_VALUE"""),"Pennsylvania")</f>
        <v>Pennsylvania</v>
      </c>
      <c r="E656" s="8" t="str">
        <f>IFERROR(__xludf.DUMMYFUNCTION("""COMPUTED_VALUE"""),"East")</f>
        <v>East</v>
      </c>
      <c r="F656" s="10">
        <f>IFERROR(__xludf.DUMMYFUNCTION("""COMPUTED_VALUE"""),23.968)</f>
        <v>23.968</v>
      </c>
      <c r="G656" s="11">
        <f>IFERROR(__xludf.DUMMYFUNCTION("""COMPUTED_VALUE"""),2.0)</f>
        <v>2</v>
      </c>
      <c r="H656" s="11">
        <f>IFERROR(__xludf.DUMMYFUNCTION("""COMPUTED_VALUE"""),7.7896)</f>
        <v>7.7896</v>
      </c>
    </row>
    <row r="657">
      <c r="A657" s="8" t="str">
        <f>IFERROR(__xludf.DUMMYFUNCTION("""COMPUTED_VALUE"""),"CA-2014-155852")</f>
        <v>CA-2014-155852</v>
      </c>
      <c r="B657" s="9">
        <f>IFERROR(__xludf.DUMMYFUNCTION("""COMPUTED_VALUE"""),41701.0)</f>
        <v>41701</v>
      </c>
      <c r="C657" s="8" t="str">
        <f>IFERROR(__xludf.DUMMYFUNCTION("""COMPUTED_VALUE"""),"Consumer")</f>
        <v>Consumer</v>
      </c>
      <c r="D657" s="8" t="str">
        <f>IFERROR(__xludf.DUMMYFUNCTION("""COMPUTED_VALUE"""),"North Carolina")</f>
        <v>North Carolina</v>
      </c>
      <c r="E657" s="8" t="str">
        <f>IFERROR(__xludf.DUMMYFUNCTION("""COMPUTED_VALUE"""),"South")</f>
        <v>South</v>
      </c>
      <c r="F657" s="10">
        <f>IFERROR(__xludf.DUMMYFUNCTION("""COMPUTED_VALUE"""),19.456)</f>
        <v>19.456</v>
      </c>
      <c r="G657" s="11">
        <f>IFERROR(__xludf.DUMMYFUNCTION("""COMPUTED_VALUE"""),4.0)</f>
        <v>4</v>
      </c>
      <c r="H657" s="11">
        <f>IFERROR(__xludf.DUMMYFUNCTION("""COMPUTED_VALUE"""),3.4048)</f>
        <v>3.4048</v>
      </c>
    </row>
    <row r="658">
      <c r="A658" s="8" t="str">
        <f>IFERROR(__xludf.DUMMYFUNCTION("""COMPUTED_VALUE"""),"CA-2014-155887")</f>
        <v>CA-2014-155887</v>
      </c>
      <c r="B658" s="9">
        <f>IFERROR(__xludf.DUMMYFUNCTION("""COMPUTED_VALUE"""),41771.0)</f>
        <v>41771</v>
      </c>
      <c r="C658" s="8" t="str">
        <f>IFERROR(__xludf.DUMMYFUNCTION("""COMPUTED_VALUE"""),"Consumer")</f>
        <v>Consumer</v>
      </c>
      <c r="D658" s="8" t="str">
        <f>IFERROR(__xludf.DUMMYFUNCTION("""COMPUTED_VALUE"""),"Massachusetts")</f>
        <v>Massachusetts</v>
      </c>
      <c r="E658" s="8" t="str">
        <f>IFERROR(__xludf.DUMMYFUNCTION("""COMPUTED_VALUE"""),"East")</f>
        <v>East</v>
      </c>
      <c r="F658" s="10">
        <f>IFERROR(__xludf.DUMMYFUNCTION("""COMPUTED_VALUE"""),700.056)</f>
        <v>700.056</v>
      </c>
      <c r="G658" s="11">
        <f>IFERROR(__xludf.DUMMYFUNCTION("""COMPUTED_VALUE"""),3.0)</f>
        <v>3</v>
      </c>
      <c r="H658" s="11">
        <f>IFERROR(__xludf.DUMMYFUNCTION("""COMPUTED_VALUE"""),-130.0104)</f>
        <v>-130.0104</v>
      </c>
    </row>
    <row r="659">
      <c r="A659" s="8" t="str">
        <f>IFERROR(__xludf.DUMMYFUNCTION("""COMPUTED_VALUE"""),"CA-2014-156006")</f>
        <v>CA-2014-156006</v>
      </c>
      <c r="B659" s="9">
        <f>IFERROR(__xludf.DUMMYFUNCTION("""COMPUTED_VALUE"""),41759.0)</f>
        <v>41759</v>
      </c>
      <c r="C659" s="8" t="str">
        <f>IFERROR(__xludf.DUMMYFUNCTION("""COMPUTED_VALUE"""),"Consumer")</f>
        <v>Consumer</v>
      </c>
      <c r="D659" s="8" t="str">
        <f>IFERROR(__xludf.DUMMYFUNCTION("""COMPUTED_VALUE"""),"Mississippi")</f>
        <v>Mississippi</v>
      </c>
      <c r="E659" s="8" t="str">
        <f>IFERROR(__xludf.DUMMYFUNCTION("""COMPUTED_VALUE"""),"South")</f>
        <v>South</v>
      </c>
      <c r="F659" s="10">
        <f>IFERROR(__xludf.DUMMYFUNCTION("""COMPUTED_VALUE"""),47.79)</f>
        <v>47.79</v>
      </c>
      <c r="G659" s="11">
        <f>IFERROR(__xludf.DUMMYFUNCTION("""COMPUTED_VALUE"""),3.0)</f>
        <v>3</v>
      </c>
      <c r="H659" s="11">
        <f>IFERROR(__xludf.DUMMYFUNCTION("""COMPUTED_VALUE"""),16.2486)</f>
        <v>16.2486</v>
      </c>
    </row>
    <row r="660">
      <c r="A660" s="8" t="str">
        <f>IFERROR(__xludf.DUMMYFUNCTION("""COMPUTED_VALUE"""),"CA-2014-156160")</f>
        <v>CA-2014-156160</v>
      </c>
      <c r="B660" s="9">
        <f>IFERROR(__xludf.DUMMYFUNCTION("""COMPUTED_VALUE"""),41904.0)</f>
        <v>41904</v>
      </c>
      <c r="C660" s="8" t="str">
        <f>IFERROR(__xludf.DUMMYFUNCTION("""COMPUTED_VALUE"""),"Consumer")</f>
        <v>Consumer</v>
      </c>
      <c r="D660" s="8" t="str">
        <f>IFERROR(__xludf.DUMMYFUNCTION("""COMPUTED_VALUE"""),"New York")</f>
        <v>New York</v>
      </c>
      <c r="E660" s="8" t="str">
        <f>IFERROR(__xludf.DUMMYFUNCTION("""COMPUTED_VALUE"""),"East")</f>
        <v>East</v>
      </c>
      <c r="F660" s="10">
        <f>IFERROR(__xludf.DUMMYFUNCTION("""COMPUTED_VALUE"""),97.44)</f>
        <v>97.44</v>
      </c>
      <c r="G660" s="11">
        <f>IFERROR(__xludf.DUMMYFUNCTION("""COMPUTED_VALUE"""),3.0)</f>
        <v>3</v>
      </c>
      <c r="H660" s="11">
        <f>IFERROR(__xludf.DUMMYFUNCTION("""COMPUTED_VALUE"""),35.0784)</f>
        <v>35.0784</v>
      </c>
    </row>
    <row r="661">
      <c r="A661" s="8" t="str">
        <f>IFERROR(__xludf.DUMMYFUNCTION("""COMPUTED_VALUE"""),"CA-2014-156244")</f>
        <v>CA-2014-156244</v>
      </c>
      <c r="B661" s="9">
        <f>IFERROR(__xludf.DUMMYFUNCTION("""COMPUTED_VALUE"""),41863.0)</f>
        <v>41863</v>
      </c>
      <c r="C661" s="8" t="str">
        <f>IFERROR(__xludf.DUMMYFUNCTION("""COMPUTED_VALUE"""),"Home Office")</f>
        <v>Home Office</v>
      </c>
      <c r="D661" s="8" t="str">
        <f>IFERROR(__xludf.DUMMYFUNCTION("""COMPUTED_VALUE"""),"Florida")</f>
        <v>Florida</v>
      </c>
      <c r="E661" s="8" t="str">
        <f>IFERROR(__xludf.DUMMYFUNCTION("""COMPUTED_VALUE"""),"South")</f>
        <v>South</v>
      </c>
      <c r="F661" s="10">
        <f>IFERROR(__xludf.DUMMYFUNCTION("""COMPUTED_VALUE"""),31.104)</f>
        <v>31.104</v>
      </c>
      <c r="G661" s="11">
        <f>IFERROR(__xludf.DUMMYFUNCTION("""COMPUTED_VALUE"""),6.0)</f>
        <v>6</v>
      </c>
      <c r="H661" s="11">
        <f>IFERROR(__xludf.DUMMYFUNCTION("""COMPUTED_VALUE"""),10.8864)</f>
        <v>10.8864</v>
      </c>
    </row>
    <row r="662">
      <c r="A662" s="8" t="str">
        <f>IFERROR(__xludf.DUMMYFUNCTION("""COMPUTED_VALUE"""),"CA-2014-156314")</f>
        <v>CA-2014-156314</v>
      </c>
      <c r="B662" s="9">
        <f>IFERROR(__xludf.DUMMYFUNCTION("""COMPUTED_VALUE"""),41997.0)</f>
        <v>41997</v>
      </c>
      <c r="C662" s="8" t="str">
        <f>IFERROR(__xludf.DUMMYFUNCTION("""COMPUTED_VALUE"""),"Consumer")</f>
        <v>Consumer</v>
      </c>
      <c r="D662" s="8" t="str">
        <f>IFERROR(__xludf.DUMMYFUNCTION("""COMPUTED_VALUE"""),"Ohio")</f>
        <v>Ohio</v>
      </c>
      <c r="E662" s="8" t="str">
        <f>IFERROR(__xludf.DUMMYFUNCTION("""COMPUTED_VALUE"""),"East")</f>
        <v>East</v>
      </c>
      <c r="F662" s="10">
        <f>IFERROR(__xludf.DUMMYFUNCTION("""COMPUTED_VALUE"""),30.36)</f>
        <v>30.36</v>
      </c>
      <c r="G662" s="11">
        <f>IFERROR(__xludf.DUMMYFUNCTION("""COMPUTED_VALUE"""),5.0)</f>
        <v>5</v>
      </c>
      <c r="H662" s="11">
        <f>IFERROR(__xludf.DUMMYFUNCTION("""COMPUTED_VALUE"""),8.7285)</f>
        <v>8.7285</v>
      </c>
    </row>
    <row r="663">
      <c r="A663" s="8" t="str">
        <f>IFERROR(__xludf.DUMMYFUNCTION("""COMPUTED_VALUE"""),"CA-2014-156342")</f>
        <v>CA-2014-156342</v>
      </c>
      <c r="B663" s="9">
        <f>IFERROR(__xludf.DUMMYFUNCTION("""COMPUTED_VALUE"""),41807.0)</f>
        <v>41807</v>
      </c>
      <c r="C663" s="8" t="str">
        <f>IFERROR(__xludf.DUMMYFUNCTION("""COMPUTED_VALUE"""),"Consumer")</f>
        <v>Consumer</v>
      </c>
      <c r="D663" s="8" t="str">
        <f>IFERROR(__xludf.DUMMYFUNCTION("""COMPUTED_VALUE"""),"Illinois")</f>
        <v>Illinois</v>
      </c>
      <c r="E663" s="8" t="str">
        <f>IFERROR(__xludf.DUMMYFUNCTION("""COMPUTED_VALUE"""),"Central")</f>
        <v>Central</v>
      </c>
      <c r="F663" s="10">
        <f>IFERROR(__xludf.DUMMYFUNCTION("""COMPUTED_VALUE"""),62.016)</f>
        <v>62.016</v>
      </c>
      <c r="G663" s="11">
        <f>IFERROR(__xludf.DUMMYFUNCTION("""COMPUTED_VALUE"""),2.0)</f>
        <v>2</v>
      </c>
      <c r="H663" s="11">
        <f>IFERROR(__xludf.DUMMYFUNCTION("""COMPUTED_VALUE"""),22.4808)</f>
        <v>22.4808</v>
      </c>
    </row>
    <row r="664">
      <c r="A664" s="8" t="str">
        <f>IFERROR(__xludf.DUMMYFUNCTION("""COMPUTED_VALUE"""),"CA-2014-156349")</f>
        <v>CA-2014-156349</v>
      </c>
      <c r="B664" s="9">
        <f>IFERROR(__xludf.DUMMYFUNCTION("""COMPUTED_VALUE"""),41785.0)</f>
        <v>41785</v>
      </c>
      <c r="C664" s="8" t="str">
        <f>IFERROR(__xludf.DUMMYFUNCTION("""COMPUTED_VALUE"""),"Corporate")</f>
        <v>Corporate</v>
      </c>
      <c r="D664" s="8" t="str">
        <f>IFERROR(__xludf.DUMMYFUNCTION("""COMPUTED_VALUE"""),"California")</f>
        <v>California</v>
      </c>
      <c r="E664" s="8" t="str">
        <f>IFERROR(__xludf.DUMMYFUNCTION("""COMPUTED_VALUE"""),"West")</f>
        <v>West</v>
      </c>
      <c r="F664" s="10">
        <f>IFERROR(__xludf.DUMMYFUNCTION("""COMPUTED_VALUE"""),290.666)</f>
        <v>290.666</v>
      </c>
      <c r="G664" s="11">
        <f>IFERROR(__xludf.DUMMYFUNCTION("""COMPUTED_VALUE"""),2.0)</f>
        <v>2</v>
      </c>
      <c r="H664" s="11">
        <f>IFERROR(__xludf.DUMMYFUNCTION("""COMPUTED_VALUE"""),27.3568)</f>
        <v>27.3568</v>
      </c>
    </row>
    <row r="665">
      <c r="A665" s="8" t="str">
        <f>IFERROR(__xludf.DUMMYFUNCTION("""COMPUTED_VALUE"""),"CA-2014-156433")</f>
        <v>CA-2014-156433</v>
      </c>
      <c r="B665" s="9">
        <f>IFERROR(__xludf.DUMMYFUNCTION("""COMPUTED_VALUE"""),41902.0)</f>
        <v>41902</v>
      </c>
      <c r="C665" s="8" t="str">
        <f>IFERROR(__xludf.DUMMYFUNCTION("""COMPUTED_VALUE"""),"Consumer")</f>
        <v>Consumer</v>
      </c>
      <c r="D665" s="8" t="str">
        <f>IFERROR(__xludf.DUMMYFUNCTION("""COMPUTED_VALUE"""),"California")</f>
        <v>California</v>
      </c>
      <c r="E665" s="8" t="str">
        <f>IFERROR(__xludf.DUMMYFUNCTION("""COMPUTED_VALUE"""),"West")</f>
        <v>West</v>
      </c>
      <c r="F665" s="10">
        <f>IFERROR(__xludf.DUMMYFUNCTION("""COMPUTED_VALUE"""),9.96)</f>
        <v>9.96</v>
      </c>
      <c r="G665" s="11">
        <f>IFERROR(__xludf.DUMMYFUNCTION("""COMPUTED_VALUE"""),2.0)</f>
        <v>2</v>
      </c>
      <c r="H665" s="11">
        <f>IFERROR(__xludf.DUMMYFUNCTION("""COMPUTED_VALUE"""),4.5816)</f>
        <v>4.5816</v>
      </c>
    </row>
    <row r="666">
      <c r="A666" s="8" t="str">
        <f>IFERROR(__xludf.DUMMYFUNCTION("""COMPUTED_VALUE"""),"CA-2014-156545")</f>
        <v>CA-2014-156545</v>
      </c>
      <c r="B666" s="9">
        <f>IFERROR(__xludf.DUMMYFUNCTION("""COMPUTED_VALUE"""),41697.0)</f>
        <v>41697</v>
      </c>
      <c r="C666" s="8" t="str">
        <f>IFERROR(__xludf.DUMMYFUNCTION("""COMPUTED_VALUE"""),"Consumer")</f>
        <v>Consumer</v>
      </c>
      <c r="D666" s="8" t="str">
        <f>IFERROR(__xludf.DUMMYFUNCTION("""COMPUTED_VALUE"""),"Ohio")</f>
        <v>Ohio</v>
      </c>
      <c r="E666" s="8" t="str">
        <f>IFERROR(__xludf.DUMMYFUNCTION("""COMPUTED_VALUE"""),"East")</f>
        <v>East</v>
      </c>
      <c r="F666" s="10">
        <f>IFERROR(__xludf.DUMMYFUNCTION("""COMPUTED_VALUE"""),19.456)</f>
        <v>19.456</v>
      </c>
      <c r="G666" s="11">
        <f>IFERROR(__xludf.DUMMYFUNCTION("""COMPUTED_VALUE"""),4.0)</f>
        <v>4</v>
      </c>
      <c r="H666" s="11">
        <f>IFERROR(__xludf.DUMMYFUNCTION("""COMPUTED_VALUE"""),3.4048)</f>
        <v>3.4048</v>
      </c>
    </row>
    <row r="667">
      <c r="A667" s="8" t="str">
        <f>IFERROR(__xludf.DUMMYFUNCTION("""COMPUTED_VALUE"""),"CA-2014-156587")</f>
        <v>CA-2014-156587</v>
      </c>
      <c r="B667" s="9">
        <f>IFERROR(__xludf.DUMMYFUNCTION("""COMPUTED_VALUE"""),41705.0)</f>
        <v>41705</v>
      </c>
      <c r="C667" s="8" t="str">
        <f>IFERROR(__xludf.DUMMYFUNCTION("""COMPUTED_VALUE"""),"Consumer")</f>
        <v>Consumer</v>
      </c>
      <c r="D667" s="8" t="str">
        <f>IFERROR(__xludf.DUMMYFUNCTION("""COMPUTED_VALUE"""),"Washington")</f>
        <v>Washington</v>
      </c>
      <c r="E667" s="8" t="str">
        <f>IFERROR(__xludf.DUMMYFUNCTION("""COMPUTED_VALUE"""),"West")</f>
        <v>West</v>
      </c>
      <c r="F667" s="10">
        <f>IFERROR(__xludf.DUMMYFUNCTION("""COMPUTED_VALUE"""),48.712)</f>
        <v>48.712</v>
      </c>
      <c r="G667" s="11">
        <f>IFERROR(__xludf.DUMMYFUNCTION("""COMPUTED_VALUE"""),1.0)</f>
        <v>1</v>
      </c>
      <c r="H667" s="11">
        <f>IFERROR(__xludf.DUMMYFUNCTION("""COMPUTED_VALUE"""),5.4801)</f>
        <v>5.4801</v>
      </c>
    </row>
    <row r="668">
      <c r="A668" s="8" t="str">
        <f>IFERROR(__xludf.DUMMYFUNCTION("""COMPUTED_VALUE"""),"CA-2014-156594")</f>
        <v>CA-2014-156594</v>
      </c>
      <c r="B668" s="9">
        <f>IFERROR(__xludf.DUMMYFUNCTION("""COMPUTED_VALUE"""),41993.0)</f>
        <v>41993</v>
      </c>
      <c r="C668" s="8" t="str">
        <f>IFERROR(__xludf.DUMMYFUNCTION("""COMPUTED_VALUE"""),"Consumer")</f>
        <v>Consumer</v>
      </c>
      <c r="D668" s="8" t="str">
        <f>IFERROR(__xludf.DUMMYFUNCTION("""COMPUTED_VALUE"""),"California")</f>
        <v>California</v>
      </c>
      <c r="E668" s="8" t="str">
        <f>IFERROR(__xludf.DUMMYFUNCTION("""COMPUTED_VALUE"""),"West")</f>
        <v>West</v>
      </c>
      <c r="F668" s="10">
        <f>IFERROR(__xludf.DUMMYFUNCTION("""COMPUTED_VALUE"""),487.984)</f>
        <v>487.984</v>
      </c>
      <c r="G668" s="11">
        <f>IFERROR(__xludf.DUMMYFUNCTION("""COMPUTED_VALUE"""),2.0)</f>
        <v>2</v>
      </c>
      <c r="H668" s="11">
        <f>IFERROR(__xludf.DUMMYFUNCTION("""COMPUTED_VALUE"""),152.495)</f>
        <v>152.495</v>
      </c>
    </row>
    <row r="669">
      <c r="A669" s="8" t="str">
        <f>IFERROR(__xludf.DUMMYFUNCTION("""COMPUTED_VALUE"""),"CA-2014-156601")</f>
        <v>CA-2014-156601</v>
      </c>
      <c r="B669" s="9">
        <f>IFERROR(__xludf.DUMMYFUNCTION("""COMPUTED_VALUE"""),41901.0)</f>
        <v>41901</v>
      </c>
      <c r="C669" s="8" t="str">
        <f>IFERROR(__xludf.DUMMYFUNCTION("""COMPUTED_VALUE"""),"Corporate")</f>
        <v>Corporate</v>
      </c>
      <c r="D669" s="8" t="str">
        <f>IFERROR(__xludf.DUMMYFUNCTION("""COMPUTED_VALUE"""),"California")</f>
        <v>California</v>
      </c>
      <c r="E669" s="8" t="str">
        <f>IFERROR(__xludf.DUMMYFUNCTION("""COMPUTED_VALUE"""),"West")</f>
        <v>West</v>
      </c>
      <c r="F669" s="10">
        <f>IFERROR(__xludf.DUMMYFUNCTION("""COMPUTED_VALUE"""),7.16)</f>
        <v>7.16</v>
      </c>
      <c r="G669" s="11">
        <f>IFERROR(__xludf.DUMMYFUNCTION("""COMPUTED_VALUE"""),2.0)</f>
        <v>2</v>
      </c>
      <c r="H669" s="11">
        <f>IFERROR(__xludf.DUMMYFUNCTION("""COMPUTED_VALUE"""),3.58)</f>
        <v>3.58</v>
      </c>
    </row>
    <row r="670">
      <c r="A670" s="8" t="str">
        <f>IFERROR(__xludf.DUMMYFUNCTION("""COMPUTED_VALUE"""),"CA-2014-156790")</f>
        <v>CA-2014-156790</v>
      </c>
      <c r="B670" s="9">
        <f>IFERROR(__xludf.DUMMYFUNCTION("""COMPUTED_VALUE"""),41859.0)</f>
        <v>41859</v>
      </c>
      <c r="C670" s="8" t="str">
        <f>IFERROR(__xludf.DUMMYFUNCTION("""COMPUTED_VALUE"""),"Consumer")</f>
        <v>Consumer</v>
      </c>
      <c r="D670" s="8" t="str">
        <f>IFERROR(__xludf.DUMMYFUNCTION("""COMPUTED_VALUE"""),"Florida")</f>
        <v>Florida</v>
      </c>
      <c r="E670" s="8" t="str">
        <f>IFERROR(__xludf.DUMMYFUNCTION("""COMPUTED_VALUE"""),"South")</f>
        <v>South</v>
      </c>
      <c r="F670" s="10">
        <f>IFERROR(__xludf.DUMMYFUNCTION("""COMPUTED_VALUE"""),155.456)</f>
        <v>155.456</v>
      </c>
      <c r="G670" s="11">
        <f>IFERROR(__xludf.DUMMYFUNCTION("""COMPUTED_VALUE"""),4.0)</f>
        <v>4</v>
      </c>
      <c r="H670" s="11">
        <f>IFERROR(__xludf.DUMMYFUNCTION("""COMPUTED_VALUE"""),-7.7728)</f>
        <v>-7.7728</v>
      </c>
    </row>
    <row r="671">
      <c r="A671" s="8" t="str">
        <f>IFERROR(__xludf.DUMMYFUNCTION("""COMPUTED_VALUE"""),"CA-2014-156993")</f>
        <v>CA-2014-156993</v>
      </c>
      <c r="B671" s="9">
        <f>IFERROR(__xludf.DUMMYFUNCTION("""COMPUTED_VALUE"""),41818.0)</f>
        <v>41818</v>
      </c>
      <c r="C671" s="8" t="str">
        <f>IFERROR(__xludf.DUMMYFUNCTION("""COMPUTED_VALUE"""),"Corporate")</f>
        <v>Corporate</v>
      </c>
      <c r="D671" s="8" t="str">
        <f>IFERROR(__xludf.DUMMYFUNCTION("""COMPUTED_VALUE"""),"Michigan")</f>
        <v>Michigan</v>
      </c>
      <c r="E671" s="8" t="str">
        <f>IFERROR(__xludf.DUMMYFUNCTION("""COMPUTED_VALUE"""),"Central")</f>
        <v>Central</v>
      </c>
      <c r="F671" s="10">
        <f>IFERROR(__xludf.DUMMYFUNCTION("""COMPUTED_VALUE"""),6.08)</f>
        <v>6.08</v>
      </c>
      <c r="G671" s="11">
        <f>IFERROR(__xludf.DUMMYFUNCTION("""COMPUTED_VALUE"""),1.0)</f>
        <v>1</v>
      </c>
      <c r="H671" s="11">
        <f>IFERROR(__xludf.DUMMYFUNCTION("""COMPUTED_VALUE"""),3.04)</f>
        <v>3.04</v>
      </c>
    </row>
    <row r="672">
      <c r="A672" s="8" t="str">
        <f>IFERROR(__xludf.DUMMYFUNCTION("""COMPUTED_VALUE"""),"CA-2014-157147")</f>
        <v>CA-2014-157147</v>
      </c>
      <c r="B672" s="9">
        <f>IFERROR(__xludf.DUMMYFUNCTION("""COMPUTED_VALUE"""),41652.0)</f>
        <v>41652</v>
      </c>
      <c r="C672" s="8" t="str">
        <f>IFERROR(__xludf.DUMMYFUNCTION("""COMPUTED_VALUE"""),"Consumer")</f>
        <v>Consumer</v>
      </c>
      <c r="D672" s="8" t="str">
        <f>IFERROR(__xludf.DUMMYFUNCTION("""COMPUTED_VALUE"""),"California")</f>
        <v>California</v>
      </c>
      <c r="E672" s="8" t="str">
        <f>IFERROR(__xludf.DUMMYFUNCTION("""COMPUTED_VALUE"""),"West")</f>
        <v>West</v>
      </c>
      <c r="F672" s="10">
        <f>IFERROR(__xludf.DUMMYFUNCTION("""COMPUTED_VALUE"""),1325.85)</f>
        <v>1325.85</v>
      </c>
      <c r="G672" s="11">
        <f>IFERROR(__xludf.DUMMYFUNCTION("""COMPUTED_VALUE"""),5.0)</f>
        <v>5</v>
      </c>
      <c r="H672" s="11">
        <f>IFERROR(__xludf.DUMMYFUNCTION("""COMPUTED_VALUE"""),238.653)</f>
        <v>238.653</v>
      </c>
    </row>
    <row r="673">
      <c r="A673" s="8" t="str">
        <f>IFERROR(__xludf.DUMMYFUNCTION("""COMPUTED_VALUE"""),"CA-2014-157546")</f>
        <v>CA-2014-157546</v>
      </c>
      <c r="B673" s="9">
        <f>IFERROR(__xludf.DUMMYFUNCTION("""COMPUTED_VALUE"""),41840.0)</f>
        <v>41840</v>
      </c>
      <c r="C673" s="8" t="str">
        <f>IFERROR(__xludf.DUMMYFUNCTION("""COMPUTED_VALUE"""),"Consumer")</f>
        <v>Consumer</v>
      </c>
      <c r="D673" s="8" t="str">
        <f>IFERROR(__xludf.DUMMYFUNCTION("""COMPUTED_VALUE"""),"California")</f>
        <v>California</v>
      </c>
      <c r="E673" s="8" t="str">
        <f>IFERROR(__xludf.DUMMYFUNCTION("""COMPUTED_VALUE"""),"West")</f>
        <v>West</v>
      </c>
      <c r="F673" s="10">
        <f>IFERROR(__xludf.DUMMYFUNCTION("""COMPUTED_VALUE"""),89.712)</f>
        <v>89.712</v>
      </c>
      <c r="G673" s="11">
        <f>IFERROR(__xludf.DUMMYFUNCTION("""COMPUTED_VALUE"""),6.0)</f>
        <v>6</v>
      </c>
      <c r="H673" s="11">
        <f>IFERROR(__xludf.DUMMYFUNCTION("""COMPUTED_VALUE"""),30.2778)</f>
        <v>30.2778</v>
      </c>
    </row>
    <row r="674">
      <c r="A674" s="8" t="str">
        <f>IFERROR(__xludf.DUMMYFUNCTION("""COMPUTED_VALUE"""),"CA-2014-157609")</f>
        <v>CA-2014-157609</v>
      </c>
      <c r="B674" s="9">
        <f>IFERROR(__xludf.DUMMYFUNCTION("""COMPUTED_VALUE"""),41714.0)</f>
        <v>41714</v>
      </c>
      <c r="C674" s="8" t="str">
        <f>IFERROR(__xludf.DUMMYFUNCTION("""COMPUTED_VALUE"""),"Home Office")</f>
        <v>Home Office</v>
      </c>
      <c r="D674" s="8" t="str">
        <f>IFERROR(__xludf.DUMMYFUNCTION("""COMPUTED_VALUE"""),"North Carolina")</f>
        <v>North Carolina</v>
      </c>
      <c r="E674" s="8" t="str">
        <f>IFERROR(__xludf.DUMMYFUNCTION("""COMPUTED_VALUE"""),"South")</f>
        <v>South</v>
      </c>
      <c r="F674" s="10">
        <f>IFERROR(__xludf.DUMMYFUNCTION("""COMPUTED_VALUE"""),471.92)</f>
        <v>471.92</v>
      </c>
      <c r="G674" s="11">
        <f>IFERROR(__xludf.DUMMYFUNCTION("""COMPUTED_VALUE"""),2.0)</f>
        <v>2</v>
      </c>
      <c r="H674" s="11">
        <f>IFERROR(__xludf.DUMMYFUNCTION("""COMPUTED_VALUE"""),29.495)</f>
        <v>29.495</v>
      </c>
    </row>
    <row r="675">
      <c r="A675" s="8" t="str">
        <f>IFERROR(__xludf.DUMMYFUNCTION("""COMPUTED_VALUE"""),"CA-2014-157623")</f>
        <v>CA-2014-157623</v>
      </c>
      <c r="B675" s="9">
        <f>IFERROR(__xludf.DUMMYFUNCTION("""COMPUTED_VALUE"""),41712.0)</f>
        <v>41712</v>
      </c>
      <c r="C675" s="8" t="str">
        <f>IFERROR(__xludf.DUMMYFUNCTION("""COMPUTED_VALUE"""),"Corporate")</f>
        <v>Corporate</v>
      </c>
      <c r="D675" s="8" t="str">
        <f>IFERROR(__xludf.DUMMYFUNCTION("""COMPUTED_VALUE"""),"California")</f>
        <v>California</v>
      </c>
      <c r="E675" s="8" t="str">
        <f>IFERROR(__xludf.DUMMYFUNCTION("""COMPUTED_VALUE"""),"West")</f>
        <v>West</v>
      </c>
      <c r="F675" s="10">
        <f>IFERROR(__xludf.DUMMYFUNCTION("""COMPUTED_VALUE"""),10.56)</f>
        <v>10.56</v>
      </c>
      <c r="G675" s="11">
        <f>IFERROR(__xludf.DUMMYFUNCTION("""COMPUTED_VALUE"""),2.0)</f>
        <v>2</v>
      </c>
      <c r="H675" s="11">
        <f>IFERROR(__xludf.DUMMYFUNCTION("""COMPUTED_VALUE"""),4.752)</f>
        <v>4.752</v>
      </c>
    </row>
    <row r="676">
      <c r="A676" s="8" t="str">
        <f>IFERROR(__xludf.DUMMYFUNCTION("""COMPUTED_VALUE"""),"CA-2014-157644")</f>
        <v>CA-2014-157644</v>
      </c>
      <c r="B676" s="9">
        <f>IFERROR(__xludf.DUMMYFUNCTION("""COMPUTED_VALUE"""),42004.0)</f>
        <v>42004</v>
      </c>
      <c r="C676" s="8" t="str">
        <f>IFERROR(__xludf.DUMMYFUNCTION("""COMPUTED_VALUE"""),"Corporate")</f>
        <v>Corporate</v>
      </c>
      <c r="D676" s="8" t="str">
        <f>IFERROR(__xludf.DUMMYFUNCTION("""COMPUTED_VALUE"""),"New York")</f>
        <v>New York</v>
      </c>
      <c r="E676" s="8" t="str">
        <f>IFERROR(__xludf.DUMMYFUNCTION("""COMPUTED_VALUE"""),"East")</f>
        <v>East</v>
      </c>
      <c r="F676" s="10">
        <f>IFERROR(__xludf.DUMMYFUNCTION("""COMPUTED_VALUE"""),34.77)</f>
        <v>34.77</v>
      </c>
      <c r="G676" s="11">
        <f>IFERROR(__xludf.DUMMYFUNCTION("""COMPUTED_VALUE"""),3.0)</f>
        <v>3</v>
      </c>
      <c r="H676" s="11">
        <f>IFERROR(__xludf.DUMMYFUNCTION("""COMPUTED_VALUE"""),11.4741)</f>
        <v>11.4741</v>
      </c>
    </row>
    <row r="677">
      <c r="A677" s="8" t="str">
        <f>IFERROR(__xludf.DUMMYFUNCTION("""COMPUTED_VALUE"""),"CA-2014-157721")</f>
        <v>CA-2014-157721</v>
      </c>
      <c r="B677" s="9">
        <f>IFERROR(__xludf.DUMMYFUNCTION("""COMPUTED_VALUE"""),41884.0)</f>
        <v>41884</v>
      </c>
      <c r="C677" s="8" t="str">
        <f>IFERROR(__xludf.DUMMYFUNCTION("""COMPUTED_VALUE"""),"Consumer")</f>
        <v>Consumer</v>
      </c>
      <c r="D677" s="8" t="str">
        <f>IFERROR(__xludf.DUMMYFUNCTION("""COMPUTED_VALUE"""),"New York")</f>
        <v>New York</v>
      </c>
      <c r="E677" s="8" t="str">
        <f>IFERROR(__xludf.DUMMYFUNCTION("""COMPUTED_VALUE"""),"East")</f>
        <v>East</v>
      </c>
      <c r="F677" s="10">
        <f>IFERROR(__xludf.DUMMYFUNCTION("""COMPUTED_VALUE"""),19.9)</f>
        <v>19.9</v>
      </c>
      <c r="G677" s="11">
        <f>IFERROR(__xludf.DUMMYFUNCTION("""COMPUTED_VALUE"""),1.0)</f>
        <v>1</v>
      </c>
      <c r="H677" s="11">
        <f>IFERROR(__xludf.DUMMYFUNCTION("""COMPUTED_VALUE"""),8.955)</f>
        <v>8.955</v>
      </c>
    </row>
    <row r="678">
      <c r="A678" s="8" t="str">
        <f>IFERROR(__xludf.DUMMYFUNCTION("""COMPUTED_VALUE"""),"CA-2014-157784")</f>
        <v>CA-2014-157784</v>
      </c>
      <c r="B678" s="9">
        <f>IFERROR(__xludf.DUMMYFUNCTION("""COMPUTED_VALUE"""),41825.0)</f>
        <v>41825</v>
      </c>
      <c r="C678" s="8" t="str">
        <f>IFERROR(__xludf.DUMMYFUNCTION("""COMPUTED_VALUE"""),"Consumer")</f>
        <v>Consumer</v>
      </c>
      <c r="D678" s="8" t="str">
        <f>IFERROR(__xludf.DUMMYFUNCTION("""COMPUTED_VALUE"""),"Mississippi")</f>
        <v>Mississippi</v>
      </c>
      <c r="E678" s="8" t="str">
        <f>IFERROR(__xludf.DUMMYFUNCTION("""COMPUTED_VALUE"""),"South")</f>
        <v>South</v>
      </c>
      <c r="F678" s="10">
        <f>IFERROR(__xludf.DUMMYFUNCTION("""COMPUTED_VALUE"""),479.97)</f>
        <v>479.97</v>
      </c>
      <c r="G678" s="11">
        <f>IFERROR(__xludf.DUMMYFUNCTION("""COMPUTED_VALUE"""),3.0)</f>
        <v>3</v>
      </c>
      <c r="H678" s="11">
        <f>IFERROR(__xludf.DUMMYFUNCTION("""COMPUTED_VALUE"""),163.1898)</f>
        <v>163.1898</v>
      </c>
    </row>
    <row r="679">
      <c r="A679" s="8" t="str">
        <f>IFERROR(__xludf.DUMMYFUNCTION("""COMPUTED_VALUE"""),"CA-2014-157882")</f>
        <v>CA-2014-157882</v>
      </c>
      <c r="B679" s="9">
        <f>IFERROR(__xludf.DUMMYFUNCTION("""COMPUTED_VALUE"""),41915.0)</f>
        <v>41915</v>
      </c>
      <c r="C679" s="8" t="str">
        <f>IFERROR(__xludf.DUMMYFUNCTION("""COMPUTED_VALUE"""),"Corporate")</f>
        <v>Corporate</v>
      </c>
      <c r="D679" s="8" t="str">
        <f>IFERROR(__xludf.DUMMYFUNCTION("""COMPUTED_VALUE"""),"California")</f>
        <v>California</v>
      </c>
      <c r="E679" s="8" t="str">
        <f>IFERROR(__xludf.DUMMYFUNCTION("""COMPUTED_VALUE"""),"West")</f>
        <v>West</v>
      </c>
      <c r="F679" s="10">
        <f>IFERROR(__xludf.DUMMYFUNCTION("""COMPUTED_VALUE"""),143.432)</f>
        <v>143.432</v>
      </c>
      <c r="G679" s="11">
        <f>IFERROR(__xludf.DUMMYFUNCTION("""COMPUTED_VALUE"""),1.0)</f>
        <v>1</v>
      </c>
      <c r="H679" s="11">
        <f>IFERROR(__xludf.DUMMYFUNCTION("""COMPUTED_VALUE"""),3.5858)</f>
        <v>3.5858</v>
      </c>
    </row>
    <row r="680">
      <c r="A680" s="8" t="str">
        <f>IFERROR(__xludf.DUMMYFUNCTION("""COMPUTED_VALUE"""),"CA-2014-157924")</f>
        <v>CA-2014-157924</v>
      </c>
      <c r="B680" s="9">
        <f>IFERROR(__xludf.DUMMYFUNCTION("""COMPUTED_VALUE"""),41923.0)</f>
        <v>41923</v>
      </c>
      <c r="C680" s="8" t="str">
        <f>IFERROR(__xludf.DUMMYFUNCTION("""COMPUTED_VALUE"""),"Consumer")</f>
        <v>Consumer</v>
      </c>
      <c r="D680" s="8" t="str">
        <f>IFERROR(__xludf.DUMMYFUNCTION("""COMPUTED_VALUE"""),"California")</f>
        <v>California</v>
      </c>
      <c r="E680" s="8" t="str">
        <f>IFERROR(__xludf.DUMMYFUNCTION("""COMPUTED_VALUE"""),"West")</f>
        <v>West</v>
      </c>
      <c r="F680" s="10">
        <f>IFERROR(__xludf.DUMMYFUNCTION("""COMPUTED_VALUE"""),31.92)</f>
        <v>31.92</v>
      </c>
      <c r="G680" s="11">
        <f>IFERROR(__xludf.DUMMYFUNCTION("""COMPUTED_VALUE"""),4.0)</f>
        <v>4</v>
      </c>
      <c r="H680" s="11">
        <f>IFERROR(__xludf.DUMMYFUNCTION("""COMPUTED_VALUE"""),8.2992)</f>
        <v>8.2992</v>
      </c>
    </row>
    <row r="681">
      <c r="A681" s="8" t="str">
        <f>IFERROR(__xludf.DUMMYFUNCTION("""COMPUTED_VALUE"""),"CA-2014-158029")</f>
        <v>CA-2014-158029</v>
      </c>
      <c r="B681" s="9">
        <f>IFERROR(__xludf.DUMMYFUNCTION("""COMPUTED_VALUE"""),41785.0)</f>
        <v>41785</v>
      </c>
      <c r="C681" s="8" t="str">
        <f>IFERROR(__xludf.DUMMYFUNCTION("""COMPUTED_VALUE"""),"Consumer")</f>
        <v>Consumer</v>
      </c>
      <c r="D681" s="8" t="str">
        <f>IFERROR(__xludf.DUMMYFUNCTION("""COMPUTED_VALUE"""),"California")</f>
        <v>California</v>
      </c>
      <c r="E681" s="8" t="str">
        <f>IFERROR(__xludf.DUMMYFUNCTION("""COMPUTED_VALUE"""),"West")</f>
        <v>West</v>
      </c>
      <c r="F681" s="10">
        <f>IFERROR(__xludf.DUMMYFUNCTION("""COMPUTED_VALUE"""),225.296)</f>
        <v>225.296</v>
      </c>
      <c r="G681" s="11">
        <f>IFERROR(__xludf.DUMMYFUNCTION("""COMPUTED_VALUE"""),2.0)</f>
        <v>2</v>
      </c>
      <c r="H681" s="11">
        <f>IFERROR(__xludf.DUMMYFUNCTION("""COMPUTED_VALUE"""),22.5296)</f>
        <v>22.5296</v>
      </c>
    </row>
    <row r="682">
      <c r="A682" s="8" t="str">
        <f>IFERROR(__xludf.DUMMYFUNCTION("""COMPUTED_VALUE"""),"CA-2014-158064")</f>
        <v>CA-2014-158064</v>
      </c>
      <c r="B682" s="9">
        <f>IFERROR(__xludf.DUMMYFUNCTION("""COMPUTED_VALUE"""),41750.0)</f>
        <v>41750</v>
      </c>
      <c r="C682" s="8" t="str">
        <f>IFERROR(__xludf.DUMMYFUNCTION("""COMPUTED_VALUE"""),"Consumer")</f>
        <v>Consumer</v>
      </c>
      <c r="D682" s="8" t="str">
        <f>IFERROR(__xludf.DUMMYFUNCTION("""COMPUTED_VALUE"""),"California")</f>
        <v>California</v>
      </c>
      <c r="E682" s="8" t="str">
        <f>IFERROR(__xludf.DUMMYFUNCTION("""COMPUTED_VALUE"""),"West")</f>
        <v>West</v>
      </c>
      <c r="F682" s="10">
        <f>IFERROR(__xludf.DUMMYFUNCTION("""COMPUTED_VALUE"""),16.52)</f>
        <v>16.52</v>
      </c>
      <c r="G682" s="11">
        <f>IFERROR(__xludf.DUMMYFUNCTION("""COMPUTED_VALUE"""),5.0)</f>
        <v>5</v>
      </c>
      <c r="H682" s="11">
        <f>IFERROR(__xludf.DUMMYFUNCTION("""COMPUTED_VALUE"""),5.5755)</f>
        <v>5.5755</v>
      </c>
    </row>
    <row r="683">
      <c r="A683" s="8" t="str">
        <f>IFERROR(__xludf.DUMMYFUNCTION("""COMPUTED_VALUE"""),"CA-2014-158225")</f>
        <v>CA-2014-158225</v>
      </c>
      <c r="B683" s="9">
        <f>IFERROR(__xludf.DUMMYFUNCTION("""COMPUTED_VALUE"""),41904.0)</f>
        <v>41904</v>
      </c>
      <c r="C683" s="8" t="str">
        <f>IFERROR(__xludf.DUMMYFUNCTION("""COMPUTED_VALUE"""),"Consumer")</f>
        <v>Consumer</v>
      </c>
      <c r="D683" s="8" t="str">
        <f>IFERROR(__xludf.DUMMYFUNCTION("""COMPUTED_VALUE"""),"California")</f>
        <v>California</v>
      </c>
      <c r="E683" s="8" t="str">
        <f>IFERROR(__xludf.DUMMYFUNCTION("""COMPUTED_VALUE"""),"West")</f>
        <v>West</v>
      </c>
      <c r="F683" s="10">
        <f>IFERROR(__xludf.DUMMYFUNCTION("""COMPUTED_VALUE"""),169.45)</f>
        <v>169.45</v>
      </c>
      <c r="G683" s="11">
        <f>IFERROR(__xludf.DUMMYFUNCTION("""COMPUTED_VALUE"""),5.0)</f>
        <v>5</v>
      </c>
      <c r="H683" s="11">
        <f>IFERROR(__xludf.DUMMYFUNCTION("""COMPUTED_VALUE"""),42.3625)</f>
        <v>42.3625</v>
      </c>
    </row>
    <row r="684">
      <c r="A684" s="8" t="str">
        <f>IFERROR(__xludf.DUMMYFUNCTION("""COMPUTED_VALUE"""),"CA-2014-158274")</f>
        <v>CA-2014-158274</v>
      </c>
      <c r="B684" s="9">
        <f>IFERROR(__xludf.DUMMYFUNCTION("""COMPUTED_VALUE"""),41962.0)</f>
        <v>41962</v>
      </c>
      <c r="C684" s="8" t="str">
        <f>IFERROR(__xludf.DUMMYFUNCTION("""COMPUTED_VALUE"""),"Home Office")</f>
        <v>Home Office</v>
      </c>
      <c r="D684" s="8" t="str">
        <f>IFERROR(__xludf.DUMMYFUNCTION("""COMPUTED_VALUE"""),"Louisiana")</f>
        <v>Louisiana</v>
      </c>
      <c r="E684" s="8" t="str">
        <f>IFERROR(__xludf.DUMMYFUNCTION("""COMPUTED_VALUE"""),"South")</f>
        <v>South</v>
      </c>
      <c r="F684" s="10">
        <f>IFERROR(__xludf.DUMMYFUNCTION("""COMPUTED_VALUE"""),503.96)</f>
        <v>503.96</v>
      </c>
      <c r="G684" s="11">
        <f>IFERROR(__xludf.DUMMYFUNCTION("""COMPUTED_VALUE"""),4.0)</f>
        <v>4</v>
      </c>
      <c r="H684" s="11">
        <f>IFERROR(__xludf.DUMMYFUNCTION("""COMPUTED_VALUE"""),131.0296)</f>
        <v>131.0296</v>
      </c>
    </row>
    <row r="685">
      <c r="A685" s="8" t="str">
        <f>IFERROR(__xludf.DUMMYFUNCTION("""COMPUTED_VALUE"""),"CA-2014-158281")</f>
        <v>CA-2014-158281</v>
      </c>
      <c r="B685" s="9">
        <f>IFERROR(__xludf.DUMMYFUNCTION("""COMPUTED_VALUE"""),41884.0)</f>
        <v>41884</v>
      </c>
      <c r="C685" s="8" t="str">
        <f>IFERROR(__xludf.DUMMYFUNCTION("""COMPUTED_VALUE"""),"Corporate")</f>
        <v>Corporate</v>
      </c>
      <c r="D685" s="8" t="str">
        <f>IFERROR(__xludf.DUMMYFUNCTION("""COMPUTED_VALUE"""),"Texas")</f>
        <v>Texas</v>
      </c>
      <c r="E685" s="8" t="str">
        <f>IFERROR(__xludf.DUMMYFUNCTION("""COMPUTED_VALUE"""),"Central")</f>
        <v>Central</v>
      </c>
      <c r="F685" s="10">
        <f>IFERROR(__xludf.DUMMYFUNCTION("""COMPUTED_VALUE"""),559.71)</f>
        <v>559.71</v>
      </c>
      <c r="G685" s="11">
        <f>IFERROR(__xludf.DUMMYFUNCTION("""COMPUTED_VALUE"""),3.0)</f>
        <v>3</v>
      </c>
      <c r="H685" s="11">
        <f>IFERROR(__xludf.DUMMYFUNCTION("""COMPUTED_VALUE"""),-121.2705)</f>
        <v>-121.2705</v>
      </c>
    </row>
    <row r="686">
      <c r="A686" s="8" t="str">
        <f>IFERROR(__xludf.DUMMYFUNCTION("""COMPUTED_VALUE"""),"CA-2014-158337")</f>
        <v>CA-2014-158337</v>
      </c>
      <c r="B686" s="9">
        <f>IFERROR(__xludf.DUMMYFUNCTION("""COMPUTED_VALUE"""),41709.0)</f>
        <v>41709</v>
      </c>
      <c r="C686" s="8" t="str">
        <f>IFERROR(__xludf.DUMMYFUNCTION("""COMPUTED_VALUE"""),"Consumer")</f>
        <v>Consumer</v>
      </c>
      <c r="D686" s="8" t="str">
        <f>IFERROR(__xludf.DUMMYFUNCTION("""COMPUTED_VALUE"""),"New York")</f>
        <v>New York</v>
      </c>
      <c r="E686" s="8" t="str">
        <f>IFERROR(__xludf.DUMMYFUNCTION("""COMPUTED_VALUE"""),"East")</f>
        <v>East</v>
      </c>
      <c r="F686" s="10">
        <f>IFERROR(__xludf.DUMMYFUNCTION("""COMPUTED_VALUE"""),108.92)</f>
        <v>108.92</v>
      </c>
      <c r="G686" s="11">
        <f>IFERROR(__xludf.DUMMYFUNCTION("""COMPUTED_VALUE"""),14.0)</f>
        <v>14</v>
      </c>
      <c r="H686" s="11">
        <f>IFERROR(__xludf.DUMMYFUNCTION("""COMPUTED_VALUE"""),49.014)</f>
        <v>49.014</v>
      </c>
    </row>
    <row r="687">
      <c r="A687" s="8" t="str">
        <f>IFERROR(__xludf.DUMMYFUNCTION("""COMPUTED_VALUE"""),"CA-2014-158372")</f>
        <v>CA-2014-158372</v>
      </c>
      <c r="B687" s="9">
        <f>IFERROR(__xludf.DUMMYFUNCTION("""COMPUTED_VALUE"""),41953.0)</f>
        <v>41953</v>
      </c>
      <c r="C687" s="8" t="str">
        <f>IFERROR(__xludf.DUMMYFUNCTION("""COMPUTED_VALUE"""),"Consumer")</f>
        <v>Consumer</v>
      </c>
      <c r="D687" s="8" t="str">
        <f>IFERROR(__xludf.DUMMYFUNCTION("""COMPUTED_VALUE"""),"California")</f>
        <v>California</v>
      </c>
      <c r="E687" s="8" t="str">
        <f>IFERROR(__xludf.DUMMYFUNCTION("""COMPUTED_VALUE"""),"West")</f>
        <v>West</v>
      </c>
      <c r="F687" s="10">
        <f>IFERROR(__xludf.DUMMYFUNCTION("""COMPUTED_VALUE"""),601.536)</f>
        <v>601.536</v>
      </c>
      <c r="G687" s="11">
        <f>IFERROR(__xludf.DUMMYFUNCTION("""COMPUTED_VALUE"""),8.0)</f>
        <v>8</v>
      </c>
      <c r="H687" s="11">
        <f>IFERROR(__xludf.DUMMYFUNCTION("""COMPUTED_VALUE"""),60.1536)</f>
        <v>60.1536</v>
      </c>
    </row>
    <row r="688">
      <c r="A688" s="8" t="str">
        <f>IFERROR(__xludf.DUMMYFUNCTION("""COMPUTED_VALUE"""),"CA-2014-158442")</f>
        <v>CA-2014-158442</v>
      </c>
      <c r="B688" s="9">
        <f>IFERROR(__xludf.DUMMYFUNCTION("""COMPUTED_VALUE"""),41715.0)</f>
        <v>41715</v>
      </c>
      <c r="C688" s="8" t="str">
        <f>IFERROR(__xludf.DUMMYFUNCTION("""COMPUTED_VALUE"""),"Consumer")</f>
        <v>Consumer</v>
      </c>
      <c r="D688" s="8" t="str">
        <f>IFERROR(__xludf.DUMMYFUNCTION("""COMPUTED_VALUE"""),"Texas")</f>
        <v>Texas</v>
      </c>
      <c r="E688" s="8" t="str">
        <f>IFERROR(__xludf.DUMMYFUNCTION("""COMPUTED_VALUE"""),"Central")</f>
        <v>Central</v>
      </c>
      <c r="F688" s="10">
        <f>IFERROR(__xludf.DUMMYFUNCTION("""COMPUTED_VALUE"""),4.448)</f>
        <v>4.448</v>
      </c>
      <c r="G688" s="11">
        <f>IFERROR(__xludf.DUMMYFUNCTION("""COMPUTED_VALUE"""),2.0)</f>
        <v>2</v>
      </c>
      <c r="H688" s="11">
        <f>IFERROR(__xludf.DUMMYFUNCTION("""COMPUTED_VALUE"""),0.3336)</f>
        <v>0.3336</v>
      </c>
    </row>
    <row r="689">
      <c r="A689" s="8" t="str">
        <f>IFERROR(__xludf.DUMMYFUNCTION("""COMPUTED_VALUE"""),"CA-2014-158470")</f>
        <v>CA-2014-158470</v>
      </c>
      <c r="B689" s="9">
        <f>IFERROR(__xludf.DUMMYFUNCTION("""COMPUTED_VALUE"""),41748.0)</f>
        <v>41748</v>
      </c>
      <c r="C689" s="8" t="str">
        <f>IFERROR(__xludf.DUMMYFUNCTION("""COMPUTED_VALUE"""),"Consumer")</f>
        <v>Consumer</v>
      </c>
      <c r="D689" s="8" t="str">
        <f>IFERROR(__xludf.DUMMYFUNCTION("""COMPUTED_VALUE"""),"Virginia")</f>
        <v>Virginia</v>
      </c>
      <c r="E689" s="8" t="str">
        <f>IFERROR(__xludf.DUMMYFUNCTION("""COMPUTED_VALUE"""),"South")</f>
        <v>South</v>
      </c>
      <c r="F689" s="10">
        <f>IFERROR(__xludf.DUMMYFUNCTION("""COMPUTED_VALUE"""),58.05)</f>
        <v>58.05</v>
      </c>
      <c r="G689" s="11">
        <f>IFERROR(__xludf.DUMMYFUNCTION("""COMPUTED_VALUE"""),3.0)</f>
        <v>3</v>
      </c>
      <c r="H689" s="11">
        <f>IFERROR(__xludf.DUMMYFUNCTION("""COMPUTED_VALUE"""),26.703)</f>
        <v>26.703</v>
      </c>
    </row>
    <row r="690">
      <c r="A690" s="8" t="str">
        <f>IFERROR(__xludf.DUMMYFUNCTION("""COMPUTED_VALUE"""),"CA-2014-158540")</f>
        <v>CA-2014-158540</v>
      </c>
      <c r="B690" s="9">
        <f>IFERROR(__xludf.DUMMYFUNCTION("""COMPUTED_VALUE"""),41967.0)</f>
        <v>41967</v>
      </c>
      <c r="C690" s="8" t="str">
        <f>IFERROR(__xludf.DUMMYFUNCTION("""COMPUTED_VALUE"""),"Consumer")</f>
        <v>Consumer</v>
      </c>
      <c r="D690" s="8" t="str">
        <f>IFERROR(__xludf.DUMMYFUNCTION("""COMPUTED_VALUE"""),"California")</f>
        <v>California</v>
      </c>
      <c r="E690" s="8" t="str">
        <f>IFERROR(__xludf.DUMMYFUNCTION("""COMPUTED_VALUE"""),"West")</f>
        <v>West</v>
      </c>
      <c r="F690" s="10">
        <f>IFERROR(__xludf.DUMMYFUNCTION("""COMPUTED_VALUE"""),151.72)</f>
        <v>151.72</v>
      </c>
      <c r="G690" s="11">
        <f>IFERROR(__xludf.DUMMYFUNCTION("""COMPUTED_VALUE"""),4.0)</f>
        <v>4</v>
      </c>
      <c r="H690" s="11">
        <f>IFERROR(__xludf.DUMMYFUNCTION("""COMPUTED_VALUE"""),27.3096)</f>
        <v>27.3096</v>
      </c>
    </row>
    <row r="691">
      <c r="A691" s="8" t="str">
        <f>IFERROR(__xludf.DUMMYFUNCTION("""COMPUTED_VALUE"""),"CA-2014-158771")</f>
        <v>CA-2014-158771</v>
      </c>
      <c r="B691" s="9">
        <f>IFERROR(__xludf.DUMMYFUNCTION("""COMPUTED_VALUE"""),41768.0)</f>
        <v>41768</v>
      </c>
      <c r="C691" s="8" t="str">
        <f>IFERROR(__xludf.DUMMYFUNCTION("""COMPUTED_VALUE"""),"Corporate")</f>
        <v>Corporate</v>
      </c>
      <c r="D691" s="8" t="str">
        <f>IFERROR(__xludf.DUMMYFUNCTION("""COMPUTED_VALUE"""),"Kentucky")</f>
        <v>Kentucky</v>
      </c>
      <c r="E691" s="8" t="str">
        <f>IFERROR(__xludf.DUMMYFUNCTION("""COMPUTED_VALUE"""),"South")</f>
        <v>South</v>
      </c>
      <c r="F691" s="10">
        <f>IFERROR(__xludf.DUMMYFUNCTION("""COMPUTED_VALUE"""),83.25)</f>
        <v>83.25</v>
      </c>
      <c r="G691" s="11">
        <f>IFERROR(__xludf.DUMMYFUNCTION("""COMPUTED_VALUE"""),3.0)</f>
        <v>3</v>
      </c>
      <c r="H691" s="11">
        <f>IFERROR(__xludf.DUMMYFUNCTION("""COMPUTED_VALUE"""),14.985)</f>
        <v>14.985</v>
      </c>
    </row>
    <row r="692">
      <c r="A692" s="8" t="str">
        <f>IFERROR(__xludf.DUMMYFUNCTION("""COMPUTED_VALUE"""),"CA-2014-159121")</f>
        <v>CA-2014-159121</v>
      </c>
      <c r="B692" s="9">
        <f>IFERROR(__xludf.DUMMYFUNCTION("""COMPUTED_VALUE"""),41846.0)</f>
        <v>41846</v>
      </c>
      <c r="C692" s="8" t="str">
        <f>IFERROR(__xludf.DUMMYFUNCTION("""COMPUTED_VALUE"""),"Corporate")</f>
        <v>Corporate</v>
      </c>
      <c r="D692" s="8" t="str">
        <f>IFERROR(__xludf.DUMMYFUNCTION("""COMPUTED_VALUE"""),"Utah")</f>
        <v>Utah</v>
      </c>
      <c r="E692" s="8" t="str">
        <f>IFERROR(__xludf.DUMMYFUNCTION("""COMPUTED_VALUE"""),"West")</f>
        <v>West</v>
      </c>
      <c r="F692" s="10">
        <f>IFERROR(__xludf.DUMMYFUNCTION("""COMPUTED_VALUE"""),111.93)</f>
        <v>111.93</v>
      </c>
      <c r="G692" s="11">
        <f>IFERROR(__xludf.DUMMYFUNCTION("""COMPUTED_VALUE"""),7.0)</f>
        <v>7</v>
      </c>
      <c r="H692" s="11">
        <f>IFERROR(__xludf.DUMMYFUNCTION("""COMPUTED_VALUE"""),34.6983)</f>
        <v>34.6983</v>
      </c>
    </row>
    <row r="693">
      <c r="A693" s="8" t="str">
        <f>IFERROR(__xludf.DUMMYFUNCTION("""COMPUTED_VALUE"""),"CA-2014-159184")</f>
        <v>CA-2014-159184</v>
      </c>
      <c r="B693" s="9">
        <f>IFERROR(__xludf.DUMMYFUNCTION("""COMPUTED_VALUE"""),41896.0)</f>
        <v>41896</v>
      </c>
      <c r="C693" s="8" t="str">
        <f>IFERROR(__xludf.DUMMYFUNCTION("""COMPUTED_VALUE"""),"Consumer")</f>
        <v>Consumer</v>
      </c>
      <c r="D693" s="8" t="str">
        <f>IFERROR(__xludf.DUMMYFUNCTION("""COMPUTED_VALUE"""),"Georgia")</f>
        <v>Georgia</v>
      </c>
      <c r="E693" s="8" t="str">
        <f>IFERROR(__xludf.DUMMYFUNCTION("""COMPUTED_VALUE"""),"South")</f>
        <v>South</v>
      </c>
      <c r="F693" s="10">
        <f>IFERROR(__xludf.DUMMYFUNCTION("""COMPUTED_VALUE"""),142.4)</f>
        <v>142.4</v>
      </c>
      <c r="G693" s="11">
        <f>IFERROR(__xludf.DUMMYFUNCTION("""COMPUTED_VALUE"""),5.0)</f>
        <v>5</v>
      </c>
      <c r="H693" s="11">
        <f>IFERROR(__xludf.DUMMYFUNCTION("""COMPUTED_VALUE"""),52.688)</f>
        <v>52.688</v>
      </c>
    </row>
    <row r="694">
      <c r="A694" s="8" t="str">
        <f>IFERROR(__xludf.DUMMYFUNCTION("""COMPUTED_VALUE"""),"CA-2014-159310")</f>
        <v>CA-2014-159310</v>
      </c>
      <c r="B694" s="9">
        <f>IFERROR(__xludf.DUMMYFUNCTION("""COMPUTED_VALUE"""),41950.0)</f>
        <v>41950</v>
      </c>
      <c r="C694" s="8" t="str">
        <f>IFERROR(__xludf.DUMMYFUNCTION("""COMPUTED_VALUE"""),"Consumer")</f>
        <v>Consumer</v>
      </c>
      <c r="D694" s="8" t="str">
        <f>IFERROR(__xludf.DUMMYFUNCTION("""COMPUTED_VALUE"""),"Texas")</f>
        <v>Texas</v>
      </c>
      <c r="E694" s="8" t="str">
        <f>IFERROR(__xludf.DUMMYFUNCTION("""COMPUTED_VALUE"""),"Central")</f>
        <v>Central</v>
      </c>
      <c r="F694" s="10">
        <f>IFERROR(__xludf.DUMMYFUNCTION("""COMPUTED_VALUE"""),683.144)</f>
        <v>683.144</v>
      </c>
      <c r="G694" s="11">
        <f>IFERROR(__xludf.DUMMYFUNCTION("""COMPUTED_VALUE"""),4.0)</f>
        <v>4</v>
      </c>
      <c r="H694" s="11">
        <f>IFERROR(__xludf.DUMMYFUNCTION("""COMPUTED_VALUE"""),0.0)</f>
        <v>0</v>
      </c>
    </row>
    <row r="695">
      <c r="A695" s="8" t="str">
        <f>IFERROR(__xludf.DUMMYFUNCTION("""COMPUTED_VALUE"""),"CA-2014-159338")</f>
        <v>CA-2014-159338</v>
      </c>
      <c r="B695" s="9">
        <f>IFERROR(__xludf.DUMMYFUNCTION("""COMPUTED_VALUE"""),41815.0)</f>
        <v>41815</v>
      </c>
      <c r="C695" s="8" t="str">
        <f>IFERROR(__xludf.DUMMYFUNCTION("""COMPUTED_VALUE"""),"Corporate")</f>
        <v>Corporate</v>
      </c>
      <c r="D695" s="8" t="str">
        <f>IFERROR(__xludf.DUMMYFUNCTION("""COMPUTED_VALUE"""),"California")</f>
        <v>California</v>
      </c>
      <c r="E695" s="8" t="str">
        <f>IFERROR(__xludf.DUMMYFUNCTION("""COMPUTED_VALUE"""),"West")</f>
        <v>West</v>
      </c>
      <c r="F695" s="10">
        <f>IFERROR(__xludf.DUMMYFUNCTION("""COMPUTED_VALUE"""),447.84)</f>
        <v>447.84</v>
      </c>
      <c r="G695" s="11">
        <f>IFERROR(__xludf.DUMMYFUNCTION("""COMPUTED_VALUE"""),5.0)</f>
        <v>5</v>
      </c>
      <c r="H695" s="11">
        <f>IFERROR(__xludf.DUMMYFUNCTION("""COMPUTED_VALUE"""),11.196)</f>
        <v>11.196</v>
      </c>
    </row>
    <row r="696">
      <c r="A696" s="8" t="str">
        <f>IFERROR(__xludf.DUMMYFUNCTION("""COMPUTED_VALUE"""),"CA-2014-159478")</f>
        <v>CA-2014-159478</v>
      </c>
      <c r="B696" s="9">
        <f>IFERROR(__xludf.DUMMYFUNCTION("""COMPUTED_VALUE"""),41912.0)</f>
        <v>41912</v>
      </c>
      <c r="C696" s="8" t="str">
        <f>IFERROR(__xludf.DUMMYFUNCTION("""COMPUTED_VALUE"""),"Corporate")</f>
        <v>Corporate</v>
      </c>
      <c r="D696" s="8" t="str">
        <f>IFERROR(__xludf.DUMMYFUNCTION("""COMPUTED_VALUE"""),"New York")</f>
        <v>New York</v>
      </c>
      <c r="E696" s="8" t="str">
        <f>IFERROR(__xludf.DUMMYFUNCTION("""COMPUTED_VALUE"""),"East")</f>
        <v>East</v>
      </c>
      <c r="F696" s="10">
        <f>IFERROR(__xludf.DUMMYFUNCTION("""COMPUTED_VALUE"""),15.24)</f>
        <v>15.24</v>
      </c>
      <c r="G696" s="11">
        <f>IFERROR(__xludf.DUMMYFUNCTION("""COMPUTED_VALUE"""),3.0)</f>
        <v>3</v>
      </c>
      <c r="H696" s="11">
        <f>IFERROR(__xludf.DUMMYFUNCTION("""COMPUTED_VALUE"""),5.1816)</f>
        <v>5.1816</v>
      </c>
    </row>
    <row r="697">
      <c r="A697" s="8" t="str">
        <f>IFERROR(__xludf.DUMMYFUNCTION("""COMPUTED_VALUE"""),"CA-2014-159520")</f>
        <v>CA-2014-159520</v>
      </c>
      <c r="B697" s="9">
        <f>IFERROR(__xludf.DUMMYFUNCTION("""COMPUTED_VALUE"""),41796.0)</f>
        <v>41796</v>
      </c>
      <c r="C697" s="8" t="str">
        <f>IFERROR(__xludf.DUMMYFUNCTION("""COMPUTED_VALUE"""),"Corporate")</f>
        <v>Corporate</v>
      </c>
      <c r="D697" s="8" t="str">
        <f>IFERROR(__xludf.DUMMYFUNCTION("""COMPUTED_VALUE"""),"New York")</f>
        <v>New York</v>
      </c>
      <c r="E697" s="8" t="str">
        <f>IFERROR(__xludf.DUMMYFUNCTION("""COMPUTED_VALUE"""),"East")</f>
        <v>East</v>
      </c>
      <c r="F697" s="10">
        <f>IFERROR(__xludf.DUMMYFUNCTION("""COMPUTED_VALUE"""),149.544)</f>
        <v>149.544</v>
      </c>
      <c r="G697" s="11">
        <f>IFERROR(__xludf.DUMMYFUNCTION("""COMPUTED_VALUE"""),9.0)</f>
        <v>9</v>
      </c>
      <c r="H697" s="11">
        <f>IFERROR(__xludf.DUMMYFUNCTION("""COMPUTED_VALUE"""),50.4711)</f>
        <v>50.4711</v>
      </c>
    </row>
    <row r="698">
      <c r="A698" s="8" t="str">
        <f>IFERROR(__xludf.DUMMYFUNCTION("""COMPUTED_VALUE"""),"CA-2014-159625")</f>
        <v>CA-2014-159625</v>
      </c>
      <c r="B698" s="9">
        <f>IFERROR(__xludf.DUMMYFUNCTION("""COMPUTED_VALUE"""),41966.0)</f>
        <v>41966</v>
      </c>
      <c r="C698" s="8" t="str">
        <f>IFERROR(__xludf.DUMMYFUNCTION("""COMPUTED_VALUE"""),"Consumer")</f>
        <v>Consumer</v>
      </c>
      <c r="D698" s="8" t="str">
        <f>IFERROR(__xludf.DUMMYFUNCTION("""COMPUTED_VALUE"""),"Arizona")</f>
        <v>Arizona</v>
      </c>
      <c r="E698" s="8" t="str">
        <f>IFERROR(__xludf.DUMMYFUNCTION("""COMPUTED_VALUE"""),"West")</f>
        <v>West</v>
      </c>
      <c r="F698" s="10">
        <f>IFERROR(__xludf.DUMMYFUNCTION("""COMPUTED_VALUE"""),23.472)</f>
        <v>23.472</v>
      </c>
      <c r="G698" s="11">
        <f>IFERROR(__xludf.DUMMYFUNCTION("""COMPUTED_VALUE"""),3.0)</f>
        <v>3</v>
      </c>
      <c r="H698" s="11">
        <f>IFERROR(__xludf.DUMMYFUNCTION("""COMPUTED_VALUE"""),8.802)</f>
        <v>8.802</v>
      </c>
    </row>
    <row r="699">
      <c r="A699" s="8" t="str">
        <f>IFERROR(__xludf.DUMMYFUNCTION("""COMPUTED_VALUE"""),"CA-2014-159681")</f>
        <v>CA-2014-159681</v>
      </c>
      <c r="B699" s="9">
        <f>IFERROR(__xludf.DUMMYFUNCTION("""COMPUTED_VALUE"""),41980.0)</f>
        <v>41980</v>
      </c>
      <c r="C699" s="8" t="str">
        <f>IFERROR(__xludf.DUMMYFUNCTION("""COMPUTED_VALUE"""),"Consumer")</f>
        <v>Consumer</v>
      </c>
      <c r="D699" s="8" t="str">
        <f>IFERROR(__xludf.DUMMYFUNCTION("""COMPUTED_VALUE"""),"Virginia")</f>
        <v>Virginia</v>
      </c>
      <c r="E699" s="8" t="str">
        <f>IFERROR(__xludf.DUMMYFUNCTION("""COMPUTED_VALUE"""),"South")</f>
        <v>South</v>
      </c>
      <c r="F699" s="10">
        <f>IFERROR(__xludf.DUMMYFUNCTION("""COMPUTED_VALUE"""),105.52)</f>
        <v>105.52</v>
      </c>
      <c r="G699" s="11">
        <f>IFERROR(__xludf.DUMMYFUNCTION("""COMPUTED_VALUE"""),4.0)</f>
        <v>4</v>
      </c>
      <c r="H699" s="11">
        <f>IFERROR(__xludf.DUMMYFUNCTION("""COMPUTED_VALUE"""),48.5392)</f>
        <v>48.5392</v>
      </c>
    </row>
    <row r="700">
      <c r="A700" s="8" t="str">
        <f>IFERROR(__xludf.DUMMYFUNCTION("""COMPUTED_VALUE"""),"CA-2014-159709")</f>
        <v>CA-2014-159709</v>
      </c>
      <c r="B700" s="9">
        <f>IFERROR(__xludf.DUMMYFUNCTION("""COMPUTED_VALUE"""),41769.0)</f>
        <v>41769</v>
      </c>
      <c r="C700" s="8" t="str">
        <f>IFERROR(__xludf.DUMMYFUNCTION("""COMPUTED_VALUE"""),"Consumer")</f>
        <v>Consumer</v>
      </c>
      <c r="D700" s="8" t="str">
        <f>IFERROR(__xludf.DUMMYFUNCTION("""COMPUTED_VALUE"""),"Washington")</f>
        <v>Washington</v>
      </c>
      <c r="E700" s="8" t="str">
        <f>IFERROR(__xludf.DUMMYFUNCTION("""COMPUTED_VALUE"""),"West")</f>
        <v>West</v>
      </c>
      <c r="F700" s="10">
        <f>IFERROR(__xludf.DUMMYFUNCTION("""COMPUTED_VALUE"""),158.13)</f>
        <v>158.13</v>
      </c>
      <c r="G700" s="11">
        <f>IFERROR(__xludf.DUMMYFUNCTION("""COMPUTED_VALUE"""),3.0)</f>
        <v>3</v>
      </c>
      <c r="H700" s="11">
        <f>IFERROR(__xludf.DUMMYFUNCTION("""COMPUTED_VALUE"""),77.4837)</f>
        <v>77.4837</v>
      </c>
    </row>
    <row r="701">
      <c r="A701" s="8" t="str">
        <f>IFERROR(__xludf.DUMMYFUNCTION("""COMPUTED_VALUE"""),"CA-2014-159800")</f>
        <v>CA-2014-159800</v>
      </c>
      <c r="B701" s="9">
        <f>IFERROR(__xludf.DUMMYFUNCTION("""COMPUTED_VALUE"""),41971.0)</f>
        <v>41971</v>
      </c>
      <c r="C701" s="8" t="str">
        <f>IFERROR(__xludf.DUMMYFUNCTION("""COMPUTED_VALUE"""),"Consumer")</f>
        <v>Consumer</v>
      </c>
      <c r="D701" s="8" t="str">
        <f>IFERROR(__xludf.DUMMYFUNCTION("""COMPUTED_VALUE"""),"California")</f>
        <v>California</v>
      </c>
      <c r="E701" s="8" t="str">
        <f>IFERROR(__xludf.DUMMYFUNCTION("""COMPUTED_VALUE"""),"West")</f>
        <v>West</v>
      </c>
      <c r="F701" s="10">
        <f>IFERROR(__xludf.DUMMYFUNCTION("""COMPUTED_VALUE"""),43.68)</f>
        <v>43.68</v>
      </c>
      <c r="G701" s="11">
        <f>IFERROR(__xludf.DUMMYFUNCTION("""COMPUTED_VALUE"""),3.0)</f>
        <v>3</v>
      </c>
      <c r="H701" s="11">
        <f>IFERROR(__xludf.DUMMYFUNCTION("""COMPUTED_VALUE"""),11.7936)</f>
        <v>11.7936</v>
      </c>
    </row>
    <row r="702">
      <c r="A702" s="8" t="str">
        <f>IFERROR(__xludf.DUMMYFUNCTION("""COMPUTED_VALUE"""),"CA-2014-159814")</f>
        <v>CA-2014-159814</v>
      </c>
      <c r="B702" s="9">
        <f>IFERROR(__xludf.DUMMYFUNCTION("""COMPUTED_VALUE"""),41814.0)</f>
        <v>41814</v>
      </c>
      <c r="C702" s="8" t="str">
        <f>IFERROR(__xludf.DUMMYFUNCTION("""COMPUTED_VALUE"""),"Consumer")</f>
        <v>Consumer</v>
      </c>
      <c r="D702" s="8" t="str">
        <f>IFERROR(__xludf.DUMMYFUNCTION("""COMPUTED_VALUE"""),"Arizona")</f>
        <v>Arizona</v>
      </c>
      <c r="E702" s="8" t="str">
        <f>IFERROR(__xludf.DUMMYFUNCTION("""COMPUTED_VALUE"""),"West")</f>
        <v>West</v>
      </c>
      <c r="F702" s="10">
        <f>IFERROR(__xludf.DUMMYFUNCTION("""COMPUTED_VALUE"""),4.272)</f>
        <v>4.272</v>
      </c>
      <c r="G702" s="11">
        <f>IFERROR(__xludf.DUMMYFUNCTION("""COMPUTED_VALUE"""),2.0)</f>
        <v>2</v>
      </c>
      <c r="H702" s="11">
        <f>IFERROR(__xludf.DUMMYFUNCTION("""COMPUTED_VALUE"""),0.9612)</f>
        <v>0.9612</v>
      </c>
    </row>
    <row r="703">
      <c r="A703" s="8" t="str">
        <f>IFERROR(__xludf.DUMMYFUNCTION("""COMPUTED_VALUE"""),"CA-2014-159835")</f>
        <v>CA-2014-159835</v>
      </c>
      <c r="B703" s="9">
        <f>IFERROR(__xludf.DUMMYFUNCTION("""COMPUTED_VALUE"""),41960.0)</f>
        <v>41960</v>
      </c>
      <c r="C703" s="8" t="str">
        <f>IFERROR(__xludf.DUMMYFUNCTION("""COMPUTED_VALUE"""),"Consumer")</f>
        <v>Consumer</v>
      </c>
      <c r="D703" s="8" t="str">
        <f>IFERROR(__xludf.DUMMYFUNCTION("""COMPUTED_VALUE"""),"Pennsylvania")</f>
        <v>Pennsylvania</v>
      </c>
      <c r="E703" s="8" t="str">
        <f>IFERROR(__xludf.DUMMYFUNCTION("""COMPUTED_VALUE"""),"East")</f>
        <v>East</v>
      </c>
      <c r="F703" s="10">
        <f>IFERROR(__xludf.DUMMYFUNCTION("""COMPUTED_VALUE"""),12.448)</f>
        <v>12.448</v>
      </c>
      <c r="G703" s="11">
        <f>IFERROR(__xludf.DUMMYFUNCTION("""COMPUTED_VALUE"""),2.0)</f>
        <v>2</v>
      </c>
      <c r="H703" s="11">
        <f>IFERROR(__xludf.DUMMYFUNCTION("""COMPUTED_VALUE"""),3.89)</f>
        <v>3.89</v>
      </c>
    </row>
    <row r="704">
      <c r="A704" s="8" t="str">
        <f>IFERROR(__xludf.DUMMYFUNCTION("""COMPUTED_VALUE"""),"CA-2014-159849")</f>
        <v>CA-2014-159849</v>
      </c>
      <c r="B704" s="9">
        <f>IFERROR(__xludf.DUMMYFUNCTION("""COMPUTED_VALUE"""),41901.0)</f>
        <v>41901</v>
      </c>
      <c r="C704" s="8" t="str">
        <f>IFERROR(__xludf.DUMMYFUNCTION("""COMPUTED_VALUE"""),"Home Office")</f>
        <v>Home Office</v>
      </c>
      <c r="D704" s="8" t="str">
        <f>IFERROR(__xludf.DUMMYFUNCTION("""COMPUTED_VALUE"""),"California")</f>
        <v>California</v>
      </c>
      <c r="E704" s="8" t="str">
        <f>IFERROR(__xludf.DUMMYFUNCTION("""COMPUTED_VALUE"""),"West")</f>
        <v>West</v>
      </c>
      <c r="F704" s="10">
        <f>IFERROR(__xludf.DUMMYFUNCTION("""COMPUTED_VALUE"""),5.67)</f>
        <v>5.67</v>
      </c>
      <c r="G704" s="11">
        <f>IFERROR(__xludf.DUMMYFUNCTION("""COMPUTED_VALUE"""),3.0)</f>
        <v>3</v>
      </c>
      <c r="H704" s="11">
        <f>IFERROR(__xludf.DUMMYFUNCTION("""COMPUTED_VALUE"""),0.1134)</f>
        <v>0.1134</v>
      </c>
    </row>
    <row r="705">
      <c r="A705" s="8" t="str">
        <f>IFERROR(__xludf.DUMMYFUNCTION("""COMPUTED_VALUE"""),"CA-2014-160066")</f>
        <v>CA-2014-160066</v>
      </c>
      <c r="B705" s="9">
        <f>IFERROR(__xludf.DUMMYFUNCTION("""COMPUTED_VALUE"""),41959.0)</f>
        <v>41959</v>
      </c>
      <c r="C705" s="8" t="str">
        <f>IFERROR(__xludf.DUMMYFUNCTION("""COMPUTED_VALUE"""),"Corporate")</f>
        <v>Corporate</v>
      </c>
      <c r="D705" s="8" t="str">
        <f>IFERROR(__xludf.DUMMYFUNCTION("""COMPUTED_VALUE"""),"California")</f>
        <v>California</v>
      </c>
      <c r="E705" s="8" t="str">
        <f>IFERROR(__xludf.DUMMYFUNCTION("""COMPUTED_VALUE"""),"West")</f>
        <v>West</v>
      </c>
      <c r="F705" s="10">
        <f>IFERROR(__xludf.DUMMYFUNCTION("""COMPUTED_VALUE"""),5.22)</f>
        <v>5.22</v>
      </c>
      <c r="G705" s="11">
        <f>IFERROR(__xludf.DUMMYFUNCTION("""COMPUTED_VALUE"""),2.0)</f>
        <v>2</v>
      </c>
      <c r="H705" s="11">
        <f>IFERROR(__xludf.DUMMYFUNCTION("""COMPUTED_VALUE"""),2.4012)</f>
        <v>2.4012</v>
      </c>
    </row>
    <row r="706">
      <c r="A706" s="8" t="str">
        <f>IFERROR(__xludf.DUMMYFUNCTION("""COMPUTED_VALUE"""),"CA-2014-160094")</f>
        <v>CA-2014-160094</v>
      </c>
      <c r="B706" s="9">
        <f>IFERROR(__xludf.DUMMYFUNCTION("""COMPUTED_VALUE"""),41759.0)</f>
        <v>41759</v>
      </c>
      <c r="C706" s="8" t="str">
        <f>IFERROR(__xludf.DUMMYFUNCTION("""COMPUTED_VALUE"""),"Consumer")</f>
        <v>Consumer</v>
      </c>
      <c r="D706" s="8" t="str">
        <f>IFERROR(__xludf.DUMMYFUNCTION("""COMPUTED_VALUE"""),"Kentucky")</f>
        <v>Kentucky</v>
      </c>
      <c r="E706" s="8" t="str">
        <f>IFERROR(__xludf.DUMMYFUNCTION("""COMPUTED_VALUE"""),"South")</f>
        <v>South</v>
      </c>
      <c r="F706" s="10">
        <f>IFERROR(__xludf.DUMMYFUNCTION("""COMPUTED_VALUE"""),174.95)</f>
        <v>174.95</v>
      </c>
      <c r="G706" s="11">
        <f>IFERROR(__xludf.DUMMYFUNCTION("""COMPUTED_VALUE"""),5.0)</f>
        <v>5</v>
      </c>
      <c r="H706" s="11">
        <f>IFERROR(__xludf.DUMMYFUNCTION("""COMPUTED_VALUE"""),45.487)</f>
        <v>45.487</v>
      </c>
    </row>
    <row r="707">
      <c r="A707" s="8" t="str">
        <f>IFERROR(__xludf.DUMMYFUNCTION("""COMPUTED_VALUE"""),"CA-2014-160157")</f>
        <v>CA-2014-160157</v>
      </c>
      <c r="B707" s="9">
        <f>IFERROR(__xludf.DUMMYFUNCTION("""COMPUTED_VALUE"""),41993.0)</f>
        <v>41993</v>
      </c>
      <c r="C707" s="8" t="str">
        <f>IFERROR(__xludf.DUMMYFUNCTION("""COMPUTED_VALUE"""),"Consumer")</f>
        <v>Consumer</v>
      </c>
      <c r="D707" s="8" t="str">
        <f>IFERROR(__xludf.DUMMYFUNCTION("""COMPUTED_VALUE"""),"Ohio")</f>
        <v>Ohio</v>
      </c>
      <c r="E707" s="8" t="str">
        <f>IFERROR(__xludf.DUMMYFUNCTION("""COMPUTED_VALUE"""),"East")</f>
        <v>East</v>
      </c>
      <c r="F707" s="10">
        <f>IFERROR(__xludf.DUMMYFUNCTION("""COMPUTED_VALUE"""),190.848)</f>
        <v>190.848</v>
      </c>
      <c r="G707" s="11">
        <f>IFERROR(__xludf.DUMMYFUNCTION("""COMPUTED_VALUE"""),3.0)</f>
        <v>3</v>
      </c>
      <c r="H707" s="11">
        <f>IFERROR(__xludf.DUMMYFUNCTION("""COMPUTED_VALUE"""),-21.4704)</f>
        <v>-21.4704</v>
      </c>
    </row>
    <row r="708">
      <c r="A708" s="8" t="str">
        <f>IFERROR(__xludf.DUMMYFUNCTION("""COMPUTED_VALUE"""),"CA-2014-160262")</f>
        <v>CA-2014-160262</v>
      </c>
      <c r="B708" s="9">
        <f>IFERROR(__xludf.DUMMYFUNCTION("""COMPUTED_VALUE"""),41799.0)</f>
        <v>41799</v>
      </c>
      <c r="C708" s="8" t="str">
        <f>IFERROR(__xludf.DUMMYFUNCTION("""COMPUTED_VALUE"""),"Corporate")</f>
        <v>Corporate</v>
      </c>
      <c r="D708" s="8" t="str">
        <f>IFERROR(__xludf.DUMMYFUNCTION("""COMPUTED_VALUE"""),"Nevada")</f>
        <v>Nevada</v>
      </c>
      <c r="E708" s="8" t="str">
        <f>IFERROR(__xludf.DUMMYFUNCTION("""COMPUTED_VALUE"""),"West")</f>
        <v>West</v>
      </c>
      <c r="F708" s="10">
        <f>IFERROR(__xludf.DUMMYFUNCTION("""COMPUTED_VALUE"""),18.06)</f>
        <v>18.06</v>
      </c>
      <c r="G708" s="11">
        <f>IFERROR(__xludf.DUMMYFUNCTION("""COMPUTED_VALUE"""),7.0)</f>
        <v>7</v>
      </c>
      <c r="H708" s="11">
        <f>IFERROR(__xludf.DUMMYFUNCTION("""COMPUTED_VALUE"""),4.6956)</f>
        <v>4.6956</v>
      </c>
    </row>
    <row r="709">
      <c r="A709" s="8" t="str">
        <f>IFERROR(__xludf.DUMMYFUNCTION("""COMPUTED_VALUE"""),"CA-2014-160276")</f>
        <v>CA-2014-160276</v>
      </c>
      <c r="B709" s="9">
        <f>IFERROR(__xludf.DUMMYFUNCTION("""COMPUTED_VALUE"""),41731.0)</f>
        <v>41731</v>
      </c>
      <c r="C709" s="8" t="str">
        <f>IFERROR(__xludf.DUMMYFUNCTION("""COMPUTED_VALUE"""),"Corporate")</f>
        <v>Corporate</v>
      </c>
      <c r="D709" s="8" t="str">
        <f>IFERROR(__xludf.DUMMYFUNCTION("""COMPUTED_VALUE"""),"Virginia")</f>
        <v>Virginia</v>
      </c>
      <c r="E709" s="8" t="str">
        <f>IFERROR(__xludf.DUMMYFUNCTION("""COMPUTED_VALUE"""),"South")</f>
        <v>South</v>
      </c>
      <c r="F709" s="10">
        <f>IFERROR(__xludf.DUMMYFUNCTION("""COMPUTED_VALUE"""),177.68)</f>
        <v>177.68</v>
      </c>
      <c r="G709" s="11">
        <f>IFERROR(__xludf.DUMMYFUNCTION("""COMPUTED_VALUE"""),2.0)</f>
        <v>2</v>
      </c>
      <c r="H709" s="11">
        <f>IFERROR(__xludf.DUMMYFUNCTION("""COMPUTED_VALUE"""),46.1968)</f>
        <v>46.1968</v>
      </c>
    </row>
    <row r="710">
      <c r="A710" s="8" t="str">
        <f>IFERROR(__xludf.DUMMYFUNCTION("""COMPUTED_VALUE"""),"CA-2014-160738")</f>
        <v>CA-2014-160738</v>
      </c>
      <c r="B710" s="9">
        <f>IFERROR(__xludf.DUMMYFUNCTION("""COMPUTED_VALUE"""),41764.0)</f>
        <v>41764</v>
      </c>
      <c r="C710" s="8" t="str">
        <f>IFERROR(__xludf.DUMMYFUNCTION("""COMPUTED_VALUE"""),"Corporate")</f>
        <v>Corporate</v>
      </c>
      <c r="D710" s="8" t="str">
        <f>IFERROR(__xludf.DUMMYFUNCTION("""COMPUTED_VALUE"""),"Illinois")</f>
        <v>Illinois</v>
      </c>
      <c r="E710" s="8" t="str">
        <f>IFERROR(__xludf.DUMMYFUNCTION("""COMPUTED_VALUE"""),"Central")</f>
        <v>Central</v>
      </c>
      <c r="F710" s="10">
        <f>IFERROR(__xludf.DUMMYFUNCTION("""COMPUTED_VALUE"""),45.248)</f>
        <v>45.248</v>
      </c>
      <c r="G710" s="11">
        <f>IFERROR(__xludf.DUMMYFUNCTION("""COMPUTED_VALUE"""),2.0)</f>
        <v>2</v>
      </c>
      <c r="H710" s="11">
        <f>IFERROR(__xludf.DUMMYFUNCTION("""COMPUTED_VALUE"""),3.9592)</f>
        <v>3.9592</v>
      </c>
    </row>
    <row r="711">
      <c r="A711" s="8" t="str">
        <f>IFERROR(__xludf.DUMMYFUNCTION("""COMPUTED_VALUE"""),"CA-2014-160766")</f>
        <v>CA-2014-160766</v>
      </c>
      <c r="B711" s="9">
        <f>IFERROR(__xludf.DUMMYFUNCTION("""COMPUTED_VALUE"""),41896.0)</f>
        <v>41896</v>
      </c>
      <c r="C711" s="8" t="str">
        <f>IFERROR(__xludf.DUMMYFUNCTION("""COMPUTED_VALUE"""),"Consumer")</f>
        <v>Consumer</v>
      </c>
      <c r="D711" s="8" t="str">
        <f>IFERROR(__xludf.DUMMYFUNCTION("""COMPUTED_VALUE"""),"New York")</f>
        <v>New York</v>
      </c>
      <c r="E711" s="8" t="str">
        <f>IFERROR(__xludf.DUMMYFUNCTION("""COMPUTED_VALUE"""),"East")</f>
        <v>East</v>
      </c>
      <c r="F711" s="10">
        <f>IFERROR(__xludf.DUMMYFUNCTION("""COMPUTED_VALUE"""),464.292)</f>
        <v>464.292</v>
      </c>
      <c r="G711" s="11">
        <f>IFERROR(__xludf.DUMMYFUNCTION("""COMPUTED_VALUE"""),9.0)</f>
        <v>9</v>
      </c>
      <c r="H711" s="11">
        <f>IFERROR(__xludf.DUMMYFUNCTION("""COMPUTED_VALUE"""),-108.3348)</f>
        <v>-108.3348</v>
      </c>
    </row>
    <row r="712">
      <c r="A712" s="8" t="str">
        <f>IFERROR(__xludf.DUMMYFUNCTION("""COMPUTED_VALUE"""),"CA-2014-160773")</f>
        <v>CA-2014-160773</v>
      </c>
      <c r="B712" s="9">
        <f>IFERROR(__xludf.DUMMYFUNCTION("""COMPUTED_VALUE"""),41821.0)</f>
        <v>41821</v>
      </c>
      <c r="C712" s="8" t="str">
        <f>IFERROR(__xludf.DUMMYFUNCTION("""COMPUTED_VALUE"""),"Corporate")</f>
        <v>Corporate</v>
      </c>
      <c r="D712" s="8" t="str">
        <f>IFERROR(__xludf.DUMMYFUNCTION("""COMPUTED_VALUE"""),"Florida")</f>
        <v>Florida</v>
      </c>
      <c r="E712" s="8" t="str">
        <f>IFERROR(__xludf.DUMMYFUNCTION("""COMPUTED_VALUE"""),"South")</f>
        <v>South</v>
      </c>
      <c r="F712" s="10">
        <f>IFERROR(__xludf.DUMMYFUNCTION("""COMPUTED_VALUE"""),575.92)</f>
        <v>575.92</v>
      </c>
      <c r="G712" s="11">
        <f>IFERROR(__xludf.DUMMYFUNCTION("""COMPUTED_VALUE"""),2.0)</f>
        <v>2</v>
      </c>
      <c r="H712" s="11">
        <f>IFERROR(__xludf.DUMMYFUNCTION("""COMPUTED_VALUE"""),71.99)</f>
        <v>71.99</v>
      </c>
    </row>
    <row r="713">
      <c r="A713" s="8" t="str">
        <f>IFERROR(__xludf.DUMMYFUNCTION("""COMPUTED_VALUE"""),"CA-2014-161032")</f>
        <v>CA-2014-161032</v>
      </c>
      <c r="B713" s="9">
        <f>IFERROR(__xludf.DUMMYFUNCTION("""COMPUTED_VALUE"""),41961.0)</f>
        <v>41961</v>
      </c>
      <c r="C713" s="8" t="str">
        <f>IFERROR(__xludf.DUMMYFUNCTION("""COMPUTED_VALUE"""),"Corporate")</f>
        <v>Corporate</v>
      </c>
      <c r="D713" s="8" t="str">
        <f>IFERROR(__xludf.DUMMYFUNCTION("""COMPUTED_VALUE"""),"Wisconsin")</f>
        <v>Wisconsin</v>
      </c>
      <c r="E713" s="8" t="str">
        <f>IFERROR(__xludf.DUMMYFUNCTION("""COMPUTED_VALUE"""),"Central")</f>
        <v>Central</v>
      </c>
      <c r="F713" s="10">
        <f>IFERROR(__xludf.DUMMYFUNCTION("""COMPUTED_VALUE"""),392.94)</f>
        <v>392.94</v>
      </c>
      <c r="G713" s="11">
        <f>IFERROR(__xludf.DUMMYFUNCTION("""COMPUTED_VALUE"""),3.0)</f>
        <v>3</v>
      </c>
      <c r="H713" s="11">
        <f>IFERROR(__xludf.DUMMYFUNCTION("""COMPUTED_VALUE"""),43.2234)</f>
        <v>43.2234</v>
      </c>
    </row>
    <row r="714">
      <c r="A714" s="8" t="str">
        <f>IFERROR(__xludf.DUMMYFUNCTION("""COMPUTED_VALUE"""),"CA-2014-161249")</f>
        <v>CA-2014-161249</v>
      </c>
      <c r="B714" s="9">
        <f>IFERROR(__xludf.DUMMYFUNCTION("""COMPUTED_VALUE"""),41860.0)</f>
        <v>41860</v>
      </c>
      <c r="C714" s="8" t="str">
        <f>IFERROR(__xludf.DUMMYFUNCTION("""COMPUTED_VALUE"""),"Consumer")</f>
        <v>Consumer</v>
      </c>
      <c r="D714" s="8" t="str">
        <f>IFERROR(__xludf.DUMMYFUNCTION("""COMPUTED_VALUE"""),"Arizona")</f>
        <v>Arizona</v>
      </c>
      <c r="E714" s="8" t="str">
        <f>IFERROR(__xludf.DUMMYFUNCTION("""COMPUTED_VALUE"""),"West")</f>
        <v>West</v>
      </c>
      <c r="F714" s="10">
        <f>IFERROR(__xludf.DUMMYFUNCTION("""COMPUTED_VALUE"""),4.464)</f>
        <v>4.464</v>
      </c>
      <c r="G714" s="11">
        <f>IFERROR(__xludf.DUMMYFUNCTION("""COMPUTED_VALUE"""),3.0)</f>
        <v>3</v>
      </c>
      <c r="H714" s="11">
        <f>IFERROR(__xludf.DUMMYFUNCTION("""COMPUTED_VALUE"""),-0.9486)</f>
        <v>-0.9486</v>
      </c>
    </row>
    <row r="715">
      <c r="A715" s="8" t="str">
        <f>IFERROR(__xludf.DUMMYFUNCTION("""COMPUTED_VALUE"""),"CA-2014-161508")</f>
        <v>CA-2014-161508</v>
      </c>
      <c r="B715" s="9">
        <f>IFERROR(__xludf.DUMMYFUNCTION("""COMPUTED_VALUE"""),41832.0)</f>
        <v>41832</v>
      </c>
      <c r="C715" s="8" t="str">
        <f>IFERROR(__xludf.DUMMYFUNCTION("""COMPUTED_VALUE"""),"Home Office")</f>
        <v>Home Office</v>
      </c>
      <c r="D715" s="8" t="str">
        <f>IFERROR(__xludf.DUMMYFUNCTION("""COMPUTED_VALUE"""),"Texas")</f>
        <v>Texas</v>
      </c>
      <c r="E715" s="8" t="str">
        <f>IFERROR(__xludf.DUMMYFUNCTION("""COMPUTED_VALUE"""),"Central")</f>
        <v>Central</v>
      </c>
      <c r="F715" s="10">
        <f>IFERROR(__xludf.DUMMYFUNCTION("""COMPUTED_VALUE"""),512.358)</f>
        <v>512.358</v>
      </c>
      <c r="G715" s="11">
        <f>IFERROR(__xludf.DUMMYFUNCTION("""COMPUTED_VALUE"""),3.0)</f>
        <v>3</v>
      </c>
      <c r="H715" s="11">
        <f>IFERROR(__xludf.DUMMYFUNCTION("""COMPUTED_VALUE"""),-14.6388)</f>
        <v>-14.6388</v>
      </c>
    </row>
    <row r="716">
      <c r="A716" s="8" t="str">
        <f>IFERROR(__xludf.DUMMYFUNCTION("""COMPUTED_VALUE"""),"CA-2014-161634")</f>
        <v>CA-2014-161634</v>
      </c>
      <c r="B716" s="9">
        <f>IFERROR(__xludf.DUMMYFUNCTION("""COMPUTED_VALUE"""),41957.0)</f>
        <v>41957</v>
      </c>
      <c r="C716" s="8" t="str">
        <f>IFERROR(__xludf.DUMMYFUNCTION("""COMPUTED_VALUE"""),"Consumer")</f>
        <v>Consumer</v>
      </c>
      <c r="D716" s="8" t="str">
        <f>IFERROR(__xludf.DUMMYFUNCTION("""COMPUTED_VALUE"""),"Virginia")</f>
        <v>Virginia</v>
      </c>
      <c r="E716" s="8" t="str">
        <f>IFERROR(__xludf.DUMMYFUNCTION("""COMPUTED_VALUE"""),"South")</f>
        <v>South</v>
      </c>
      <c r="F716" s="10">
        <f>IFERROR(__xludf.DUMMYFUNCTION("""COMPUTED_VALUE"""),32.4)</f>
        <v>32.4</v>
      </c>
      <c r="G716" s="11">
        <f>IFERROR(__xludf.DUMMYFUNCTION("""COMPUTED_VALUE"""),5.0)</f>
        <v>5</v>
      </c>
      <c r="H716" s="11">
        <f>IFERROR(__xludf.DUMMYFUNCTION("""COMPUTED_VALUE"""),15.552)</f>
        <v>15.552</v>
      </c>
    </row>
    <row r="717">
      <c r="A717" s="8" t="str">
        <f>IFERROR(__xludf.DUMMYFUNCTION("""COMPUTED_VALUE"""),"CA-2014-162089")</f>
        <v>CA-2014-162089</v>
      </c>
      <c r="B717" s="9">
        <f>IFERROR(__xludf.DUMMYFUNCTION("""COMPUTED_VALUE"""),41728.0)</f>
        <v>41728</v>
      </c>
      <c r="C717" s="8" t="str">
        <f>IFERROR(__xludf.DUMMYFUNCTION("""COMPUTED_VALUE"""),"Home Office")</f>
        <v>Home Office</v>
      </c>
      <c r="D717" s="8" t="str">
        <f>IFERROR(__xludf.DUMMYFUNCTION("""COMPUTED_VALUE"""),"Texas")</f>
        <v>Texas</v>
      </c>
      <c r="E717" s="8" t="str">
        <f>IFERROR(__xludf.DUMMYFUNCTION("""COMPUTED_VALUE"""),"Central")</f>
        <v>Central</v>
      </c>
      <c r="F717" s="10">
        <f>IFERROR(__xludf.DUMMYFUNCTION("""COMPUTED_VALUE"""),335.72)</f>
        <v>335.72</v>
      </c>
      <c r="G717" s="11">
        <f>IFERROR(__xludf.DUMMYFUNCTION("""COMPUTED_VALUE"""),5.0)</f>
        <v>5</v>
      </c>
      <c r="H717" s="11">
        <f>IFERROR(__xludf.DUMMYFUNCTION("""COMPUTED_VALUE"""),113.3055)</f>
        <v>113.3055</v>
      </c>
    </row>
    <row r="718">
      <c r="A718" s="8" t="str">
        <f>IFERROR(__xludf.DUMMYFUNCTION("""COMPUTED_VALUE"""),"CA-2014-162278")</f>
        <v>CA-2014-162278</v>
      </c>
      <c r="B718" s="9">
        <f>IFERROR(__xludf.DUMMYFUNCTION("""COMPUTED_VALUE"""),41938.0)</f>
        <v>41938</v>
      </c>
      <c r="C718" s="8" t="str">
        <f>IFERROR(__xludf.DUMMYFUNCTION("""COMPUTED_VALUE"""),"Consumer")</f>
        <v>Consumer</v>
      </c>
      <c r="D718" s="8" t="str">
        <f>IFERROR(__xludf.DUMMYFUNCTION("""COMPUTED_VALUE"""),"Washington")</f>
        <v>Washington</v>
      </c>
      <c r="E718" s="8" t="str">
        <f>IFERROR(__xludf.DUMMYFUNCTION("""COMPUTED_VALUE"""),"West")</f>
        <v>West</v>
      </c>
      <c r="F718" s="10">
        <f>IFERROR(__xludf.DUMMYFUNCTION("""COMPUTED_VALUE"""),63.92)</f>
        <v>63.92</v>
      </c>
      <c r="G718" s="11">
        <f>IFERROR(__xludf.DUMMYFUNCTION("""COMPUTED_VALUE"""),4.0)</f>
        <v>4</v>
      </c>
      <c r="H718" s="11">
        <f>IFERROR(__xludf.DUMMYFUNCTION("""COMPUTED_VALUE"""),3.196)</f>
        <v>3.196</v>
      </c>
    </row>
    <row r="719">
      <c r="A719" s="8" t="str">
        <f>IFERROR(__xludf.DUMMYFUNCTION("""COMPUTED_VALUE"""),"CA-2014-162362")</f>
        <v>CA-2014-162362</v>
      </c>
      <c r="B719" s="9">
        <f>IFERROR(__xludf.DUMMYFUNCTION("""COMPUTED_VALUE"""),41957.0)</f>
        <v>41957</v>
      </c>
      <c r="C719" s="8" t="str">
        <f>IFERROR(__xludf.DUMMYFUNCTION("""COMPUTED_VALUE"""),"Consumer")</f>
        <v>Consumer</v>
      </c>
      <c r="D719" s="8" t="str">
        <f>IFERROR(__xludf.DUMMYFUNCTION("""COMPUTED_VALUE"""),"Michigan")</f>
        <v>Michigan</v>
      </c>
      <c r="E719" s="8" t="str">
        <f>IFERROR(__xludf.DUMMYFUNCTION("""COMPUTED_VALUE"""),"Central")</f>
        <v>Central</v>
      </c>
      <c r="F719" s="10">
        <f>IFERROR(__xludf.DUMMYFUNCTION("""COMPUTED_VALUE"""),12.72)</f>
        <v>12.72</v>
      </c>
      <c r="G719" s="11">
        <f>IFERROR(__xludf.DUMMYFUNCTION("""COMPUTED_VALUE"""),3.0)</f>
        <v>3</v>
      </c>
      <c r="H719" s="11">
        <f>IFERROR(__xludf.DUMMYFUNCTION("""COMPUTED_VALUE"""),6.36)</f>
        <v>6.36</v>
      </c>
    </row>
    <row r="720">
      <c r="A720" s="8" t="str">
        <f>IFERROR(__xludf.DUMMYFUNCTION("""COMPUTED_VALUE"""),"CA-2014-162684")</f>
        <v>CA-2014-162684</v>
      </c>
      <c r="B720" s="9">
        <f>IFERROR(__xludf.DUMMYFUNCTION("""COMPUTED_VALUE"""),41852.0)</f>
        <v>41852</v>
      </c>
      <c r="C720" s="8" t="str">
        <f>IFERROR(__xludf.DUMMYFUNCTION("""COMPUTED_VALUE"""),"Home Office")</f>
        <v>Home Office</v>
      </c>
      <c r="D720" s="8" t="str">
        <f>IFERROR(__xludf.DUMMYFUNCTION("""COMPUTED_VALUE"""),"Pennsylvania")</f>
        <v>Pennsylvania</v>
      </c>
      <c r="E720" s="8" t="str">
        <f>IFERROR(__xludf.DUMMYFUNCTION("""COMPUTED_VALUE"""),"East")</f>
        <v>East</v>
      </c>
      <c r="F720" s="10">
        <f>IFERROR(__xludf.DUMMYFUNCTION("""COMPUTED_VALUE"""),5.68)</f>
        <v>5.68</v>
      </c>
      <c r="G720" s="11">
        <f>IFERROR(__xludf.DUMMYFUNCTION("""COMPUTED_VALUE"""),2.0)</f>
        <v>2</v>
      </c>
      <c r="H720" s="11">
        <f>IFERROR(__xludf.DUMMYFUNCTION("""COMPUTED_VALUE"""),1.917)</f>
        <v>1.917</v>
      </c>
    </row>
    <row r="721">
      <c r="A721" s="8" t="str">
        <f>IFERROR(__xludf.DUMMYFUNCTION("""COMPUTED_VALUE"""),"CA-2014-162775")</f>
        <v>CA-2014-162775</v>
      </c>
      <c r="B721" s="9">
        <f>IFERROR(__xludf.DUMMYFUNCTION("""COMPUTED_VALUE"""),41652.0)</f>
        <v>41652</v>
      </c>
      <c r="C721" s="8" t="str">
        <f>IFERROR(__xludf.DUMMYFUNCTION("""COMPUTED_VALUE"""),"Corporate")</f>
        <v>Corporate</v>
      </c>
      <c r="D721" s="8" t="str">
        <f>IFERROR(__xludf.DUMMYFUNCTION("""COMPUTED_VALUE"""),"Louisiana")</f>
        <v>Louisiana</v>
      </c>
      <c r="E721" s="8" t="str">
        <f>IFERROR(__xludf.DUMMYFUNCTION("""COMPUTED_VALUE"""),"South")</f>
        <v>South</v>
      </c>
      <c r="F721" s="10">
        <f>IFERROR(__xludf.DUMMYFUNCTION("""COMPUTED_VALUE"""),11.36)</f>
        <v>11.36</v>
      </c>
      <c r="G721" s="11">
        <f>IFERROR(__xludf.DUMMYFUNCTION("""COMPUTED_VALUE"""),2.0)</f>
        <v>2</v>
      </c>
      <c r="H721" s="11">
        <f>IFERROR(__xludf.DUMMYFUNCTION("""COMPUTED_VALUE"""),5.3392)</f>
        <v>5.3392</v>
      </c>
    </row>
    <row r="722">
      <c r="A722" s="8" t="str">
        <f>IFERROR(__xludf.DUMMYFUNCTION("""COMPUTED_VALUE"""),"CA-2014-162866")</f>
        <v>CA-2014-162866</v>
      </c>
      <c r="B722" s="9">
        <f>IFERROR(__xludf.DUMMYFUNCTION("""COMPUTED_VALUE"""),42000.0)</f>
        <v>42000</v>
      </c>
      <c r="C722" s="8" t="str">
        <f>IFERROR(__xludf.DUMMYFUNCTION("""COMPUTED_VALUE"""),"Consumer")</f>
        <v>Consumer</v>
      </c>
      <c r="D722" s="8" t="str">
        <f>IFERROR(__xludf.DUMMYFUNCTION("""COMPUTED_VALUE"""),"Illinois")</f>
        <v>Illinois</v>
      </c>
      <c r="E722" s="8" t="str">
        <f>IFERROR(__xludf.DUMMYFUNCTION("""COMPUTED_VALUE"""),"Central")</f>
        <v>Central</v>
      </c>
      <c r="F722" s="10">
        <f>IFERROR(__xludf.DUMMYFUNCTION("""COMPUTED_VALUE"""),32.952)</f>
        <v>32.952</v>
      </c>
      <c r="G722" s="11">
        <f>IFERROR(__xludf.DUMMYFUNCTION("""COMPUTED_VALUE"""),6.0)</f>
        <v>6</v>
      </c>
      <c r="H722" s="11">
        <f>IFERROR(__xludf.DUMMYFUNCTION("""COMPUTED_VALUE"""),-19.7712)</f>
        <v>-19.7712</v>
      </c>
    </row>
    <row r="723">
      <c r="A723" s="8" t="str">
        <f>IFERROR(__xludf.DUMMYFUNCTION("""COMPUTED_VALUE"""),"CA-2014-162992")</f>
        <v>CA-2014-162992</v>
      </c>
      <c r="B723" s="9">
        <f>IFERROR(__xludf.DUMMYFUNCTION("""COMPUTED_VALUE"""),41992.0)</f>
        <v>41992</v>
      </c>
      <c r="C723" s="8" t="str">
        <f>IFERROR(__xludf.DUMMYFUNCTION("""COMPUTED_VALUE"""),"Corporate")</f>
        <v>Corporate</v>
      </c>
      <c r="D723" s="8" t="str">
        <f>IFERROR(__xludf.DUMMYFUNCTION("""COMPUTED_VALUE"""),"California")</f>
        <v>California</v>
      </c>
      <c r="E723" s="8" t="str">
        <f>IFERROR(__xludf.DUMMYFUNCTION("""COMPUTED_VALUE"""),"West")</f>
        <v>West</v>
      </c>
      <c r="F723" s="10">
        <f>IFERROR(__xludf.DUMMYFUNCTION("""COMPUTED_VALUE"""),14.62)</f>
        <v>14.62</v>
      </c>
      <c r="G723" s="11">
        <f>IFERROR(__xludf.DUMMYFUNCTION("""COMPUTED_VALUE"""),2.0)</f>
        <v>2</v>
      </c>
      <c r="H723" s="11">
        <f>IFERROR(__xludf.DUMMYFUNCTION("""COMPUTED_VALUE"""),6.8714)</f>
        <v>6.8714</v>
      </c>
    </row>
    <row r="724">
      <c r="A724" s="8" t="str">
        <f>IFERROR(__xludf.DUMMYFUNCTION("""COMPUTED_VALUE"""),"CA-2014-163013")</f>
        <v>CA-2014-163013</v>
      </c>
      <c r="B724" s="9">
        <f>IFERROR(__xludf.DUMMYFUNCTION("""COMPUTED_VALUE"""),41971.0)</f>
        <v>41971</v>
      </c>
      <c r="C724" s="8" t="str">
        <f>IFERROR(__xludf.DUMMYFUNCTION("""COMPUTED_VALUE"""),"Consumer")</f>
        <v>Consumer</v>
      </c>
      <c r="D724" s="8" t="str">
        <f>IFERROR(__xludf.DUMMYFUNCTION("""COMPUTED_VALUE"""),"Alabama")</f>
        <v>Alabama</v>
      </c>
      <c r="E724" s="8" t="str">
        <f>IFERROR(__xludf.DUMMYFUNCTION("""COMPUTED_VALUE"""),"South")</f>
        <v>South</v>
      </c>
      <c r="F724" s="10">
        <f>IFERROR(__xludf.DUMMYFUNCTION("""COMPUTED_VALUE"""),14.67)</f>
        <v>14.67</v>
      </c>
      <c r="G724" s="11">
        <f>IFERROR(__xludf.DUMMYFUNCTION("""COMPUTED_VALUE"""),3.0)</f>
        <v>3</v>
      </c>
      <c r="H724" s="11">
        <f>IFERROR(__xludf.DUMMYFUNCTION("""COMPUTED_VALUE"""),3.9609)</f>
        <v>3.9609</v>
      </c>
    </row>
    <row r="725">
      <c r="A725" s="8" t="str">
        <f>IFERROR(__xludf.DUMMYFUNCTION("""COMPUTED_VALUE"""),"CA-2014-163034")</f>
        <v>CA-2014-163034</v>
      </c>
      <c r="B725" s="9">
        <f>IFERROR(__xludf.DUMMYFUNCTION("""COMPUTED_VALUE"""),41967.0)</f>
        <v>41967</v>
      </c>
      <c r="C725" s="8" t="str">
        <f>IFERROR(__xludf.DUMMYFUNCTION("""COMPUTED_VALUE"""),"Consumer")</f>
        <v>Consumer</v>
      </c>
      <c r="D725" s="8" t="str">
        <f>IFERROR(__xludf.DUMMYFUNCTION("""COMPUTED_VALUE"""),"Illinois")</f>
        <v>Illinois</v>
      </c>
      <c r="E725" s="8" t="str">
        <f>IFERROR(__xludf.DUMMYFUNCTION("""COMPUTED_VALUE"""),"Central")</f>
        <v>Central</v>
      </c>
      <c r="F725" s="10">
        <f>IFERROR(__xludf.DUMMYFUNCTION("""COMPUTED_VALUE"""),646.2)</f>
        <v>646.2</v>
      </c>
      <c r="G725" s="11">
        <f>IFERROR(__xludf.DUMMYFUNCTION("""COMPUTED_VALUE"""),5.0)</f>
        <v>5</v>
      </c>
      <c r="H725" s="11">
        <f>IFERROR(__xludf.DUMMYFUNCTION("""COMPUTED_VALUE"""),-8.0775)</f>
        <v>-8.0775</v>
      </c>
    </row>
    <row r="726">
      <c r="A726" s="8" t="str">
        <f>IFERROR(__xludf.DUMMYFUNCTION("""COMPUTED_VALUE"""),"CA-2014-163223")</f>
        <v>CA-2014-163223</v>
      </c>
      <c r="B726" s="9">
        <f>IFERROR(__xludf.DUMMYFUNCTION("""COMPUTED_VALUE"""),41719.0)</f>
        <v>41719</v>
      </c>
      <c r="C726" s="8" t="str">
        <f>IFERROR(__xludf.DUMMYFUNCTION("""COMPUTED_VALUE"""),"Corporate")</f>
        <v>Corporate</v>
      </c>
      <c r="D726" s="8" t="str">
        <f>IFERROR(__xludf.DUMMYFUNCTION("""COMPUTED_VALUE"""),"Virginia")</f>
        <v>Virginia</v>
      </c>
      <c r="E726" s="8" t="str">
        <f>IFERROR(__xludf.DUMMYFUNCTION("""COMPUTED_VALUE"""),"South")</f>
        <v>South</v>
      </c>
      <c r="F726" s="10">
        <f>IFERROR(__xludf.DUMMYFUNCTION("""COMPUTED_VALUE"""),3499.93)</f>
        <v>3499.93</v>
      </c>
      <c r="G726" s="11">
        <f>IFERROR(__xludf.DUMMYFUNCTION("""COMPUTED_VALUE"""),7.0)</f>
        <v>7</v>
      </c>
      <c r="H726" s="11">
        <f>IFERROR(__xludf.DUMMYFUNCTION("""COMPUTED_VALUE"""),909.9818)</f>
        <v>909.9818</v>
      </c>
    </row>
    <row r="727">
      <c r="A727" s="8" t="str">
        <f>IFERROR(__xludf.DUMMYFUNCTION("""COMPUTED_VALUE"""),"CA-2014-163293")</f>
        <v>CA-2014-163293</v>
      </c>
      <c r="B727" s="9">
        <f>IFERROR(__xludf.DUMMYFUNCTION("""COMPUTED_VALUE"""),41890.0)</f>
        <v>41890</v>
      </c>
      <c r="C727" s="8" t="str">
        <f>IFERROR(__xludf.DUMMYFUNCTION("""COMPUTED_VALUE"""),"Corporate")</f>
        <v>Corporate</v>
      </c>
      <c r="D727" s="8" t="str">
        <f>IFERROR(__xludf.DUMMYFUNCTION("""COMPUTED_VALUE"""),"Georgia")</f>
        <v>Georgia</v>
      </c>
      <c r="E727" s="8" t="str">
        <f>IFERROR(__xludf.DUMMYFUNCTION("""COMPUTED_VALUE"""),"South")</f>
        <v>South</v>
      </c>
      <c r="F727" s="10">
        <f>IFERROR(__xludf.DUMMYFUNCTION("""COMPUTED_VALUE"""),32.97)</f>
        <v>32.97</v>
      </c>
      <c r="G727" s="11">
        <f>IFERROR(__xludf.DUMMYFUNCTION("""COMPUTED_VALUE"""),3.0)</f>
        <v>3</v>
      </c>
      <c r="H727" s="11">
        <f>IFERROR(__xludf.DUMMYFUNCTION("""COMPUTED_VALUE"""),12.8583)</f>
        <v>12.8583</v>
      </c>
    </row>
    <row r="728">
      <c r="A728" s="8" t="str">
        <f>IFERROR(__xludf.DUMMYFUNCTION("""COMPUTED_VALUE"""),"CA-2014-163412")</f>
        <v>CA-2014-163412</v>
      </c>
      <c r="B728" s="9">
        <f>IFERROR(__xludf.DUMMYFUNCTION("""COMPUTED_VALUE"""),41993.0)</f>
        <v>41993</v>
      </c>
      <c r="C728" s="8" t="str">
        <f>IFERROR(__xludf.DUMMYFUNCTION("""COMPUTED_VALUE"""),"Corporate")</f>
        <v>Corporate</v>
      </c>
      <c r="D728" s="8" t="str">
        <f>IFERROR(__xludf.DUMMYFUNCTION("""COMPUTED_VALUE"""),"New York")</f>
        <v>New York</v>
      </c>
      <c r="E728" s="8" t="str">
        <f>IFERROR(__xludf.DUMMYFUNCTION("""COMPUTED_VALUE"""),"East")</f>
        <v>East</v>
      </c>
      <c r="F728" s="10">
        <f>IFERROR(__xludf.DUMMYFUNCTION("""COMPUTED_VALUE"""),192.186)</f>
        <v>192.186</v>
      </c>
      <c r="G728" s="11">
        <f>IFERROR(__xludf.DUMMYFUNCTION("""COMPUTED_VALUE"""),3.0)</f>
        <v>3</v>
      </c>
      <c r="H728" s="11">
        <f>IFERROR(__xludf.DUMMYFUNCTION("""COMPUTED_VALUE"""),36.3018)</f>
        <v>36.3018</v>
      </c>
    </row>
    <row r="729">
      <c r="A729" s="8" t="str">
        <f>IFERROR(__xludf.DUMMYFUNCTION("""COMPUTED_VALUE"""),"CA-2014-163419")</f>
        <v>CA-2014-163419</v>
      </c>
      <c r="B729" s="9">
        <f>IFERROR(__xludf.DUMMYFUNCTION("""COMPUTED_VALUE"""),41954.0)</f>
        <v>41954</v>
      </c>
      <c r="C729" s="8" t="str">
        <f>IFERROR(__xludf.DUMMYFUNCTION("""COMPUTED_VALUE"""),"Consumer")</f>
        <v>Consumer</v>
      </c>
      <c r="D729" s="8" t="str">
        <f>IFERROR(__xludf.DUMMYFUNCTION("""COMPUTED_VALUE"""),"Colorado")</f>
        <v>Colorado</v>
      </c>
      <c r="E729" s="8" t="str">
        <f>IFERROR(__xludf.DUMMYFUNCTION("""COMPUTED_VALUE"""),"West")</f>
        <v>West</v>
      </c>
      <c r="F729" s="10">
        <f>IFERROR(__xludf.DUMMYFUNCTION("""COMPUTED_VALUE"""),3.392)</f>
        <v>3.392</v>
      </c>
      <c r="G729" s="11">
        <f>IFERROR(__xludf.DUMMYFUNCTION("""COMPUTED_VALUE"""),1.0)</f>
        <v>1</v>
      </c>
      <c r="H729" s="11">
        <f>IFERROR(__xludf.DUMMYFUNCTION("""COMPUTED_VALUE"""),0.8056)</f>
        <v>0.8056</v>
      </c>
    </row>
    <row r="730">
      <c r="A730" s="8" t="str">
        <f>IFERROR(__xludf.DUMMYFUNCTION("""COMPUTED_VALUE"""),"CA-2014-163447")</f>
        <v>CA-2014-163447</v>
      </c>
      <c r="B730" s="9">
        <f>IFERROR(__xludf.DUMMYFUNCTION("""COMPUTED_VALUE"""),42000.0)</f>
        <v>42000</v>
      </c>
      <c r="C730" s="8" t="str">
        <f>IFERROR(__xludf.DUMMYFUNCTION("""COMPUTED_VALUE"""),"Home Office")</f>
        <v>Home Office</v>
      </c>
      <c r="D730" s="8" t="str">
        <f>IFERROR(__xludf.DUMMYFUNCTION("""COMPUTED_VALUE"""),"New York")</f>
        <v>New York</v>
      </c>
      <c r="E730" s="8" t="str">
        <f>IFERROR(__xludf.DUMMYFUNCTION("""COMPUTED_VALUE"""),"East")</f>
        <v>East</v>
      </c>
      <c r="F730" s="10">
        <f>IFERROR(__xludf.DUMMYFUNCTION("""COMPUTED_VALUE"""),767.214)</f>
        <v>767.214</v>
      </c>
      <c r="G730" s="11">
        <f>IFERROR(__xludf.DUMMYFUNCTION("""COMPUTED_VALUE"""),14.0)</f>
        <v>14</v>
      </c>
      <c r="H730" s="11">
        <f>IFERROR(__xludf.DUMMYFUNCTION("""COMPUTED_VALUE"""),161.9674)</f>
        <v>161.9674</v>
      </c>
    </row>
    <row r="731">
      <c r="A731" s="8" t="str">
        <f>IFERROR(__xludf.DUMMYFUNCTION("""COMPUTED_VALUE"""),"CA-2014-163468")</f>
        <v>CA-2014-163468</v>
      </c>
      <c r="B731" s="9">
        <f>IFERROR(__xludf.DUMMYFUNCTION("""COMPUTED_VALUE"""),41961.0)</f>
        <v>41961</v>
      </c>
      <c r="C731" s="8" t="str">
        <f>IFERROR(__xludf.DUMMYFUNCTION("""COMPUTED_VALUE"""),"Consumer")</f>
        <v>Consumer</v>
      </c>
      <c r="D731" s="8" t="str">
        <f>IFERROR(__xludf.DUMMYFUNCTION("""COMPUTED_VALUE"""),"Illinois")</f>
        <v>Illinois</v>
      </c>
      <c r="E731" s="8" t="str">
        <f>IFERROR(__xludf.DUMMYFUNCTION("""COMPUTED_VALUE"""),"Central")</f>
        <v>Central</v>
      </c>
      <c r="F731" s="10">
        <f>IFERROR(__xludf.DUMMYFUNCTION("""COMPUTED_VALUE"""),292.1)</f>
        <v>292.1</v>
      </c>
      <c r="G731" s="11">
        <f>IFERROR(__xludf.DUMMYFUNCTION("""COMPUTED_VALUE"""),4.0)</f>
        <v>4</v>
      </c>
      <c r="H731" s="11">
        <f>IFERROR(__xludf.DUMMYFUNCTION("""COMPUTED_VALUE"""),-175.26)</f>
        <v>-175.26</v>
      </c>
    </row>
    <row r="732">
      <c r="A732" s="8" t="str">
        <f>IFERROR(__xludf.DUMMYFUNCTION("""COMPUTED_VALUE"""),"CA-2014-163552")</f>
        <v>CA-2014-163552</v>
      </c>
      <c r="B732" s="9">
        <f>IFERROR(__xludf.DUMMYFUNCTION("""COMPUTED_VALUE"""),41831.0)</f>
        <v>41831</v>
      </c>
      <c r="C732" s="8" t="str">
        <f>IFERROR(__xludf.DUMMYFUNCTION("""COMPUTED_VALUE"""),"Corporate")</f>
        <v>Corporate</v>
      </c>
      <c r="D732" s="8" t="str">
        <f>IFERROR(__xludf.DUMMYFUNCTION("""COMPUTED_VALUE"""),"New Jersey")</f>
        <v>New Jersey</v>
      </c>
      <c r="E732" s="8" t="str">
        <f>IFERROR(__xludf.DUMMYFUNCTION("""COMPUTED_VALUE"""),"East")</f>
        <v>East</v>
      </c>
      <c r="F732" s="10">
        <f>IFERROR(__xludf.DUMMYFUNCTION("""COMPUTED_VALUE"""),177.2)</f>
        <v>177.2</v>
      </c>
      <c r="G732" s="11">
        <f>IFERROR(__xludf.DUMMYFUNCTION("""COMPUTED_VALUE"""),5.0)</f>
        <v>5</v>
      </c>
      <c r="H732" s="11">
        <f>IFERROR(__xludf.DUMMYFUNCTION("""COMPUTED_VALUE"""),83.284)</f>
        <v>83.284</v>
      </c>
    </row>
    <row r="733">
      <c r="A733" s="8" t="str">
        <f>IFERROR(__xludf.DUMMYFUNCTION("""COMPUTED_VALUE"""),"CA-2014-163559")</f>
        <v>CA-2014-163559</v>
      </c>
      <c r="B733" s="9">
        <f>IFERROR(__xludf.DUMMYFUNCTION("""COMPUTED_VALUE"""),41905.0)</f>
        <v>41905</v>
      </c>
      <c r="C733" s="8" t="str">
        <f>IFERROR(__xludf.DUMMYFUNCTION("""COMPUTED_VALUE"""),"Consumer")</f>
        <v>Consumer</v>
      </c>
      <c r="D733" s="8" t="str">
        <f>IFERROR(__xludf.DUMMYFUNCTION("""COMPUTED_VALUE"""),"New York")</f>
        <v>New York</v>
      </c>
      <c r="E733" s="8" t="str">
        <f>IFERROR(__xludf.DUMMYFUNCTION("""COMPUTED_VALUE"""),"East")</f>
        <v>East</v>
      </c>
      <c r="F733" s="10">
        <f>IFERROR(__xludf.DUMMYFUNCTION("""COMPUTED_VALUE"""),139.44)</f>
        <v>139.44</v>
      </c>
      <c r="G733" s="11">
        <f>IFERROR(__xludf.DUMMYFUNCTION("""COMPUTED_VALUE"""),3.0)</f>
        <v>3</v>
      </c>
      <c r="H733" s="11">
        <f>IFERROR(__xludf.DUMMYFUNCTION("""COMPUTED_VALUE"""),47.061)</f>
        <v>47.061</v>
      </c>
    </row>
    <row r="734">
      <c r="A734" s="8" t="str">
        <f>IFERROR(__xludf.DUMMYFUNCTION("""COMPUTED_VALUE"""),"CA-2014-163650")</f>
        <v>CA-2014-163650</v>
      </c>
      <c r="B734" s="9">
        <f>IFERROR(__xludf.DUMMYFUNCTION("""COMPUTED_VALUE"""),41905.0)</f>
        <v>41905</v>
      </c>
      <c r="C734" s="8" t="str">
        <f>IFERROR(__xludf.DUMMYFUNCTION("""COMPUTED_VALUE"""),"Consumer")</f>
        <v>Consumer</v>
      </c>
      <c r="D734" s="8" t="str">
        <f>IFERROR(__xludf.DUMMYFUNCTION("""COMPUTED_VALUE"""),"Delaware")</f>
        <v>Delaware</v>
      </c>
      <c r="E734" s="8" t="str">
        <f>IFERROR(__xludf.DUMMYFUNCTION("""COMPUTED_VALUE"""),"East")</f>
        <v>East</v>
      </c>
      <c r="F734" s="10">
        <f>IFERROR(__xludf.DUMMYFUNCTION("""COMPUTED_VALUE"""),9.84)</f>
        <v>9.84</v>
      </c>
      <c r="G734" s="11">
        <f>IFERROR(__xludf.DUMMYFUNCTION("""COMPUTED_VALUE"""),3.0)</f>
        <v>3</v>
      </c>
      <c r="H734" s="11">
        <f>IFERROR(__xludf.DUMMYFUNCTION("""COMPUTED_VALUE"""),2.8536)</f>
        <v>2.8536</v>
      </c>
    </row>
    <row r="735">
      <c r="A735" s="8" t="str">
        <f>IFERROR(__xludf.DUMMYFUNCTION("""COMPUTED_VALUE"""),"CA-2014-163748")</f>
        <v>CA-2014-163748</v>
      </c>
      <c r="B735" s="9">
        <f>IFERROR(__xludf.DUMMYFUNCTION("""COMPUTED_VALUE"""),41926.0)</f>
        <v>41926</v>
      </c>
      <c r="C735" s="8" t="str">
        <f>IFERROR(__xludf.DUMMYFUNCTION("""COMPUTED_VALUE"""),"Consumer")</f>
        <v>Consumer</v>
      </c>
      <c r="D735" s="8" t="str">
        <f>IFERROR(__xludf.DUMMYFUNCTION("""COMPUTED_VALUE"""),"Texas")</f>
        <v>Texas</v>
      </c>
      <c r="E735" s="8" t="str">
        <f>IFERROR(__xludf.DUMMYFUNCTION("""COMPUTED_VALUE"""),"Central")</f>
        <v>Central</v>
      </c>
      <c r="F735" s="10">
        <f>IFERROR(__xludf.DUMMYFUNCTION("""COMPUTED_VALUE"""),3.16)</f>
        <v>3.16</v>
      </c>
      <c r="G735" s="11">
        <f>IFERROR(__xludf.DUMMYFUNCTION("""COMPUTED_VALUE"""),4.0)</f>
        <v>4</v>
      </c>
      <c r="H735" s="11">
        <f>IFERROR(__xludf.DUMMYFUNCTION("""COMPUTED_VALUE"""),-8.532)</f>
        <v>-8.532</v>
      </c>
    </row>
    <row r="736">
      <c r="A736" s="8" t="str">
        <f>IFERROR(__xludf.DUMMYFUNCTION("""COMPUTED_VALUE"""),"CA-2014-163867")</f>
        <v>CA-2014-163867</v>
      </c>
      <c r="B736" s="9">
        <f>IFERROR(__xludf.DUMMYFUNCTION("""COMPUTED_VALUE"""),41793.0)</f>
        <v>41793</v>
      </c>
      <c r="C736" s="8" t="str">
        <f>IFERROR(__xludf.DUMMYFUNCTION("""COMPUTED_VALUE"""),"Consumer")</f>
        <v>Consumer</v>
      </c>
      <c r="D736" s="8" t="str">
        <f>IFERROR(__xludf.DUMMYFUNCTION("""COMPUTED_VALUE"""),"Illinois")</f>
        <v>Illinois</v>
      </c>
      <c r="E736" s="8" t="str">
        <f>IFERROR(__xludf.DUMMYFUNCTION("""COMPUTED_VALUE"""),"Central")</f>
        <v>Central</v>
      </c>
      <c r="F736" s="10">
        <f>IFERROR(__xludf.DUMMYFUNCTION("""COMPUTED_VALUE"""),15.936)</f>
        <v>15.936</v>
      </c>
      <c r="G736" s="11">
        <f>IFERROR(__xludf.DUMMYFUNCTION("""COMPUTED_VALUE"""),4.0)</f>
        <v>4</v>
      </c>
      <c r="H736" s="11">
        <f>IFERROR(__xludf.DUMMYFUNCTION("""COMPUTED_VALUE"""),5.1792)</f>
        <v>5.1792</v>
      </c>
    </row>
    <row r="737">
      <c r="A737" s="8" t="str">
        <f>IFERROR(__xludf.DUMMYFUNCTION("""COMPUTED_VALUE"""),"CA-2014-164182")</f>
        <v>CA-2014-164182</v>
      </c>
      <c r="B737" s="9">
        <f>IFERROR(__xludf.DUMMYFUNCTION("""COMPUTED_VALUE"""),41834.0)</f>
        <v>41834</v>
      </c>
      <c r="C737" s="8" t="str">
        <f>IFERROR(__xludf.DUMMYFUNCTION("""COMPUTED_VALUE"""),"Consumer")</f>
        <v>Consumer</v>
      </c>
      <c r="D737" s="8" t="str">
        <f>IFERROR(__xludf.DUMMYFUNCTION("""COMPUTED_VALUE"""),"Pennsylvania")</f>
        <v>Pennsylvania</v>
      </c>
      <c r="E737" s="8" t="str">
        <f>IFERROR(__xludf.DUMMYFUNCTION("""COMPUTED_VALUE"""),"East")</f>
        <v>East</v>
      </c>
      <c r="F737" s="10">
        <f>IFERROR(__xludf.DUMMYFUNCTION("""COMPUTED_VALUE"""),13.494)</f>
        <v>13.494</v>
      </c>
      <c r="G737" s="11">
        <f>IFERROR(__xludf.DUMMYFUNCTION("""COMPUTED_VALUE"""),1.0)</f>
        <v>1</v>
      </c>
      <c r="H737" s="11">
        <f>IFERROR(__xludf.DUMMYFUNCTION("""COMPUTED_VALUE"""),-2.249)</f>
        <v>-2.249</v>
      </c>
    </row>
    <row r="738">
      <c r="A738" s="8" t="str">
        <f>IFERROR(__xludf.DUMMYFUNCTION("""COMPUTED_VALUE"""),"CA-2014-164210")</f>
        <v>CA-2014-164210</v>
      </c>
      <c r="B738" s="9">
        <f>IFERROR(__xludf.DUMMYFUNCTION("""COMPUTED_VALUE"""),41961.0)</f>
        <v>41961</v>
      </c>
      <c r="C738" s="8" t="str">
        <f>IFERROR(__xludf.DUMMYFUNCTION("""COMPUTED_VALUE"""),"Consumer")</f>
        <v>Consumer</v>
      </c>
      <c r="D738" s="8" t="str">
        <f>IFERROR(__xludf.DUMMYFUNCTION("""COMPUTED_VALUE"""),"Colorado")</f>
        <v>Colorado</v>
      </c>
      <c r="E738" s="8" t="str">
        <f>IFERROR(__xludf.DUMMYFUNCTION("""COMPUTED_VALUE"""),"West")</f>
        <v>West</v>
      </c>
      <c r="F738" s="10">
        <f>IFERROR(__xludf.DUMMYFUNCTION("""COMPUTED_VALUE"""),145.98)</f>
        <v>145.98</v>
      </c>
      <c r="G738" s="11">
        <f>IFERROR(__xludf.DUMMYFUNCTION("""COMPUTED_VALUE"""),2.0)</f>
        <v>2</v>
      </c>
      <c r="H738" s="11">
        <f>IFERROR(__xludf.DUMMYFUNCTION("""COMPUTED_VALUE"""),-99.2664)</f>
        <v>-99.2664</v>
      </c>
    </row>
    <row r="739">
      <c r="A739" s="8" t="str">
        <f>IFERROR(__xludf.DUMMYFUNCTION("""COMPUTED_VALUE"""),"CA-2014-164224")</f>
        <v>CA-2014-164224</v>
      </c>
      <c r="B739" s="9">
        <f>IFERROR(__xludf.DUMMYFUNCTION("""COMPUTED_VALUE"""),41777.0)</f>
        <v>41777</v>
      </c>
      <c r="C739" s="8" t="str">
        <f>IFERROR(__xludf.DUMMYFUNCTION("""COMPUTED_VALUE"""),"Consumer")</f>
        <v>Consumer</v>
      </c>
      <c r="D739" s="8" t="str">
        <f>IFERROR(__xludf.DUMMYFUNCTION("""COMPUTED_VALUE"""),"Ohio")</f>
        <v>Ohio</v>
      </c>
      <c r="E739" s="8" t="str">
        <f>IFERROR(__xludf.DUMMYFUNCTION("""COMPUTED_VALUE"""),"East")</f>
        <v>East</v>
      </c>
      <c r="F739" s="10">
        <f>IFERROR(__xludf.DUMMYFUNCTION("""COMPUTED_VALUE"""),149.232)</f>
        <v>149.232</v>
      </c>
      <c r="G739" s="11">
        <f>IFERROR(__xludf.DUMMYFUNCTION("""COMPUTED_VALUE"""),3.0)</f>
        <v>3</v>
      </c>
      <c r="H739" s="11">
        <f>IFERROR(__xludf.DUMMYFUNCTION("""COMPUTED_VALUE"""),3.7308)</f>
        <v>3.7308</v>
      </c>
    </row>
    <row r="740">
      <c r="A740" s="8" t="str">
        <f>IFERROR(__xludf.DUMMYFUNCTION("""COMPUTED_VALUE"""),"CA-2014-164259")</f>
        <v>CA-2014-164259</v>
      </c>
      <c r="B740" s="9">
        <f>IFERROR(__xludf.DUMMYFUNCTION("""COMPUTED_VALUE"""),42001.0)</f>
        <v>42001</v>
      </c>
      <c r="C740" s="8" t="str">
        <f>IFERROR(__xludf.DUMMYFUNCTION("""COMPUTED_VALUE"""),"Corporate")</f>
        <v>Corporate</v>
      </c>
      <c r="D740" s="8" t="str">
        <f>IFERROR(__xludf.DUMMYFUNCTION("""COMPUTED_VALUE"""),"Pennsylvania")</f>
        <v>Pennsylvania</v>
      </c>
      <c r="E740" s="8" t="str">
        <f>IFERROR(__xludf.DUMMYFUNCTION("""COMPUTED_VALUE"""),"East")</f>
        <v>East</v>
      </c>
      <c r="F740" s="10">
        <f>IFERROR(__xludf.DUMMYFUNCTION("""COMPUTED_VALUE"""),99.136)</f>
        <v>99.136</v>
      </c>
      <c r="G740" s="11">
        <f>IFERROR(__xludf.DUMMYFUNCTION("""COMPUTED_VALUE"""),4.0)</f>
        <v>4</v>
      </c>
      <c r="H740" s="11">
        <f>IFERROR(__xludf.DUMMYFUNCTION("""COMPUTED_VALUE"""),8.6744)</f>
        <v>8.6744</v>
      </c>
    </row>
    <row r="741">
      <c r="A741" s="8" t="str">
        <f>IFERROR(__xludf.DUMMYFUNCTION("""COMPUTED_VALUE"""),"CA-2014-164315")</f>
        <v>CA-2014-164315</v>
      </c>
      <c r="B741" s="9">
        <f>IFERROR(__xludf.DUMMYFUNCTION("""COMPUTED_VALUE"""),41731.0)</f>
        <v>41731</v>
      </c>
      <c r="C741" s="8" t="str">
        <f>IFERROR(__xludf.DUMMYFUNCTION("""COMPUTED_VALUE"""),"Consumer")</f>
        <v>Consumer</v>
      </c>
      <c r="D741" s="8" t="str">
        <f>IFERROR(__xludf.DUMMYFUNCTION("""COMPUTED_VALUE"""),"Georgia")</f>
        <v>Georgia</v>
      </c>
      <c r="E741" s="8" t="str">
        <f>IFERROR(__xludf.DUMMYFUNCTION("""COMPUTED_VALUE"""),"South")</f>
        <v>South</v>
      </c>
      <c r="F741" s="10">
        <f>IFERROR(__xludf.DUMMYFUNCTION("""COMPUTED_VALUE"""),15.84)</f>
        <v>15.84</v>
      </c>
      <c r="G741" s="11">
        <f>IFERROR(__xludf.DUMMYFUNCTION("""COMPUTED_VALUE"""),3.0)</f>
        <v>3</v>
      </c>
      <c r="H741" s="11">
        <f>IFERROR(__xludf.DUMMYFUNCTION("""COMPUTED_VALUE"""),7.128)</f>
        <v>7.128</v>
      </c>
    </row>
    <row r="742">
      <c r="A742" s="8" t="str">
        <f>IFERROR(__xludf.DUMMYFUNCTION("""COMPUTED_VALUE"""),"CA-2014-164385")</f>
        <v>CA-2014-164385</v>
      </c>
      <c r="B742" s="9">
        <f>IFERROR(__xludf.DUMMYFUNCTION("""COMPUTED_VALUE"""),41908.0)</f>
        <v>41908</v>
      </c>
      <c r="C742" s="8" t="str">
        <f>IFERROR(__xludf.DUMMYFUNCTION("""COMPUTED_VALUE"""),"Corporate")</f>
        <v>Corporate</v>
      </c>
      <c r="D742" s="8" t="str">
        <f>IFERROR(__xludf.DUMMYFUNCTION("""COMPUTED_VALUE"""),"Pennsylvania")</f>
        <v>Pennsylvania</v>
      </c>
      <c r="E742" s="8" t="str">
        <f>IFERROR(__xludf.DUMMYFUNCTION("""COMPUTED_VALUE"""),"East")</f>
        <v>East</v>
      </c>
      <c r="F742" s="10">
        <f>IFERROR(__xludf.DUMMYFUNCTION("""COMPUTED_VALUE"""),143.952)</f>
        <v>143.952</v>
      </c>
      <c r="G742" s="11">
        <f>IFERROR(__xludf.DUMMYFUNCTION("""COMPUTED_VALUE"""),3.0)</f>
        <v>3</v>
      </c>
      <c r="H742" s="11">
        <f>IFERROR(__xludf.DUMMYFUNCTION("""COMPUTED_VALUE"""),14.3952)</f>
        <v>14.3952</v>
      </c>
    </row>
    <row r="743">
      <c r="A743" s="8" t="str">
        <f>IFERROR(__xludf.DUMMYFUNCTION("""COMPUTED_VALUE"""),"CA-2014-164469")</f>
        <v>CA-2014-164469</v>
      </c>
      <c r="B743" s="9">
        <f>IFERROR(__xludf.DUMMYFUNCTION("""COMPUTED_VALUE"""),41815.0)</f>
        <v>41815</v>
      </c>
      <c r="C743" s="8" t="str">
        <f>IFERROR(__xludf.DUMMYFUNCTION("""COMPUTED_VALUE"""),"Corporate")</f>
        <v>Corporate</v>
      </c>
      <c r="D743" s="8" t="str">
        <f>IFERROR(__xludf.DUMMYFUNCTION("""COMPUTED_VALUE"""),"Oregon")</f>
        <v>Oregon</v>
      </c>
      <c r="E743" s="8" t="str">
        <f>IFERROR(__xludf.DUMMYFUNCTION("""COMPUTED_VALUE"""),"West")</f>
        <v>West</v>
      </c>
      <c r="F743" s="10">
        <f>IFERROR(__xludf.DUMMYFUNCTION("""COMPUTED_VALUE"""),263.96)</f>
        <v>263.96</v>
      </c>
      <c r="G743" s="11">
        <f>IFERROR(__xludf.DUMMYFUNCTION("""COMPUTED_VALUE"""),5.0)</f>
        <v>5</v>
      </c>
      <c r="H743" s="11">
        <f>IFERROR(__xludf.DUMMYFUNCTION("""COMPUTED_VALUE"""),19.797)</f>
        <v>19.797</v>
      </c>
    </row>
    <row r="744">
      <c r="A744" s="8" t="str">
        <f>IFERROR(__xludf.DUMMYFUNCTION("""COMPUTED_VALUE"""),"CA-2014-164721")</f>
        <v>CA-2014-164721</v>
      </c>
      <c r="B744" s="9">
        <f>IFERROR(__xludf.DUMMYFUNCTION("""COMPUTED_VALUE"""),41968.0)</f>
        <v>41968</v>
      </c>
      <c r="C744" s="8" t="str">
        <f>IFERROR(__xludf.DUMMYFUNCTION("""COMPUTED_VALUE"""),"Corporate")</f>
        <v>Corporate</v>
      </c>
      <c r="D744" s="8" t="str">
        <f>IFERROR(__xludf.DUMMYFUNCTION("""COMPUTED_VALUE"""),"California")</f>
        <v>California</v>
      </c>
      <c r="E744" s="8" t="str">
        <f>IFERROR(__xludf.DUMMYFUNCTION("""COMPUTED_VALUE"""),"West")</f>
        <v>West</v>
      </c>
      <c r="F744" s="10">
        <f>IFERROR(__xludf.DUMMYFUNCTION("""COMPUTED_VALUE"""),320.88)</f>
        <v>320.88</v>
      </c>
      <c r="G744" s="11">
        <f>IFERROR(__xludf.DUMMYFUNCTION("""COMPUTED_VALUE"""),6.0)</f>
        <v>6</v>
      </c>
      <c r="H744" s="11">
        <f>IFERROR(__xludf.DUMMYFUNCTION("""COMPUTED_VALUE"""),93.0552)</f>
        <v>93.0552</v>
      </c>
    </row>
    <row r="745">
      <c r="A745" s="8" t="str">
        <f>IFERROR(__xludf.DUMMYFUNCTION("""COMPUTED_VALUE"""),"CA-2014-164742")</f>
        <v>CA-2014-164742</v>
      </c>
      <c r="B745" s="9">
        <f>IFERROR(__xludf.DUMMYFUNCTION("""COMPUTED_VALUE"""),41925.0)</f>
        <v>41925</v>
      </c>
      <c r="C745" s="8" t="str">
        <f>IFERROR(__xludf.DUMMYFUNCTION("""COMPUTED_VALUE"""),"Corporate")</f>
        <v>Corporate</v>
      </c>
      <c r="D745" s="8" t="str">
        <f>IFERROR(__xludf.DUMMYFUNCTION("""COMPUTED_VALUE"""),"New Jersey")</f>
        <v>New Jersey</v>
      </c>
      <c r="E745" s="8" t="str">
        <f>IFERROR(__xludf.DUMMYFUNCTION("""COMPUTED_VALUE"""),"East")</f>
        <v>East</v>
      </c>
      <c r="F745" s="10">
        <f>IFERROR(__xludf.DUMMYFUNCTION("""COMPUTED_VALUE"""),245.98)</f>
        <v>245.98</v>
      </c>
      <c r="G745" s="11">
        <f>IFERROR(__xludf.DUMMYFUNCTION("""COMPUTED_VALUE"""),2.0)</f>
        <v>2</v>
      </c>
      <c r="H745" s="11">
        <f>IFERROR(__xludf.DUMMYFUNCTION("""COMPUTED_VALUE"""),27.0578)</f>
        <v>27.0578</v>
      </c>
    </row>
    <row r="746">
      <c r="A746" s="8" t="str">
        <f>IFERROR(__xludf.DUMMYFUNCTION("""COMPUTED_VALUE"""),"CA-2014-164749")</f>
        <v>CA-2014-164749</v>
      </c>
      <c r="B746" s="9">
        <f>IFERROR(__xludf.DUMMYFUNCTION("""COMPUTED_VALUE"""),41721.0)</f>
        <v>41721</v>
      </c>
      <c r="C746" s="8" t="str">
        <f>IFERROR(__xludf.DUMMYFUNCTION("""COMPUTED_VALUE"""),"Consumer")</f>
        <v>Consumer</v>
      </c>
      <c r="D746" s="8" t="str">
        <f>IFERROR(__xludf.DUMMYFUNCTION("""COMPUTED_VALUE"""),"Florida")</f>
        <v>Florida</v>
      </c>
      <c r="E746" s="8" t="str">
        <f>IFERROR(__xludf.DUMMYFUNCTION("""COMPUTED_VALUE"""),"South")</f>
        <v>South</v>
      </c>
      <c r="F746" s="10">
        <f>IFERROR(__xludf.DUMMYFUNCTION("""COMPUTED_VALUE"""),9.912)</f>
        <v>9.912</v>
      </c>
      <c r="G746" s="11">
        <f>IFERROR(__xludf.DUMMYFUNCTION("""COMPUTED_VALUE"""),3.0)</f>
        <v>3</v>
      </c>
      <c r="H746" s="11">
        <f>IFERROR(__xludf.DUMMYFUNCTION("""COMPUTED_VALUE"""),3.2214)</f>
        <v>3.2214</v>
      </c>
    </row>
    <row r="747">
      <c r="A747" s="8" t="str">
        <f>IFERROR(__xludf.DUMMYFUNCTION("""COMPUTED_VALUE"""),"CA-2014-164861")</f>
        <v>CA-2014-164861</v>
      </c>
      <c r="B747" s="9">
        <f>IFERROR(__xludf.DUMMYFUNCTION("""COMPUTED_VALUE"""),41976.0)</f>
        <v>41976</v>
      </c>
      <c r="C747" s="8" t="str">
        <f>IFERROR(__xludf.DUMMYFUNCTION("""COMPUTED_VALUE"""),"Corporate")</f>
        <v>Corporate</v>
      </c>
      <c r="D747" s="8" t="str">
        <f>IFERROR(__xludf.DUMMYFUNCTION("""COMPUTED_VALUE"""),"Missouri")</f>
        <v>Missouri</v>
      </c>
      <c r="E747" s="8" t="str">
        <f>IFERROR(__xludf.DUMMYFUNCTION("""COMPUTED_VALUE"""),"Central")</f>
        <v>Central</v>
      </c>
      <c r="F747" s="10">
        <f>IFERROR(__xludf.DUMMYFUNCTION("""COMPUTED_VALUE"""),25.92)</f>
        <v>25.92</v>
      </c>
      <c r="G747" s="11">
        <f>IFERROR(__xludf.DUMMYFUNCTION("""COMPUTED_VALUE"""),4.0)</f>
        <v>4</v>
      </c>
      <c r="H747" s="11">
        <f>IFERROR(__xludf.DUMMYFUNCTION("""COMPUTED_VALUE"""),12.4416)</f>
        <v>12.4416</v>
      </c>
    </row>
    <row r="748">
      <c r="A748" s="8" t="str">
        <f>IFERROR(__xludf.DUMMYFUNCTION("""COMPUTED_VALUE"""),"CA-2014-164903")</f>
        <v>CA-2014-164903</v>
      </c>
      <c r="B748" s="9">
        <f>IFERROR(__xludf.DUMMYFUNCTION("""COMPUTED_VALUE"""),41690.0)</f>
        <v>41690</v>
      </c>
      <c r="C748" s="8" t="str">
        <f>IFERROR(__xludf.DUMMYFUNCTION("""COMPUTED_VALUE"""),"Home Office")</f>
        <v>Home Office</v>
      </c>
      <c r="D748" s="8" t="str">
        <f>IFERROR(__xludf.DUMMYFUNCTION("""COMPUTED_VALUE"""),"California")</f>
        <v>California</v>
      </c>
      <c r="E748" s="8" t="str">
        <f>IFERROR(__xludf.DUMMYFUNCTION("""COMPUTED_VALUE"""),"West")</f>
        <v>West</v>
      </c>
      <c r="F748" s="10">
        <f>IFERROR(__xludf.DUMMYFUNCTION("""COMPUTED_VALUE"""),12.96)</f>
        <v>12.96</v>
      </c>
      <c r="G748" s="11">
        <f>IFERROR(__xludf.DUMMYFUNCTION("""COMPUTED_VALUE"""),2.0)</f>
        <v>2</v>
      </c>
      <c r="H748" s="11">
        <f>IFERROR(__xludf.DUMMYFUNCTION("""COMPUTED_VALUE"""),6.2208)</f>
        <v>6.2208</v>
      </c>
    </row>
    <row r="749">
      <c r="A749" s="8" t="str">
        <f>IFERROR(__xludf.DUMMYFUNCTION("""COMPUTED_VALUE"""),"CA-2014-164910")</f>
        <v>CA-2014-164910</v>
      </c>
      <c r="B749" s="9">
        <f>IFERROR(__xludf.DUMMYFUNCTION("""COMPUTED_VALUE"""),41955.0)</f>
        <v>41955</v>
      </c>
      <c r="C749" s="8" t="str">
        <f>IFERROR(__xludf.DUMMYFUNCTION("""COMPUTED_VALUE"""),"Corporate")</f>
        <v>Corporate</v>
      </c>
      <c r="D749" s="8" t="str">
        <f>IFERROR(__xludf.DUMMYFUNCTION("""COMPUTED_VALUE"""),"North Carolina")</f>
        <v>North Carolina</v>
      </c>
      <c r="E749" s="8" t="str">
        <f>IFERROR(__xludf.DUMMYFUNCTION("""COMPUTED_VALUE"""),"South")</f>
        <v>South</v>
      </c>
      <c r="F749" s="10">
        <f>IFERROR(__xludf.DUMMYFUNCTION("""COMPUTED_VALUE"""),7.872)</f>
        <v>7.872</v>
      </c>
      <c r="G749" s="11">
        <f>IFERROR(__xludf.DUMMYFUNCTION("""COMPUTED_VALUE"""),3.0)</f>
        <v>3</v>
      </c>
      <c r="H749" s="11">
        <f>IFERROR(__xludf.DUMMYFUNCTION("""COMPUTED_VALUE"""),0.8856)</f>
        <v>0.8856</v>
      </c>
    </row>
    <row r="750">
      <c r="A750" s="8" t="str">
        <f>IFERROR(__xludf.DUMMYFUNCTION("""COMPUTED_VALUE"""),"CA-2014-164973")</f>
        <v>CA-2014-164973</v>
      </c>
      <c r="B750" s="9">
        <f>IFERROR(__xludf.DUMMYFUNCTION("""COMPUTED_VALUE"""),41947.0)</f>
        <v>41947</v>
      </c>
      <c r="C750" s="8" t="str">
        <f>IFERROR(__xludf.DUMMYFUNCTION("""COMPUTED_VALUE"""),"Home Office")</f>
        <v>Home Office</v>
      </c>
      <c r="D750" s="8" t="str">
        <f>IFERROR(__xludf.DUMMYFUNCTION("""COMPUTED_VALUE"""),"New York")</f>
        <v>New York</v>
      </c>
      <c r="E750" s="8" t="str">
        <f>IFERROR(__xludf.DUMMYFUNCTION("""COMPUTED_VALUE"""),"East")</f>
        <v>East</v>
      </c>
      <c r="F750" s="10">
        <f>IFERROR(__xludf.DUMMYFUNCTION("""COMPUTED_VALUE"""),135.882)</f>
        <v>135.882</v>
      </c>
      <c r="G750" s="11">
        <f>IFERROR(__xludf.DUMMYFUNCTION("""COMPUTED_VALUE"""),1.0)</f>
        <v>1</v>
      </c>
      <c r="H750" s="11">
        <f>IFERROR(__xludf.DUMMYFUNCTION("""COMPUTED_VALUE"""),24.1568)</f>
        <v>24.1568</v>
      </c>
    </row>
    <row r="751">
      <c r="A751" s="8" t="str">
        <f>IFERROR(__xludf.DUMMYFUNCTION("""COMPUTED_VALUE"""),"CA-2014-165309")</f>
        <v>CA-2014-165309</v>
      </c>
      <c r="B751" s="9">
        <f>IFERROR(__xludf.DUMMYFUNCTION("""COMPUTED_VALUE"""),41954.0)</f>
        <v>41954</v>
      </c>
      <c r="C751" s="8" t="str">
        <f>IFERROR(__xludf.DUMMYFUNCTION("""COMPUTED_VALUE"""),"Consumer")</f>
        <v>Consumer</v>
      </c>
      <c r="D751" s="8" t="str">
        <f>IFERROR(__xludf.DUMMYFUNCTION("""COMPUTED_VALUE"""),"Texas")</f>
        <v>Texas</v>
      </c>
      <c r="E751" s="8" t="str">
        <f>IFERROR(__xludf.DUMMYFUNCTION("""COMPUTED_VALUE"""),"Central")</f>
        <v>Central</v>
      </c>
      <c r="F751" s="10">
        <f>IFERROR(__xludf.DUMMYFUNCTION("""COMPUTED_VALUE"""),896.99)</f>
        <v>896.99</v>
      </c>
      <c r="G751" s="11">
        <f>IFERROR(__xludf.DUMMYFUNCTION("""COMPUTED_VALUE"""),5.0)</f>
        <v>5</v>
      </c>
      <c r="H751" s="11">
        <f>IFERROR(__xludf.DUMMYFUNCTION("""COMPUTED_VALUE"""),-1480.0335)</f>
        <v>-1480.0335</v>
      </c>
    </row>
    <row r="752">
      <c r="A752" s="8" t="str">
        <f>IFERROR(__xludf.DUMMYFUNCTION("""COMPUTED_VALUE"""),"CA-2014-165379")</f>
        <v>CA-2014-165379</v>
      </c>
      <c r="B752" s="9">
        <f>IFERROR(__xludf.DUMMYFUNCTION("""COMPUTED_VALUE"""),41829.0)</f>
        <v>41829</v>
      </c>
      <c r="C752" s="8" t="str">
        <f>IFERROR(__xludf.DUMMYFUNCTION("""COMPUTED_VALUE"""),"Corporate")</f>
        <v>Corporate</v>
      </c>
      <c r="D752" s="8" t="str">
        <f>IFERROR(__xludf.DUMMYFUNCTION("""COMPUTED_VALUE"""),"Texas")</f>
        <v>Texas</v>
      </c>
      <c r="E752" s="8" t="str">
        <f>IFERROR(__xludf.DUMMYFUNCTION("""COMPUTED_VALUE"""),"Central")</f>
        <v>Central</v>
      </c>
      <c r="F752" s="10">
        <f>IFERROR(__xludf.DUMMYFUNCTION("""COMPUTED_VALUE"""),10.368)</f>
        <v>10.368</v>
      </c>
      <c r="G752" s="11">
        <f>IFERROR(__xludf.DUMMYFUNCTION("""COMPUTED_VALUE"""),2.0)</f>
        <v>2</v>
      </c>
      <c r="H752" s="11">
        <f>IFERROR(__xludf.DUMMYFUNCTION("""COMPUTED_VALUE"""),3.6288)</f>
        <v>3.6288</v>
      </c>
    </row>
    <row r="753">
      <c r="A753" s="8" t="str">
        <f>IFERROR(__xludf.DUMMYFUNCTION("""COMPUTED_VALUE"""),"CA-2014-165393")</f>
        <v>CA-2014-165393</v>
      </c>
      <c r="B753" s="9">
        <f>IFERROR(__xludf.DUMMYFUNCTION("""COMPUTED_VALUE"""),42000.0)</f>
        <v>42000</v>
      </c>
      <c r="C753" s="8" t="str">
        <f>IFERROR(__xludf.DUMMYFUNCTION("""COMPUTED_VALUE"""),"Consumer")</f>
        <v>Consumer</v>
      </c>
      <c r="D753" s="8" t="str">
        <f>IFERROR(__xludf.DUMMYFUNCTION("""COMPUTED_VALUE"""),"Texas")</f>
        <v>Texas</v>
      </c>
      <c r="E753" s="8" t="str">
        <f>IFERROR(__xludf.DUMMYFUNCTION("""COMPUTED_VALUE"""),"Central")</f>
        <v>Central</v>
      </c>
      <c r="F753" s="10">
        <f>IFERROR(__xludf.DUMMYFUNCTION("""COMPUTED_VALUE"""),4.984)</f>
        <v>4.984</v>
      </c>
      <c r="G753" s="11">
        <f>IFERROR(__xludf.DUMMYFUNCTION("""COMPUTED_VALUE"""),1.0)</f>
        <v>1</v>
      </c>
      <c r="H753" s="11">
        <f>IFERROR(__xludf.DUMMYFUNCTION("""COMPUTED_VALUE"""),-8.4728)</f>
        <v>-8.4728</v>
      </c>
    </row>
    <row r="754">
      <c r="A754" s="8" t="str">
        <f>IFERROR(__xludf.DUMMYFUNCTION("""COMPUTED_VALUE"""),"CA-2014-165428")</f>
        <v>CA-2014-165428</v>
      </c>
      <c r="B754" s="9">
        <f>IFERROR(__xludf.DUMMYFUNCTION("""COMPUTED_VALUE"""),41883.0)</f>
        <v>41883</v>
      </c>
      <c r="C754" s="8" t="str">
        <f>IFERROR(__xludf.DUMMYFUNCTION("""COMPUTED_VALUE"""),"Consumer")</f>
        <v>Consumer</v>
      </c>
      <c r="D754" s="8" t="str">
        <f>IFERROR(__xludf.DUMMYFUNCTION("""COMPUTED_VALUE"""),"Texas")</f>
        <v>Texas</v>
      </c>
      <c r="E754" s="8" t="str">
        <f>IFERROR(__xludf.DUMMYFUNCTION("""COMPUTED_VALUE"""),"Central")</f>
        <v>Central</v>
      </c>
      <c r="F754" s="10">
        <f>IFERROR(__xludf.DUMMYFUNCTION("""COMPUTED_VALUE"""),3.648)</f>
        <v>3.648</v>
      </c>
      <c r="G754" s="11">
        <f>IFERROR(__xludf.DUMMYFUNCTION("""COMPUTED_VALUE"""),3.0)</f>
        <v>3</v>
      </c>
      <c r="H754" s="11">
        <f>IFERROR(__xludf.DUMMYFUNCTION("""COMPUTED_VALUE"""),-6.0192)</f>
        <v>-6.0192</v>
      </c>
    </row>
    <row r="755">
      <c r="A755" s="8" t="str">
        <f>IFERROR(__xludf.DUMMYFUNCTION("""COMPUTED_VALUE"""),"CA-2014-165477")</f>
        <v>CA-2014-165477</v>
      </c>
      <c r="B755" s="9">
        <f>IFERROR(__xludf.DUMMYFUNCTION("""COMPUTED_VALUE"""),42002.0)</f>
        <v>42002</v>
      </c>
      <c r="C755" s="8" t="str">
        <f>IFERROR(__xludf.DUMMYFUNCTION("""COMPUTED_VALUE"""),"Consumer")</f>
        <v>Consumer</v>
      </c>
      <c r="D755" s="8" t="str">
        <f>IFERROR(__xludf.DUMMYFUNCTION("""COMPUTED_VALUE"""),"Ohio")</f>
        <v>Ohio</v>
      </c>
      <c r="E755" s="8" t="str">
        <f>IFERROR(__xludf.DUMMYFUNCTION("""COMPUTED_VALUE"""),"East")</f>
        <v>East</v>
      </c>
      <c r="F755" s="10">
        <f>IFERROR(__xludf.DUMMYFUNCTION("""COMPUTED_VALUE"""),48.36)</f>
        <v>48.36</v>
      </c>
      <c r="G755" s="11">
        <f>IFERROR(__xludf.DUMMYFUNCTION("""COMPUTED_VALUE"""),5.0)</f>
        <v>5</v>
      </c>
      <c r="H755" s="11">
        <f>IFERROR(__xludf.DUMMYFUNCTION("""COMPUTED_VALUE"""),6.045)</f>
        <v>6.045</v>
      </c>
    </row>
    <row r="756">
      <c r="A756" s="8" t="str">
        <f>IFERROR(__xludf.DUMMYFUNCTION("""COMPUTED_VALUE"""),"CA-2014-165540")</f>
        <v>CA-2014-165540</v>
      </c>
      <c r="B756" s="9">
        <f>IFERROR(__xludf.DUMMYFUNCTION("""COMPUTED_VALUE"""),41691.0)</f>
        <v>41691</v>
      </c>
      <c r="C756" s="8" t="str">
        <f>IFERROR(__xludf.DUMMYFUNCTION("""COMPUTED_VALUE"""),"Consumer")</f>
        <v>Consumer</v>
      </c>
      <c r="D756" s="8" t="str">
        <f>IFERROR(__xludf.DUMMYFUNCTION("""COMPUTED_VALUE"""),"Illinois")</f>
        <v>Illinois</v>
      </c>
      <c r="E756" s="8" t="str">
        <f>IFERROR(__xludf.DUMMYFUNCTION("""COMPUTED_VALUE"""),"Central")</f>
        <v>Central</v>
      </c>
      <c r="F756" s="10">
        <f>IFERROR(__xludf.DUMMYFUNCTION("""COMPUTED_VALUE"""),8.85)</f>
        <v>8.85</v>
      </c>
      <c r="G756" s="11">
        <f>IFERROR(__xludf.DUMMYFUNCTION("""COMPUTED_VALUE"""),5.0)</f>
        <v>5</v>
      </c>
      <c r="H756" s="11">
        <f>IFERROR(__xludf.DUMMYFUNCTION("""COMPUTED_VALUE"""),-13.7175)</f>
        <v>-13.7175</v>
      </c>
    </row>
    <row r="757">
      <c r="A757" s="8" t="str">
        <f>IFERROR(__xludf.DUMMYFUNCTION("""COMPUTED_VALUE"""),"CA-2014-165568")</f>
        <v>CA-2014-165568</v>
      </c>
      <c r="B757" s="9">
        <f>IFERROR(__xludf.DUMMYFUNCTION("""COMPUTED_VALUE"""),41685.0)</f>
        <v>41685</v>
      </c>
      <c r="C757" s="8" t="str">
        <f>IFERROR(__xludf.DUMMYFUNCTION("""COMPUTED_VALUE"""),"Corporate")</f>
        <v>Corporate</v>
      </c>
      <c r="D757" s="8" t="str">
        <f>IFERROR(__xludf.DUMMYFUNCTION("""COMPUTED_VALUE"""),"Washington")</f>
        <v>Washington</v>
      </c>
      <c r="E757" s="8" t="str">
        <f>IFERROR(__xludf.DUMMYFUNCTION("""COMPUTED_VALUE"""),"West")</f>
        <v>West</v>
      </c>
      <c r="F757" s="10">
        <f>IFERROR(__xludf.DUMMYFUNCTION("""COMPUTED_VALUE"""),21.36)</f>
        <v>21.36</v>
      </c>
      <c r="G757" s="11">
        <f>IFERROR(__xludf.DUMMYFUNCTION("""COMPUTED_VALUE"""),5.0)</f>
        <v>5</v>
      </c>
      <c r="H757" s="11">
        <f>IFERROR(__xludf.DUMMYFUNCTION("""COMPUTED_VALUE"""),7.209)</f>
        <v>7.209</v>
      </c>
    </row>
    <row r="758">
      <c r="A758" s="8" t="str">
        <f>IFERROR(__xludf.DUMMYFUNCTION("""COMPUTED_VALUE"""),"CA-2014-165764")</f>
        <v>CA-2014-165764</v>
      </c>
      <c r="B758" s="9">
        <f>IFERROR(__xludf.DUMMYFUNCTION("""COMPUTED_VALUE"""),41946.0)</f>
        <v>41946</v>
      </c>
      <c r="C758" s="8" t="str">
        <f>IFERROR(__xludf.DUMMYFUNCTION("""COMPUTED_VALUE"""),"Consumer")</f>
        <v>Consumer</v>
      </c>
      <c r="D758" s="8" t="str">
        <f>IFERROR(__xludf.DUMMYFUNCTION("""COMPUTED_VALUE"""),"North Carolina")</f>
        <v>North Carolina</v>
      </c>
      <c r="E758" s="8" t="str">
        <f>IFERROR(__xludf.DUMMYFUNCTION("""COMPUTED_VALUE"""),"South")</f>
        <v>South</v>
      </c>
      <c r="F758" s="10">
        <f>IFERROR(__xludf.DUMMYFUNCTION("""COMPUTED_VALUE"""),25.984)</f>
        <v>25.984</v>
      </c>
      <c r="G758" s="11">
        <f>IFERROR(__xludf.DUMMYFUNCTION("""COMPUTED_VALUE"""),2.0)</f>
        <v>2</v>
      </c>
      <c r="H758" s="11">
        <f>IFERROR(__xludf.DUMMYFUNCTION("""COMPUTED_VALUE"""),-1.624)</f>
        <v>-1.624</v>
      </c>
    </row>
    <row r="759">
      <c r="A759" s="8" t="str">
        <f>IFERROR(__xludf.DUMMYFUNCTION("""COMPUTED_VALUE"""),"CA-2014-165806")</f>
        <v>CA-2014-165806</v>
      </c>
      <c r="B759" s="9">
        <f>IFERROR(__xludf.DUMMYFUNCTION("""COMPUTED_VALUE"""),41736.0)</f>
        <v>41736</v>
      </c>
      <c r="C759" s="8" t="str">
        <f>IFERROR(__xludf.DUMMYFUNCTION("""COMPUTED_VALUE"""),"Home Office")</f>
        <v>Home Office</v>
      </c>
      <c r="D759" s="8" t="str">
        <f>IFERROR(__xludf.DUMMYFUNCTION("""COMPUTED_VALUE"""),"Georgia")</f>
        <v>Georgia</v>
      </c>
      <c r="E759" s="8" t="str">
        <f>IFERROR(__xludf.DUMMYFUNCTION("""COMPUTED_VALUE"""),"South")</f>
        <v>South</v>
      </c>
      <c r="F759" s="10">
        <f>IFERROR(__xludf.DUMMYFUNCTION("""COMPUTED_VALUE"""),58.32)</f>
        <v>58.32</v>
      </c>
      <c r="G759" s="11">
        <f>IFERROR(__xludf.DUMMYFUNCTION("""COMPUTED_VALUE"""),9.0)</f>
        <v>9</v>
      </c>
      <c r="H759" s="11">
        <f>IFERROR(__xludf.DUMMYFUNCTION("""COMPUTED_VALUE"""),27.9936)</f>
        <v>27.9936</v>
      </c>
    </row>
    <row r="760">
      <c r="A760" s="8" t="str">
        <f>IFERROR(__xludf.DUMMYFUNCTION("""COMPUTED_VALUE"""),"CA-2014-165974")</f>
        <v>CA-2014-165974</v>
      </c>
      <c r="B760" s="9">
        <f>IFERROR(__xludf.DUMMYFUNCTION("""COMPUTED_VALUE"""),41819.0)</f>
        <v>41819</v>
      </c>
      <c r="C760" s="8" t="str">
        <f>IFERROR(__xludf.DUMMYFUNCTION("""COMPUTED_VALUE"""),"Consumer")</f>
        <v>Consumer</v>
      </c>
      <c r="D760" s="8" t="str">
        <f>IFERROR(__xludf.DUMMYFUNCTION("""COMPUTED_VALUE"""),"Ohio")</f>
        <v>Ohio</v>
      </c>
      <c r="E760" s="8" t="str">
        <f>IFERROR(__xludf.DUMMYFUNCTION("""COMPUTED_VALUE"""),"East")</f>
        <v>East</v>
      </c>
      <c r="F760" s="10">
        <f>IFERROR(__xludf.DUMMYFUNCTION("""COMPUTED_VALUE"""),32.76)</f>
        <v>32.76</v>
      </c>
      <c r="G760" s="11">
        <f>IFERROR(__xludf.DUMMYFUNCTION("""COMPUTED_VALUE"""),7.0)</f>
        <v>7</v>
      </c>
      <c r="H760" s="11">
        <f>IFERROR(__xludf.DUMMYFUNCTION("""COMPUTED_VALUE"""),3.6855)</f>
        <v>3.6855</v>
      </c>
    </row>
    <row r="761">
      <c r="A761" s="8" t="str">
        <f>IFERROR(__xludf.DUMMYFUNCTION("""COMPUTED_VALUE"""),"CA-2014-166051")</f>
        <v>CA-2014-166051</v>
      </c>
      <c r="B761" s="9">
        <f>IFERROR(__xludf.DUMMYFUNCTION("""COMPUTED_VALUE"""),41790.0)</f>
        <v>41790</v>
      </c>
      <c r="C761" s="8" t="str">
        <f>IFERROR(__xludf.DUMMYFUNCTION("""COMPUTED_VALUE"""),"Consumer")</f>
        <v>Consumer</v>
      </c>
      <c r="D761" s="8" t="str">
        <f>IFERROR(__xludf.DUMMYFUNCTION("""COMPUTED_VALUE"""),"Mississippi")</f>
        <v>Mississippi</v>
      </c>
      <c r="E761" s="8" t="str">
        <f>IFERROR(__xludf.DUMMYFUNCTION("""COMPUTED_VALUE"""),"South")</f>
        <v>South</v>
      </c>
      <c r="F761" s="10">
        <f>IFERROR(__xludf.DUMMYFUNCTION("""COMPUTED_VALUE"""),659.97)</f>
        <v>659.97</v>
      </c>
      <c r="G761" s="11">
        <f>IFERROR(__xludf.DUMMYFUNCTION("""COMPUTED_VALUE"""),3.0)</f>
        <v>3</v>
      </c>
      <c r="H761" s="11">
        <f>IFERROR(__xludf.DUMMYFUNCTION("""COMPUTED_VALUE"""),197.991)</f>
        <v>197.991</v>
      </c>
    </row>
    <row r="762">
      <c r="A762" s="8" t="str">
        <f>IFERROR(__xludf.DUMMYFUNCTION("""COMPUTED_VALUE"""),"CA-2014-166086")</f>
        <v>CA-2014-166086</v>
      </c>
      <c r="B762" s="9">
        <f>IFERROR(__xludf.DUMMYFUNCTION("""COMPUTED_VALUE"""),41766.0)</f>
        <v>41766</v>
      </c>
      <c r="C762" s="8" t="str">
        <f>IFERROR(__xludf.DUMMYFUNCTION("""COMPUTED_VALUE"""),"Consumer")</f>
        <v>Consumer</v>
      </c>
      <c r="D762" s="8" t="str">
        <f>IFERROR(__xludf.DUMMYFUNCTION("""COMPUTED_VALUE"""),"Massachusetts")</f>
        <v>Massachusetts</v>
      </c>
      <c r="E762" s="8" t="str">
        <f>IFERROR(__xludf.DUMMYFUNCTION("""COMPUTED_VALUE"""),"East")</f>
        <v>East</v>
      </c>
      <c r="F762" s="10">
        <f>IFERROR(__xludf.DUMMYFUNCTION("""COMPUTED_VALUE"""),16.14)</f>
        <v>16.14</v>
      </c>
      <c r="G762" s="11">
        <f>IFERROR(__xludf.DUMMYFUNCTION("""COMPUTED_VALUE"""),3.0)</f>
        <v>3</v>
      </c>
      <c r="H762" s="11">
        <f>IFERROR(__xludf.DUMMYFUNCTION("""COMPUTED_VALUE"""),7.9086)</f>
        <v>7.9086</v>
      </c>
    </row>
    <row r="763">
      <c r="A763" s="8" t="str">
        <f>IFERROR(__xludf.DUMMYFUNCTION("""COMPUTED_VALUE"""),"CA-2014-166191")</f>
        <v>CA-2014-166191</v>
      </c>
      <c r="B763" s="9">
        <f>IFERROR(__xludf.DUMMYFUNCTION("""COMPUTED_VALUE"""),41978.0)</f>
        <v>41978</v>
      </c>
      <c r="C763" s="8" t="str">
        <f>IFERROR(__xludf.DUMMYFUNCTION("""COMPUTED_VALUE"""),"Corporate")</f>
        <v>Corporate</v>
      </c>
      <c r="D763" s="8" t="str">
        <f>IFERROR(__xludf.DUMMYFUNCTION("""COMPUTED_VALUE"""),"Illinois")</f>
        <v>Illinois</v>
      </c>
      <c r="E763" s="8" t="str">
        <f>IFERROR(__xludf.DUMMYFUNCTION("""COMPUTED_VALUE"""),"Central")</f>
        <v>Central</v>
      </c>
      <c r="F763" s="10">
        <f>IFERROR(__xludf.DUMMYFUNCTION("""COMPUTED_VALUE"""),24.816)</f>
        <v>24.816</v>
      </c>
      <c r="G763" s="11">
        <f>IFERROR(__xludf.DUMMYFUNCTION("""COMPUTED_VALUE"""),2.0)</f>
        <v>2</v>
      </c>
      <c r="H763" s="11">
        <f>IFERROR(__xludf.DUMMYFUNCTION("""COMPUTED_VALUE"""),1.8612)</f>
        <v>1.8612</v>
      </c>
    </row>
    <row r="764">
      <c r="A764" s="8" t="str">
        <f>IFERROR(__xludf.DUMMYFUNCTION("""COMPUTED_VALUE"""),"CA-2014-166457")</f>
        <v>CA-2014-166457</v>
      </c>
      <c r="B764" s="9">
        <f>IFERROR(__xludf.DUMMYFUNCTION("""COMPUTED_VALUE"""),41764.0)</f>
        <v>41764</v>
      </c>
      <c r="C764" s="8" t="str">
        <f>IFERROR(__xludf.DUMMYFUNCTION("""COMPUTED_VALUE"""),"Consumer")</f>
        <v>Consumer</v>
      </c>
      <c r="D764" s="8" t="str">
        <f>IFERROR(__xludf.DUMMYFUNCTION("""COMPUTED_VALUE"""),"Kentucky")</f>
        <v>Kentucky</v>
      </c>
      <c r="E764" s="8" t="str">
        <f>IFERROR(__xludf.DUMMYFUNCTION("""COMPUTED_VALUE"""),"South")</f>
        <v>South</v>
      </c>
      <c r="F764" s="10">
        <f>IFERROR(__xludf.DUMMYFUNCTION("""COMPUTED_VALUE"""),9.42)</f>
        <v>9.42</v>
      </c>
      <c r="G764" s="11">
        <f>IFERROR(__xludf.DUMMYFUNCTION("""COMPUTED_VALUE"""),3.0)</f>
        <v>3</v>
      </c>
      <c r="H764" s="11">
        <f>IFERROR(__xludf.DUMMYFUNCTION("""COMPUTED_VALUE"""),4.239)</f>
        <v>4.239</v>
      </c>
    </row>
    <row r="765">
      <c r="A765" s="8" t="str">
        <f>IFERROR(__xludf.DUMMYFUNCTION("""COMPUTED_VALUE"""),"CA-2014-166471")</f>
        <v>CA-2014-166471</v>
      </c>
      <c r="B765" s="9">
        <f>IFERROR(__xludf.DUMMYFUNCTION("""COMPUTED_VALUE"""),41860.0)</f>
        <v>41860</v>
      </c>
      <c r="C765" s="8" t="str">
        <f>IFERROR(__xludf.DUMMYFUNCTION("""COMPUTED_VALUE"""),"Home Office")</f>
        <v>Home Office</v>
      </c>
      <c r="D765" s="8" t="str">
        <f>IFERROR(__xludf.DUMMYFUNCTION("""COMPUTED_VALUE"""),"Washington")</f>
        <v>Washington</v>
      </c>
      <c r="E765" s="8" t="str">
        <f>IFERROR(__xludf.DUMMYFUNCTION("""COMPUTED_VALUE"""),"West")</f>
        <v>West</v>
      </c>
      <c r="F765" s="10">
        <f>IFERROR(__xludf.DUMMYFUNCTION("""COMPUTED_VALUE"""),1091.168)</f>
        <v>1091.168</v>
      </c>
      <c r="G765" s="11">
        <f>IFERROR(__xludf.DUMMYFUNCTION("""COMPUTED_VALUE"""),4.0)</f>
        <v>4</v>
      </c>
      <c r="H765" s="11">
        <f>IFERROR(__xludf.DUMMYFUNCTION("""COMPUTED_VALUE"""),68.198)</f>
        <v>68.198</v>
      </c>
    </row>
    <row r="766">
      <c r="A766" s="8" t="str">
        <f>IFERROR(__xludf.DUMMYFUNCTION("""COMPUTED_VALUE"""),"CA-2014-166555")</f>
        <v>CA-2014-166555</v>
      </c>
      <c r="B766" s="9">
        <f>IFERROR(__xludf.DUMMYFUNCTION("""COMPUTED_VALUE"""),41831.0)</f>
        <v>41831</v>
      </c>
      <c r="C766" s="8" t="str">
        <f>IFERROR(__xludf.DUMMYFUNCTION("""COMPUTED_VALUE"""),"Consumer")</f>
        <v>Consumer</v>
      </c>
      <c r="D766" s="8" t="str">
        <f>IFERROR(__xludf.DUMMYFUNCTION("""COMPUTED_VALUE"""),"New York")</f>
        <v>New York</v>
      </c>
      <c r="E766" s="8" t="str">
        <f>IFERROR(__xludf.DUMMYFUNCTION("""COMPUTED_VALUE"""),"East")</f>
        <v>East</v>
      </c>
      <c r="F766" s="10">
        <f>IFERROR(__xludf.DUMMYFUNCTION("""COMPUTED_VALUE"""),164.85)</f>
        <v>164.85</v>
      </c>
      <c r="G766" s="11">
        <f>IFERROR(__xludf.DUMMYFUNCTION("""COMPUTED_VALUE"""),3.0)</f>
        <v>3</v>
      </c>
      <c r="H766" s="11">
        <f>IFERROR(__xludf.DUMMYFUNCTION("""COMPUTED_VALUE"""),47.8065)</f>
        <v>47.8065</v>
      </c>
    </row>
    <row r="767">
      <c r="A767" s="8" t="str">
        <f>IFERROR(__xludf.DUMMYFUNCTION("""COMPUTED_VALUE"""),"CA-2014-166590")</f>
        <v>CA-2014-166590</v>
      </c>
      <c r="B767" s="9">
        <f>IFERROR(__xludf.DUMMYFUNCTION("""COMPUTED_VALUE"""),41941.0)</f>
        <v>41941</v>
      </c>
      <c r="C767" s="8" t="str">
        <f>IFERROR(__xludf.DUMMYFUNCTION("""COMPUTED_VALUE"""),"Corporate")</f>
        <v>Corporate</v>
      </c>
      <c r="D767" s="8" t="str">
        <f>IFERROR(__xludf.DUMMYFUNCTION("""COMPUTED_VALUE"""),"Indiana")</f>
        <v>Indiana</v>
      </c>
      <c r="E767" s="8" t="str">
        <f>IFERROR(__xludf.DUMMYFUNCTION("""COMPUTED_VALUE"""),"Central")</f>
        <v>Central</v>
      </c>
      <c r="F767" s="10">
        <f>IFERROR(__xludf.DUMMYFUNCTION("""COMPUTED_VALUE"""),1.98)</f>
        <v>1.98</v>
      </c>
      <c r="G767" s="11">
        <f>IFERROR(__xludf.DUMMYFUNCTION("""COMPUTED_VALUE"""),2.0)</f>
        <v>2</v>
      </c>
      <c r="H767" s="11">
        <f>IFERROR(__xludf.DUMMYFUNCTION("""COMPUTED_VALUE"""),0.891)</f>
        <v>0.891</v>
      </c>
    </row>
    <row r="768">
      <c r="A768" s="8" t="str">
        <f>IFERROR(__xludf.DUMMYFUNCTION("""COMPUTED_VALUE"""),"CA-2014-166716")</f>
        <v>CA-2014-166716</v>
      </c>
      <c r="B768" s="9">
        <f>IFERROR(__xludf.DUMMYFUNCTION("""COMPUTED_VALUE"""),41871.0)</f>
        <v>41871</v>
      </c>
      <c r="C768" s="8" t="str">
        <f>IFERROR(__xludf.DUMMYFUNCTION("""COMPUTED_VALUE"""),"Consumer")</f>
        <v>Consumer</v>
      </c>
      <c r="D768" s="8" t="str">
        <f>IFERROR(__xludf.DUMMYFUNCTION("""COMPUTED_VALUE"""),"Illinois")</f>
        <v>Illinois</v>
      </c>
      <c r="E768" s="8" t="str">
        <f>IFERROR(__xludf.DUMMYFUNCTION("""COMPUTED_VALUE"""),"Central")</f>
        <v>Central</v>
      </c>
      <c r="F768" s="10">
        <f>IFERROR(__xludf.DUMMYFUNCTION("""COMPUTED_VALUE"""),421.372)</f>
        <v>421.372</v>
      </c>
      <c r="G768" s="11">
        <f>IFERROR(__xludf.DUMMYFUNCTION("""COMPUTED_VALUE"""),2.0)</f>
        <v>2</v>
      </c>
      <c r="H768" s="11">
        <f>IFERROR(__xludf.DUMMYFUNCTION("""COMPUTED_VALUE"""),-6.0196)</f>
        <v>-6.0196</v>
      </c>
    </row>
    <row r="769">
      <c r="A769" s="8" t="str">
        <f>IFERROR(__xludf.DUMMYFUNCTION("""COMPUTED_VALUE"""),"CA-2014-166730")</f>
        <v>CA-2014-166730</v>
      </c>
      <c r="B769" s="9">
        <f>IFERROR(__xludf.DUMMYFUNCTION("""COMPUTED_VALUE"""),42003.0)</f>
        <v>42003</v>
      </c>
      <c r="C769" s="8" t="str">
        <f>IFERROR(__xludf.DUMMYFUNCTION("""COMPUTED_VALUE"""),"Consumer")</f>
        <v>Consumer</v>
      </c>
      <c r="D769" s="8" t="str">
        <f>IFERROR(__xludf.DUMMYFUNCTION("""COMPUTED_VALUE"""),"Tennessee")</f>
        <v>Tennessee</v>
      </c>
      <c r="E769" s="8" t="str">
        <f>IFERROR(__xludf.DUMMYFUNCTION("""COMPUTED_VALUE"""),"South")</f>
        <v>South</v>
      </c>
      <c r="F769" s="10">
        <f>IFERROR(__xludf.DUMMYFUNCTION("""COMPUTED_VALUE"""),39.128)</f>
        <v>39.128</v>
      </c>
      <c r="G769" s="11">
        <f>IFERROR(__xludf.DUMMYFUNCTION("""COMPUTED_VALUE"""),1.0)</f>
        <v>1</v>
      </c>
      <c r="H769" s="11">
        <f>IFERROR(__xludf.DUMMYFUNCTION("""COMPUTED_VALUE"""),-8.8038)</f>
        <v>-8.8038</v>
      </c>
    </row>
    <row r="770">
      <c r="A770" s="8" t="str">
        <f>IFERROR(__xludf.DUMMYFUNCTION("""COMPUTED_VALUE"""),"CA-2014-166744")</f>
        <v>CA-2014-166744</v>
      </c>
      <c r="B770" s="9">
        <f>IFERROR(__xludf.DUMMYFUNCTION("""COMPUTED_VALUE"""),41902.0)</f>
        <v>41902</v>
      </c>
      <c r="C770" s="8" t="str">
        <f>IFERROR(__xludf.DUMMYFUNCTION("""COMPUTED_VALUE"""),"Consumer")</f>
        <v>Consumer</v>
      </c>
      <c r="D770" s="8" t="str">
        <f>IFERROR(__xludf.DUMMYFUNCTION("""COMPUTED_VALUE"""),"Maryland")</f>
        <v>Maryland</v>
      </c>
      <c r="E770" s="8" t="str">
        <f>IFERROR(__xludf.DUMMYFUNCTION("""COMPUTED_VALUE"""),"East")</f>
        <v>East</v>
      </c>
      <c r="F770" s="10">
        <f>IFERROR(__xludf.DUMMYFUNCTION("""COMPUTED_VALUE"""),164.22)</f>
        <v>164.22</v>
      </c>
      <c r="G770" s="11">
        <f>IFERROR(__xludf.DUMMYFUNCTION("""COMPUTED_VALUE"""),3.0)</f>
        <v>3</v>
      </c>
      <c r="H770" s="11">
        <f>IFERROR(__xludf.DUMMYFUNCTION("""COMPUTED_VALUE"""),50.9082)</f>
        <v>50.9082</v>
      </c>
    </row>
    <row r="771">
      <c r="A771" s="8" t="str">
        <f>IFERROR(__xludf.DUMMYFUNCTION("""COMPUTED_VALUE"""),"CA-2014-166863")</f>
        <v>CA-2014-166863</v>
      </c>
      <c r="B771" s="9">
        <f>IFERROR(__xludf.DUMMYFUNCTION("""COMPUTED_VALUE"""),41810.0)</f>
        <v>41810</v>
      </c>
      <c r="C771" s="8" t="str">
        <f>IFERROR(__xludf.DUMMYFUNCTION("""COMPUTED_VALUE"""),"Consumer")</f>
        <v>Consumer</v>
      </c>
      <c r="D771" s="8" t="str">
        <f>IFERROR(__xludf.DUMMYFUNCTION("""COMPUTED_VALUE"""),"Texas")</f>
        <v>Texas</v>
      </c>
      <c r="E771" s="8" t="str">
        <f>IFERROR(__xludf.DUMMYFUNCTION("""COMPUTED_VALUE"""),"Central")</f>
        <v>Central</v>
      </c>
      <c r="F771" s="10">
        <f>IFERROR(__xludf.DUMMYFUNCTION("""COMPUTED_VALUE"""),201.584)</f>
        <v>201.584</v>
      </c>
      <c r="G771" s="11">
        <f>IFERROR(__xludf.DUMMYFUNCTION("""COMPUTED_VALUE"""),2.0)</f>
        <v>2</v>
      </c>
      <c r="H771" s="11">
        <f>IFERROR(__xludf.DUMMYFUNCTION("""COMPUTED_VALUE"""),20.1584)</f>
        <v>20.1584</v>
      </c>
    </row>
    <row r="772">
      <c r="A772" s="8" t="str">
        <f>IFERROR(__xludf.DUMMYFUNCTION("""COMPUTED_VALUE"""),"CA-2014-166884")</f>
        <v>CA-2014-166884</v>
      </c>
      <c r="B772" s="9">
        <f>IFERROR(__xludf.DUMMYFUNCTION("""COMPUTED_VALUE"""),41709.0)</f>
        <v>41709</v>
      </c>
      <c r="C772" s="8" t="str">
        <f>IFERROR(__xludf.DUMMYFUNCTION("""COMPUTED_VALUE"""),"Consumer")</f>
        <v>Consumer</v>
      </c>
      <c r="D772" s="8" t="str">
        <f>IFERROR(__xludf.DUMMYFUNCTION("""COMPUTED_VALUE"""),"Ohio")</f>
        <v>Ohio</v>
      </c>
      <c r="E772" s="8" t="str">
        <f>IFERROR(__xludf.DUMMYFUNCTION("""COMPUTED_VALUE"""),"East")</f>
        <v>East</v>
      </c>
      <c r="F772" s="10">
        <f>IFERROR(__xludf.DUMMYFUNCTION("""COMPUTED_VALUE"""),8.32)</f>
        <v>8.32</v>
      </c>
      <c r="G772" s="11">
        <f>IFERROR(__xludf.DUMMYFUNCTION("""COMPUTED_VALUE"""),5.0)</f>
        <v>5</v>
      </c>
      <c r="H772" s="11">
        <f>IFERROR(__xludf.DUMMYFUNCTION("""COMPUTED_VALUE"""),2.288)</f>
        <v>2.288</v>
      </c>
    </row>
    <row r="773">
      <c r="A773" s="8" t="str">
        <f>IFERROR(__xludf.DUMMYFUNCTION("""COMPUTED_VALUE"""),"CA-2014-166891")</f>
        <v>CA-2014-166891</v>
      </c>
      <c r="B773" s="9">
        <f>IFERROR(__xludf.DUMMYFUNCTION("""COMPUTED_VALUE"""),41916.0)</f>
        <v>41916</v>
      </c>
      <c r="C773" s="8" t="str">
        <f>IFERROR(__xludf.DUMMYFUNCTION("""COMPUTED_VALUE"""),"Consumer")</f>
        <v>Consumer</v>
      </c>
      <c r="D773" s="8" t="str">
        <f>IFERROR(__xludf.DUMMYFUNCTION("""COMPUTED_VALUE"""),"New York")</f>
        <v>New York</v>
      </c>
      <c r="E773" s="8" t="str">
        <f>IFERROR(__xludf.DUMMYFUNCTION("""COMPUTED_VALUE"""),"East")</f>
        <v>East</v>
      </c>
      <c r="F773" s="10">
        <f>IFERROR(__xludf.DUMMYFUNCTION("""COMPUTED_VALUE"""),589.41)</f>
        <v>589.41</v>
      </c>
      <c r="G773" s="11">
        <f>IFERROR(__xludf.DUMMYFUNCTION("""COMPUTED_VALUE"""),5.0)</f>
        <v>5</v>
      </c>
      <c r="H773" s="11">
        <f>IFERROR(__xludf.DUMMYFUNCTION("""COMPUTED_VALUE"""),-6.549)</f>
        <v>-6.549</v>
      </c>
    </row>
    <row r="774">
      <c r="A774" s="8" t="str">
        <f>IFERROR(__xludf.DUMMYFUNCTION("""COMPUTED_VALUE"""),"CA-2014-166954")</f>
        <v>CA-2014-166954</v>
      </c>
      <c r="B774" s="9">
        <f>IFERROR(__xludf.DUMMYFUNCTION("""COMPUTED_VALUE"""),41754.0)</f>
        <v>41754</v>
      </c>
      <c r="C774" s="8" t="str">
        <f>IFERROR(__xludf.DUMMYFUNCTION("""COMPUTED_VALUE"""),"Home Office")</f>
        <v>Home Office</v>
      </c>
      <c r="D774" s="8" t="str">
        <f>IFERROR(__xludf.DUMMYFUNCTION("""COMPUTED_VALUE"""),"California")</f>
        <v>California</v>
      </c>
      <c r="E774" s="8" t="str">
        <f>IFERROR(__xludf.DUMMYFUNCTION("""COMPUTED_VALUE"""),"West")</f>
        <v>West</v>
      </c>
      <c r="F774" s="10">
        <f>IFERROR(__xludf.DUMMYFUNCTION("""COMPUTED_VALUE"""),303.25)</f>
        <v>303.25</v>
      </c>
      <c r="G774" s="11">
        <f>IFERROR(__xludf.DUMMYFUNCTION("""COMPUTED_VALUE"""),5.0)</f>
        <v>5</v>
      </c>
      <c r="H774" s="11">
        <f>IFERROR(__xludf.DUMMYFUNCTION("""COMPUTED_VALUE"""),63.6825)</f>
        <v>63.6825</v>
      </c>
    </row>
    <row r="775">
      <c r="A775" s="8" t="str">
        <f>IFERROR(__xludf.DUMMYFUNCTION("""COMPUTED_VALUE"""),"CA-2014-166961")</f>
        <v>CA-2014-166961</v>
      </c>
      <c r="B775" s="9">
        <f>IFERROR(__xludf.DUMMYFUNCTION("""COMPUTED_VALUE"""),42000.0)</f>
        <v>42000</v>
      </c>
      <c r="C775" s="8" t="str">
        <f>IFERROR(__xludf.DUMMYFUNCTION("""COMPUTED_VALUE"""),"Home Office")</f>
        <v>Home Office</v>
      </c>
      <c r="D775" s="8" t="str">
        <f>IFERROR(__xludf.DUMMYFUNCTION("""COMPUTED_VALUE"""),"California")</f>
        <v>California</v>
      </c>
      <c r="E775" s="8" t="str">
        <f>IFERROR(__xludf.DUMMYFUNCTION("""COMPUTED_VALUE"""),"West")</f>
        <v>West</v>
      </c>
      <c r="F775" s="10">
        <f>IFERROR(__xludf.DUMMYFUNCTION("""COMPUTED_VALUE"""),10.98)</f>
        <v>10.98</v>
      </c>
      <c r="G775" s="11">
        <f>IFERROR(__xludf.DUMMYFUNCTION("""COMPUTED_VALUE"""),1.0)</f>
        <v>1</v>
      </c>
      <c r="H775" s="11">
        <f>IFERROR(__xludf.DUMMYFUNCTION("""COMPUTED_VALUE"""),2.9646)</f>
        <v>2.9646</v>
      </c>
    </row>
    <row r="776">
      <c r="A776" s="8" t="str">
        <f>IFERROR(__xludf.DUMMYFUNCTION("""COMPUTED_VALUE"""),"CA-2014-166989")</f>
        <v>CA-2014-166989</v>
      </c>
      <c r="B776" s="9">
        <f>IFERROR(__xludf.DUMMYFUNCTION("""COMPUTED_VALUE"""),41957.0)</f>
        <v>41957</v>
      </c>
      <c r="C776" s="8" t="str">
        <f>IFERROR(__xludf.DUMMYFUNCTION("""COMPUTED_VALUE"""),"Home Office")</f>
        <v>Home Office</v>
      </c>
      <c r="D776" s="8" t="str">
        <f>IFERROR(__xludf.DUMMYFUNCTION("""COMPUTED_VALUE"""),"New York")</f>
        <v>New York</v>
      </c>
      <c r="E776" s="8" t="str">
        <f>IFERROR(__xludf.DUMMYFUNCTION("""COMPUTED_VALUE"""),"East")</f>
        <v>East</v>
      </c>
      <c r="F776" s="10">
        <f>IFERROR(__xludf.DUMMYFUNCTION("""COMPUTED_VALUE"""),11.36)</f>
        <v>11.36</v>
      </c>
      <c r="G776" s="11">
        <f>IFERROR(__xludf.DUMMYFUNCTION("""COMPUTED_VALUE"""),2.0)</f>
        <v>2</v>
      </c>
      <c r="H776" s="11">
        <f>IFERROR(__xludf.DUMMYFUNCTION("""COMPUTED_VALUE"""),5.2256)</f>
        <v>5.2256</v>
      </c>
    </row>
    <row r="777">
      <c r="A777" s="8" t="str">
        <f>IFERROR(__xludf.DUMMYFUNCTION("""COMPUTED_VALUE"""),"CA-2014-167164")</f>
        <v>CA-2014-167164</v>
      </c>
      <c r="B777" s="9">
        <f>IFERROR(__xludf.DUMMYFUNCTION("""COMPUTED_VALUE"""),41772.0)</f>
        <v>41772</v>
      </c>
      <c r="C777" s="8" t="str">
        <f>IFERROR(__xludf.DUMMYFUNCTION("""COMPUTED_VALUE"""),"Consumer")</f>
        <v>Consumer</v>
      </c>
      <c r="D777" s="8" t="str">
        <f>IFERROR(__xludf.DUMMYFUNCTION("""COMPUTED_VALUE"""),"Utah")</f>
        <v>Utah</v>
      </c>
      <c r="E777" s="8" t="str">
        <f>IFERROR(__xludf.DUMMYFUNCTION("""COMPUTED_VALUE"""),"West")</f>
        <v>West</v>
      </c>
      <c r="F777" s="10">
        <f>IFERROR(__xludf.DUMMYFUNCTION("""COMPUTED_VALUE"""),55.5)</f>
        <v>55.5</v>
      </c>
      <c r="G777" s="11">
        <f>IFERROR(__xludf.DUMMYFUNCTION("""COMPUTED_VALUE"""),2.0)</f>
        <v>2</v>
      </c>
      <c r="H777" s="11">
        <f>IFERROR(__xludf.DUMMYFUNCTION("""COMPUTED_VALUE"""),9.99)</f>
        <v>9.99</v>
      </c>
    </row>
    <row r="778">
      <c r="A778" s="8" t="str">
        <f>IFERROR(__xludf.DUMMYFUNCTION("""COMPUTED_VALUE"""),"CA-2014-167199")</f>
        <v>CA-2014-167199</v>
      </c>
      <c r="B778" s="9">
        <f>IFERROR(__xludf.DUMMYFUNCTION("""COMPUTED_VALUE"""),41645.0)</f>
        <v>41645</v>
      </c>
      <c r="C778" s="8" t="str">
        <f>IFERROR(__xludf.DUMMYFUNCTION("""COMPUTED_VALUE"""),"Home Office")</f>
        <v>Home Office</v>
      </c>
      <c r="D778" s="8" t="str">
        <f>IFERROR(__xludf.DUMMYFUNCTION("""COMPUTED_VALUE"""),"Kentucky")</f>
        <v>Kentucky</v>
      </c>
      <c r="E778" s="8" t="str">
        <f>IFERROR(__xludf.DUMMYFUNCTION("""COMPUTED_VALUE"""),"South")</f>
        <v>South</v>
      </c>
      <c r="F778" s="10">
        <f>IFERROR(__xludf.DUMMYFUNCTION("""COMPUTED_VALUE"""),2573.82)</f>
        <v>2573.82</v>
      </c>
      <c r="G778" s="11">
        <f>IFERROR(__xludf.DUMMYFUNCTION("""COMPUTED_VALUE"""),9.0)</f>
        <v>9</v>
      </c>
      <c r="H778" s="11">
        <f>IFERROR(__xludf.DUMMYFUNCTION("""COMPUTED_VALUE"""),746.4078)</f>
        <v>746.4078</v>
      </c>
    </row>
    <row r="779">
      <c r="A779" s="8" t="str">
        <f>IFERROR(__xludf.DUMMYFUNCTION("""COMPUTED_VALUE"""),"CA-2014-167360")</f>
        <v>CA-2014-167360</v>
      </c>
      <c r="B779" s="9">
        <f>IFERROR(__xludf.DUMMYFUNCTION("""COMPUTED_VALUE"""),41967.0)</f>
        <v>41967</v>
      </c>
      <c r="C779" s="8" t="str">
        <f>IFERROR(__xludf.DUMMYFUNCTION("""COMPUTED_VALUE"""),"Consumer")</f>
        <v>Consumer</v>
      </c>
      <c r="D779" s="8" t="str">
        <f>IFERROR(__xludf.DUMMYFUNCTION("""COMPUTED_VALUE"""),"Missouri")</f>
        <v>Missouri</v>
      </c>
      <c r="E779" s="8" t="str">
        <f>IFERROR(__xludf.DUMMYFUNCTION("""COMPUTED_VALUE"""),"Central")</f>
        <v>Central</v>
      </c>
      <c r="F779" s="10">
        <f>IFERROR(__xludf.DUMMYFUNCTION("""COMPUTED_VALUE"""),111.79)</f>
        <v>111.79</v>
      </c>
      <c r="G779" s="11">
        <f>IFERROR(__xludf.DUMMYFUNCTION("""COMPUTED_VALUE"""),7.0)</f>
        <v>7</v>
      </c>
      <c r="H779" s="11">
        <f>IFERROR(__xludf.DUMMYFUNCTION("""COMPUTED_VALUE"""),43.5981)</f>
        <v>43.5981</v>
      </c>
    </row>
    <row r="780">
      <c r="A780" s="8" t="str">
        <f>IFERROR(__xludf.DUMMYFUNCTION("""COMPUTED_VALUE"""),"CA-2014-167486")</f>
        <v>CA-2014-167486</v>
      </c>
      <c r="B780" s="9">
        <f>IFERROR(__xludf.DUMMYFUNCTION("""COMPUTED_VALUE"""),41970.0)</f>
        <v>41970</v>
      </c>
      <c r="C780" s="8" t="str">
        <f>IFERROR(__xludf.DUMMYFUNCTION("""COMPUTED_VALUE"""),"Corporate")</f>
        <v>Corporate</v>
      </c>
      <c r="D780" s="8" t="str">
        <f>IFERROR(__xludf.DUMMYFUNCTION("""COMPUTED_VALUE"""),"New York")</f>
        <v>New York</v>
      </c>
      <c r="E780" s="8" t="str">
        <f>IFERROR(__xludf.DUMMYFUNCTION("""COMPUTED_VALUE"""),"East")</f>
        <v>East</v>
      </c>
      <c r="F780" s="10">
        <f>IFERROR(__xludf.DUMMYFUNCTION("""COMPUTED_VALUE"""),199.9)</f>
        <v>199.9</v>
      </c>
      <c r="G780" s="11">
        <f>IFERROR(__xludf.DUMMYFUNCTION("""COMPUTED_VALUE"""),5.0)</f>
        <v>5</v>
      </c>
      <c r="H780" s="11">
        <f>IFERROR(__xludf.DUMMYFUNCTION("""COMPUTED_VALUE"""),39.98)</f>
        <v>39.98</v>
      </c>
    </row>
    <row r="781">
      <c r="A781" s="8" t="str">
        <f>IFERROR(__xludf.DUMMYFUNCTION("""COMPUTED_VALUE"""),"CA-2014-167724")</f>
        <v>CA-2014-167724</v>
      </c>
      <c r="B781" s="9">
        <f>IFERROR(__xludf.DUMMYFUNCTION("""COMPUTED_VALUE"""),41742.0)</f>
        <v>41742</v>
      </c>
      <c r="C781" s="8" t="str">
        <f>IFERROR(__xludf.DUMMYFUNCTION("""COMPUTED_VALUE"""),"Home Office")</f>
        <v>Home Office</v>
      </c>
      <c r="D781" s="8" t="str">
        <f>IFERROR(__xludf.DUMMYFUNCTION("""COMPUTED_VALUE"""),"Maryland")</f>
        <v>Maryland</v>
      </c>
      <c r="E781" s="8" t="str">
        <f>IFERROR(__xludf.DUMMYFUNCTION("""COMPUTED_VALUE"""),"East")</f>
        <v>East</v>
      </c>
      <c r="F781" s="10">
        <f>IFERROR(__xludf.DUMMYFUNCTION("""COMPUTED_VALUE"""),7.83)</f>
        <v>7.83</v>
      </c>
      <c r="G781" s="11">
        <f>IFERROR(__xludf.DUMMYFUNCTION("""COMPUTED_VALUE"""),3.0)</f>
        <v>3</v>
      </c>
      <c r="H781" s="11">
        <f>IFERROR(__xludf.DUMMYFUNCTION("""COMPUTED_VALUE"""),3.6018)</f>
        <v>3.6018</v>
      </c>
    </row>
    <row r="782">
      <c r="A782" s="8" t="str">
        <f>IFERROR(__xludf.DUMMYFUNCTION("""COMPUTED_VALUE"""),"CA-2014-167850")</f>
        <v>CA-2014-167850</v>
      </c>
      <c r="B782" s="9">
        <f>IFERROR(__xludf.DUMMYFUNCTION("""COMPUTED_VALUE"""),41860.0)</f>
        <v>41860</v>
      </c>
      <c r="C782" s="8" t="str">
        <f>IFERROR(__xludf.DUMMYFUNCTION("""COMPUTED_VALUE"""),"Corporate")</f>
        <v>Corporate</v>
      </c>
      <c r="D782" s="8" t="str">
        <f>IFERROR(__xludf.DUMMYFUNCTION("""COMPUTED_VALUE"""),"Florida")</f>
        <v>Florida</v>
      </c>
      <c r="E782" s="8" t="str">
        <f>IFERROR(__xludf.DUMMYFUNCTION("""COMPUTED_VALUE"""),"South")</f>
        <v>South</v>
      </c>
      <c r="F782" s="10">
        <f>IFERROR(__xludf.DUMMYFUNCTION("""COMPUTED_VALUE"""),178.384)</f>
        <v>178.384</v>
      </c>
      <c r="G782" s="11">
        <f>IFERROR(__xludf.DUMMYFUNCTION("""COMPUTED_VALUE"""),2.0)</f>
        <v>2</v>
      </c>
      <c r="H782" s="11">
        <f>IFERROR(__xludf.DUMMYFUNCTION("""COMPUTED_VALUE"""),22.298)</f>
        <v>22.298</v>
      </c>
    </row>
    <row r="783">
      <c r="A783" s="8" t="str">
        <f>IFERROR(__xludf.DUMMYFUNCTION("""COMPUTED_VALUE"""),"CA-2014-167927")</f>
        <v>CA-2014-167927</v>
      </c>
      <c r="B783" s="9">
        <f>IFERROR(__xludf.DUMMYFUNCTION("""COMPUTED_VALUE"""),41659.0)</f>
        <v>41659</v>
      </c>
      <c r="C783" s="8" t="str">
        <f>IFERROR(__xludf.DUMMYFUNCTION("""COMPUTED_VALUE"""),"Consumer")</f>
        <v>Consumer</v>
      </c>
      <c r="D783" s="8" t="str">
        <f>IFERROR(__xludf.DUMMYFUNCTION("""COMPUTED_VALUE"""),"Michigan")</f>
        <v>Michigan</v>
      </c>
      <c r="E783" s="8" t="str">
        <f>IFERROR(__xludf.DUMMYFUNCTION("""COMPUTED_VALUE"""),"Central")</f>
        <v>Central</v>
      </c>
      <c r="F783" s="10">
        <f>IFERROR(__xludf.DUMMYFUNCTION("""COMPUTED_VALUE"""),13.98)</f>
        <v>13.98</v>
      </c>
      <c r="G783" s="11">
        <f>IFERROR(__xludf.DUMMYFUNCTION("""COMPUTED_VALUE"""),1.0)</f>
        <v>1</v>
      </c>
      <c r="H783" s="11">
        <f>IFERROR(__xludf.DUMMYFUNCTION("""COMPUTED_VALUE"""),4.0542)</f>
        <v>4.0542</v>
      </c>
    </row>
    <row r="784">
      <c r="A784" s="8" t="str">
        <f>IFERROR(__xludf.DUMMYFUNCTION("""COMPUTED_VALUE"""),"CA-2014-167997")</f>
        <v>CA-2014-167997</v>
      </c>
      <c r="B784" s="9">
        <f>IFERROR(__xludf.DUMMYFUNCTION("""COMPUTED_VALUE"""),41665.0)</f>
        <v>41665</v>
      </c>
      <c r="C784" s="8" t="str">
        <f>IFERROR(__xludf.DUMMYFUNCTION("""COMPUTED_VALUE"""),"Corporate")</f>
        <v>Corporate</v>
      </c>
      <c r="D784" s="8" t="str">
        <f>IFERROR(__xludf.DUMMYFUNCTION("""COMPUTED_VALUE"""),"South Dakota")</f>
        <v>South Dakota</v>
      </c>
      <c r="E784" s="8" t="str">
        <f>IFERROR(__xludf.DUMMYFUNCTION("""COMPUTED_VALUE"""),"Central")</f>
        <v>Central</v>
      </c>
      <c r="F784" s="10">
        <f>IFERROR(__xludf.DUMMYFUNCTION("""COMPUTED_VALUE"""),10.68)</f>
        <v>10.68</v>
      </c>
      <c r="G784" s="11">
        <f>IFERROR(__xludf.DUMMYFUNCTION("""COMPUTED_VALUE"""),2.0)</f>
        <v>2</v>
      </c>
      <c r="H784" s="11">
        <f>IFERROR(__xludf.DUMMYFUNCTION("""COMPUTED_VALUE"""),5.0196)</f>
        <v>5.0196</v>
      </c>
    </row>
    <row r="785">
      <c r="A785" s="8" t="str">
        <f>IFERROR(__xludf.DUMMYFUNCTION("""COMPUTED_VALUE"""),"CA-2014-168130")</f>
        <v>CA-2014-168130</v>
      </c>
      <c r="B785" s="9">
        <f>IFERROR(__xludf.DUMMYFUNCTION("""COMPUTED_VALUE"""),41901.0)</f>
        <v>41901</v>
      </c>
      <c r="C785" s="8" t="str">
        <f>IFERROR(__xludf.DUMMYFUNCTION("""COMPUTED_VALUE"""),"Corporate")</f>
        <v>Corporate</v>
      </c>
      <c r="D785" s="8" t="str">
        <f>IFERROR(__xludf.DUMMYFUNCTION("""COMPUTED_VALUE"""),"New York")</f>
        <v>New York</v>
      </c>
      <c r="E785" s="8" t="str">
        <f>IFERROR(__xludf.DUMMYFUNCTION("""COMPUTED_VALUE"""),"East")</f>
        <v>East</v>
      </c>
      <c r="F785" s="10">
        <f>IFERROR(__xludf.DUMMYFUNCTION("""COMPUTED_VALUE"""),887.103)</f>
        <v>887.103</v>
      </c>
      <c r="G785" s="11">
        <f>IFERROR(__xludf.DUMMYFUNCTION("""COMPUTED_VALUE"""),7.0)</f>
        <v>7</v>
      </c>
      <c r="H785" s="11">
        <f>IFERROR(__xludf.DUMMYFUNCTION("""COMPUTED_VALUE"""),177.4206)</f>
        <v>177.4206</v>
      </c>
    </row>
    <row r="786">
      <c r="A786" s="8" t="str">
        <f>IFERROR(__xludf.DUMMYFUNCTION("""COMPUTED_VALUE"""),"CA-2014-168158")</f>
        <v>CA-2014-168158</v>
      </c>
      <c r="B786" s="9">
        <f>IFERROR(__xludf.DUMMYFUNCTION("""COMPUTED_VALUE"""),41839.0)</f>
        <v>41839</v>
      </c>
      <c r="C786" s="8" t="str">
        <f>IFERROR(__xludf.DUMMYFUNCTION("""COMPUTED_VALUE"""),"Home Office")</f>
        <v>Home Office</v>
      </c>
      <c r="D786" s="8" t="str">
        <f>IFERROR(__xludf.DUMMYFUNCTION("""COMPUTED_VALUE"""),"Montana")</f>
        <v>Montana</v>
      </c>
      <c r="E786" s="8" t="str">
        <f>IFERROR(__xludf.DUMMYFUNCTION("""COMPUTED_VALUE"""),"West")</f>
        <v>West</v>
      </c>
      <c r="F786" s="10">
        <f>IFERROR(__xludf.DUMMYFUNCTION("""COMPUTED_VALUE"""),6.096)</f>
        <v>6.096</v>
      </c>
      <c r="G786" s="11">
        <f>IFERROR(__xludf.DUMMYFUNCTION("""COMPUTED_VALUE"""),2.0)</f>
        <v>2</v>
      </c>
      <c r="H786" s="11">
        <f>IFERROR(__xludf.DUMMYFUNCTION("""COMPUTED_VALUE"""),2.2098)</f>
        <v>2.2098</v>
      </c>
    </row>
    <row r="787">
      <c r="A787" s="8" t="str">
        <f>IFERROR(__xludf.DUMMYFUNCTION("""COMPUTED_VALUE"""),"CA-2014-168305")</f>
        <v>CA-2014-168305</v>
      </c>
      <c r="B787" s="9">
        <f>IFERROR(__xludf.DUMMYFUNCTION("""COMPUTED_VALUE"""),41944.0)</f>
        <v>41944</v>
      </c>
      <c r="C787" s="8" t="str">
        <f>IFERROR(__xludf.DUMMYFUNCTION("""COMPUTED_VALUE"""),"Home Office")</f>
        <v>Home Office</v>
      </c>
      <c r="D787" s="8" t="str">
        <f>IFERROR(__xludf.DUMMYFUNCTION("""COMPUTED_VALUE"""),"California")</f>
        <v>California</v>
      </c>
      <c r="E787" s="8" t="str">
        <f>IFERROR(__xludf.DUMMYFUNCTION("""COMPUTED_VALUE"""),"West")</f>
        <v>West</v>
      </c>
      <c r="F787" s="10">
        <f>IFERROR(__xludf.DUMMYFUNCTION("""COMPUTED_VALUE"""),44.4)</f>
        <v>44.4</v>
      </c>
      <c r="G787" s="11">
        <f>IFERROR(__xludf.DUMMYFUNCTION("""COMPUTED_VALUE"""),3.0)</f>
        <v>3</v>
      </c>
      <c r="H787" s="11">
        <f>IFERROR(__xludf.DUMMYFUNCTION("""COMPUTED_VALUE"""),22.2)</f>
        <v>22.2</v>
      </c>
    </row>
    <row r="788">
      <c r="A788" s="8" t="str">
        <f>IFERROR(__xludf.DUMMYFUNCTION("""COMPUTED_VALUE"""),"CA-2014-168312")</f>
        <v>CA-2014-168312</v>
      </c>
      <c r="B788" s="9">
        <f>IFERROR(__xludf.DUMMYFUNCTION("""COMPUTED_VALUE"""),41699.0)</f>
        <v>41699</v>
      </c>
      <c r="C788" s="8" t="str">
        <f>IFERROR(__xludf.DUMMYFUNCTION("""COMPUTED_VALUE"""),"Consumer")</f>
        <v>Consumer</v>
      </c>
      <c r="D788" s="8" t="str">
        <f>IFERROR(__xludf.DUMMYFUNCTION("""COMPUTED_VALUE"""),"Texas")</f>
        <v>Texas</v>
      </c>
      <c r="E788" s="8" t="str">
        <f>IFERROR(__xludf.DUMMYFUNCTION("""COMPUTED_VALUE"""),"Central")</f>
        <v>Central</v>
      </c>
      <c r="F788" s="10">
        <f>IFERROR(__xludf.DUMMYFUNCTION("""COMPUTED_VALUE"""),137.352)</f>
        <v>137.352</v>
      </c>
      <c r="G788" s="11">
        <f>IFERROR(__xludf.DUMMYFUNCTION("""COMPUTED_VALUE"""),3.0)</f>
        <v>3</v>
      </c>
      <c r="H788" s="11">
        <f>IFERROR(__xludf.DUMMYFUNCTION("""COMPUTED_VALUE"""),8.5845)</f>
        <v>8.5845</v>
      </c>
    </row>
    <row r="789">
      <c r="A789" s="8" t="str">
        <f>IFERROR(__xludf.DUMMYFUNCTION("""COMPUTED_VALUE"""),"CA-2014-168368")</f>
        <v>CA-2014-168368</v>
      </c>
      <c r="B789" s="9">
        <f>IFERROR(__xludf.DUMMYFUNCTION("""COMPUTED_VALUE"""),41681.0)</f>
        <v>41681</v>
      </c>
      <c r="C789" s="8" t="str">
        <f>IFERROR(__xludf.DUMMYFUNCTION("""COMPUTED_VALUE"""),"Consumer")</f>
        <v>Consumer</v>
      </c>
      <c r="D789" s="8" t="str">
        <f>IFERROR(__xludf.DUMMYFUNCTION("""COMPUTED_VALUE"""),"Missouri")</f>
        <v>Missouri</v>
      </c>
      <c r="E789" s="8" t="str">
        <f>IFERROR(__xludf.DUMMYFUNCTION("""COMPUTED_VALUE"""),"Central")</f>
        <v>Central</v>
      </c>
      <c r="F789" s="10">
        <f>IFERROR(__xludf.DUMMYFUNCTION("""COMPUTED_VALUE"""),60.89)</f>
        <v>60.89</v>
      </c>
      <c r="G789" s="11">
        <f>IFERROR(__xludf.DUMMYFUNCTION("""COMPUTED_VALUE"""),1.0)</f>
        <v>1</v>
      </c>
      <c r="H789" s="11">
        <f>IFERROR(__xludf.DUMMYFUNCTION("""COMPUTED_VALUE"""),15.2225)</f>
        <v>15.2225</v>
      </c>
    </row>
    <row r="790">
      <c r="A790" s="8" t="str">
        <f>IFERROR(__xludf.DUMMYFUNCTION("""COMPUTED_VALUE"""),"CA-2014-168473")</f>
        <v>CA-2014-168473</v>
      </c>
      <c r="B790" s="9">
        <f>IFERROR(__xludf.DUMMYFUNCTION("""COMPUTED_VALUE"""),41999.0)</f>
        <v>41999</v>
      </c>
      <c r="C790" s="8" t="str">
        <f>IFERROR(__xludf.DUMMYFUNCTION("""COMPUTED_VALUE"""),"Consumer")</f>
        <v>Consumer</v>
      </c>
      <c r="D790" s="8" t="str">
        <f>IFERROR(__xludf.DUMMYFUNCTION("""COMPUTED_VALUE"""),"New York")</f>
        <v>New York</v>
      </c>
      <c r="E790" s="8" t="str">
        <f>IFERROR(__xludf.DUMMYFUNCTION("""COMPUTED_VALUE"""),"East")</f>
        <v>East</v>
      </c>
      <c r="F790" s="10">
        <f>IFERROR(__xludf.DUMMYFUNCTION("""COMPUTED_VALUE"""),191.88)</f>
        <v>191.88</v>
      </c>
      <c r="G790" s="11">
        <f>IFERROR(__xludf.DUMMYFUNCTION("""COMPUTED_VALUE"""),6.0)</f>
        <v>6</v>
      </c>
      <c r="H790" s="11">
        <f>IFERROR(__xludf.DUMMYFUNCTION("""COMPUTED_VALUE"""),19.188)</f>
        <v>19.188</v>
      </c>
    </row>
    <row r="791">
      <c r="A791" s="8" t="str">
        <f>IFERROR(__xludf.DUMMYFUNCTION("""COMPUTED_VALUE"""),"CA-2014-168494")</f>
        <v>CA-2014-168494</v>
      </c>
      <c r="B791" s="9">
        <f>IFERROR(__xludf.DUMMYFUNCTION("""COMPUTED_VALUE"""),41985.0)</f>
        <v>41985</v>
      </c>
      <c r="C791" s="8" t="str">
        <f>IFERROR(__xludf.DUMMYFUNCTION("""COMPUTED_VALUE"""),"Consumer")</f>
        <v>Consumer</v>
      </c>
      <c r="D791" s="8" t="str">
        <f>IFERROR(__xludf.DUMMYFUNCTION("""COMPUTED_VALUE"""),"California")</f>
        <v>California</v>
      </c>
      <c r="E791" s="8" t="str">
        <f>IFERROR(__xludf.DUMMYFUNCTION("""COMPUTED_VALUE"""),"West")</f>
        <v>West</v>
      </c>
      <c r="F791" s="10">
        <f>IFERROR(__xludf.DUMMYFUNCTION("""COMPUTED_VALUE"""),764.688)</f>
        <v>764.688</v>
      </c>
      <c r="G791" s="11">
        <f>IFERROR(__xludf.DUMMYFUNCTION("""COMPUTED_VALUE"""),6.0)</f>
        <v>6</v>
      </c>
      <c r="H791" s="11">
        <f>IFERROR(__xludf.DUMMYFUNCTION("""COMPUTED_VALUE"""),95.586)</f>
        <v>95.586</v>
      </c>
    </row>
    <row r="792">
      <c r="A792" s="8" t="str">
        <f>IFERROR(__xludf.DUMMYFUNCTION("""COMPUTED_VALUE"""),"CA-2014-168592")</f>
        <v>CA-2014-168592</v>
      </c>
      <c r="B792" s="9">
        <f>IFERROR(__xludf.DUMMYFUNCTION("""COMPUTED_VALUE"""),41890.0)</f>
        <v>41890</v>
      </c>
      <c r="C792" s="8" t="str">
        <f>IFERROR(__xludf.DUMMYFUNCTION("""COMPUTED_VALUE"""),"Home Office")</f>
        <v>Home Office</v>
      </c>
      <c r="D792" s="8" t="str">
        <f>IFERROR(__xludf.DUMMYFUNCTION("""COMPUTED_VALUE"""),"California")</f>
        <v>California</v>
      </c>
      <c r="E792" s="8" t="str">
        <f>IFERROR(__xludf.DUMMYFUNCTION("""COMPUTED_VALUE"""),"West")</f>
        <v>West</v>
      </c>
      <c r="F792" s="10">
        <f>IFERROR(__xludf.DUMMYFUNCTION("""COMPUTED_VALUE"""),56.65)</f>
        <v>56.65</v>
      </c>
      <c r="G792" s="11">
        <f>IFERROR(__xludf.DUMMYFUNCTION("""COMPUTED_VALUE"""),5.0)</f>
        <v>5</v>
      </c>
      <c r="H792" s="11">
        <f>IFERROR(__xludf.DUMMYFUNCTION("""COMPUTED_VALUE"""),24.3595)</f>
        <v>24.3595</v>
      </c>
    </row>
    <row r="793">
      <c r="A793" s="8" t="str">
        <f>IFERROR(__xludf.DUMMYFUNCTION("""COMPUTED_VALUE"""),"CA-2014-168823")</f>
        <v>CA-2014-168823</v>
      </c>
      <c r="B793" s="9">
        <f>IFERROR(__xludf.DUMMYFUNCTION("""COMPUTED_VALUE"""),41903.0)</f>
        <v>41903</v>
      </c>
      <c r="C793" s="8" t="str">
        <f>IFERROR(__xludf.DUMMYFUNCTION("""COMPUTED_VALUE"""),"Home Office")</f>
        <v>Home Office</v>
      </c>
      <c r="D793" s="8" t="str">
        <f>IFERROR(__xludf.DUMMYFUNCTION("""COMPUTED_VALUE"""),"Pennsylvania")</f>
        <v>Pennsylvania</v>
      </c>
      <c r="E793" s="8" t="str">
        <f>IFERROR(__xludf.DUMMYFUNCTION("""COMPUTED_VALUE"""),"East")</f>
        <v>East</v>
      </c>
      <c r="F793" s="10">
        <f>IFERROR(__xludf.DUMMYFUNCTION("""COMPUTED_VALUE"""),11.352)</f>
        <v>11.352</v>
      </c>
      <c r="G793" s="11">
        <f>IFERROR(__xludf.DUMMYFUNCTION("""COMPUTED_VALUE"""),3.0)</f>
        <v>3</v>
      </c>
      <c r="H793" s="11">
        <f>IFERROR(__xludf.DUMMYFUNCTION("""COMPUTED_VALUE"""),4.1151)</f>
        <v>4.1151</v>
      </c>
    </row>
    <row r="794">
      <c r="A794" s="8" t="str">
        <f>IFERROR(__xludf.DUMMYFUNCTION("""COMPUTED_VALUE"""),"CA-2014-168984")</f>
        <v>CA-2014-168984</v>
      </c>
      <c r="B794" s="9">
        <f>IFERROR(__xludf.DUMMYFUNCTION("""COMPUTED_VALUE"""),41969.0)</f>
        <v>41969</v>
      </c>
      <c r="C794" s="8" t="str">
        <f>IFERROR(__xludf.DUMMYFUNCTION("""COMPUTED_VALUE"""),"Consumer")</f>
        <v>Consumer</v>
      </c>
      <c r="D794" s="8" t="str">
        <f>IFERROR(__xludf.DUMMYFUNCTION("""COMPUTED_VALUE"""),"Oregon")</f>
        <v>Oregon</v>
      </c>
      <c r="E794" s="8" t="str">
        <f>IFERROR(__xludf.DUMMYFUNCTION("""COMPUTED_VALUE"""),"West")</f>
        <v>West</v>
      </c>
      <c r="F794" s="10">
        <f>IFERROR(__xludf.DUMMYFUNCTION("""COMPUTED_VALUE"""),15.552)</f>
        <v>15.552</v>
      </c>
      <c r="G794" s="11">
        <f>IFERROR(__xludf.DUMMYFUNCTION("""COMPUTED_VALUE"""),3.0)</f>
        <v>3</v>
      </c>
      <c r="H794" s="11">
        <f>IFERROR(__xludf.DUMMYFUNCTION("""COMPUTED_VALUE"""),5.4432)</f>
        <v>5.4432</v>
      </c>
    </row>
    <row r="795">
      <c r="A795" s="8" t="str">
        <f>IFERROR(__xludf.DUMMYFUNCTION("""COMPUTED_VALUE"""),"CA-2014-169019")</f>
        <v>CA-2014-169019</v>
      </c>
      <c r="B795" s="9">
        <f>IFERROR(__xludf.DUMMYFUNCTION("""COMPUTED_VALUE"""),41846.0)</f>
        <v>41846</v>
      </c>
      <c r="C795" s="8" t="str">
        <f>IFERROR(__xludf.DUMMYFUNCTION("""COMPUTED_VALUE"""),"Consumer")</f>
        <v>Consumer</v>
      </c>
      <c r="D795" s="8" t="str">
        <f>IFERROR(__xludf.DUMMYFUNCTION("""COMPUTED_VALUE"""),"Texas")</f>
        <v>Texas</v>
      </c>
      <c r="E795" s="8" t="str">
        <f>IFERROR(__xludf.DUMMYFUNCTION("""COMPUTED_VALUE"""),"Central")</f>
        <v>Central</v>
      </c>
      <c r="F795" s="10">
        <f>IFERROR(__xludf.DUMMYFUNCTION("""COMPUTED_VALUE"""),2177.584)</f>
        <v>2177.584</v>
      </c>
      <c r="G795" s="11">
        <f>IFERROR(__xludf.DUMMYFUNCTION("""COMPUTED_VALUE"""),8.0)</f>
        <v>8</v>
      </c>
      <c r="H795" s="11">
        <f>IFERROR(__xludf.DUMMYFUNCTION("""COMPUTED_VALUE"""),-3701.8928)</f>
        <v>-3701.8928</v>
      </c>
    </row>
    <row r="796">
      <c r="A796" s="8" t="str">
        <f>IFERROR(__xludf.DUMMYFUNCTION("""COMPUTED_VALUE"""),"CA-2014-169033")</f>
        <v>CA-2014-169033</v>
      </c>
      <c r="B796" s="9">
        <f>IFERROR(__xludf.DUMMYFUNCTION("""COMPUTED_VALUE"""),41728.0)</f>
        <v>41728</v>
      </c>
      <c r="C796" s="8" t="str">
        <f>IFERROR(__xludf.DUMMYFUNCTION("""COMPUTED_VALUE"""),"Consumer")</f>
        <v>Consumer</v>
      </c>
      <c r="D796" s="8" t="str">
        <f>IFERROR(__xludf.DUMMYFUNCTION("""COMPUTED_VALUE"""),"New York")</f>
        <v>New York</v>
      </c>
      <c r="E796" s="8" t="str">
        <f>IFERROR(__xludf.DUMMYFUNCTION("""COMPUTED_VALUE"""),"East")</f>
        <v>East</v>
      </c>
      <c r="F796" s="10">
        <f>IFERROR(__xludf.DUMMYFUNCTION("""COMPUTED_VALUE"""),49.65)</f>
        <v>49.65</v>
      </c>
      <c r="G796" s="11">
        <f>IFERROR(__xludf.DUMMYFUNCTION("""COMPUTED_VALUE"""),5.0)</f>
        <v>5</v>
      </c>
      <c r="H796" s="11">
        <f>IFERROR(__xludf.DUMMYFUNCTION("""COMPUTED_VALUE"""),20.853)</f>
        <v>20.853</v>
      </c>
    </row>
    <row r="797">
      <c r="A797" s="8" t="str">
        <f>IFERROR(__xludf.DUMMYFUNCTION("""COMPUTED_VALUE"""),"CA-2014-169061")</f>
        <v>CA-2014-169061</v>
      </c>
      <c r="B797" s="9">
        <f>IFERROR(__xludf.DUMMYFUNCTION("""COMPUTED_VALUE"""),41703.0)</f>
        <v>41703</v>
      </c>
      <c r="C797" s="8" t="str">
        <f>IFERROR(__xludf.DUMMYFUNCTION("""COMPUTED_VALUE"""),"Consumer")</f>
        <v>Consumer</v>
      </c>
      <c r="D797" s="8" t="str">
        <f>IFERROR(__xludf.DUMMYFUNCTION("""COMPUTED_VALUE"""),"New York")</f>
        <v>New York</v>
      </c>
      <c r="E797" s="8" t="str">
        <f>IFERROR(__xludf.DUMMYFUNCTION("""COMPUTED_VALUE"""),"East")</f>
        <v>East</v>
      </c>
      <c r="F797" s="10">
        <f>IFERROR(__xludf.DUMMYFUNCTION("""COMPUTED_VALUE"""),59.52)</f>
        <v>59.52</v>
      </c>
      <c r="G797" s="11">
        <f>IFERROR(__xludf.DUMMYFUNCTION("""COMPUTED_VALUE"""),3.0)</f>
        <v>3</v>
      </c>
      <c r="H797" s="11">
        <f>IFERROR(__xludf.DUMMYFUNCTION("""COMPUTED_VALUE"""),15.4752)</f>
        <v>15.4752</v>
      </c>
    </row>
    <row r="798">
      <c r="A798" s="8" t="str">
        <f>IFERROR(__xludf.DUMMYFUNCTION("""COMPUTED_VALUE"""),"CA-2014-169257")</f>
        <v>CA-2014-169257</v>
      </c>
      <c r="B798" s="9">
        <f>IFERROR(__xludf.DUMMYFUNCTION("""COMPUTED_VALUE"""),41796.0)</f>
        <v>41796</v>
      </c>
      <c r="C798" s="8" t="str">
        <f>IFERROR(__xludf.DUMMYFUNCTION("""COMPUTED_VALUE"""),"Consumer")</f>
        <v>Consumer</v>
      </c>
      <c r="D798" s="8" t="str">
        <f>IFERROR(__xludf.DUMMYFUNCTION("""COMPUTED_VALUE"""),"Florida")</f>
        <v>Florida</v>
      </c>
      <c r="E798" s="8" t="str">
        <f>IFERROR(__xludf.DUMMYFUNCTION("""COMPUTED_VALUE"""),"South")</f>
        <v>South</v>
      </c>
      <c r="F798" s="10">
        <f>IFERROR(__xludf.DUMMYFUNCTION("""COMPUTED_VALUE"""),1.365)</f>
        <v>1.365</v>
      </c>
      <c r="G798" s="11">
        <f>IFERROR(__xludf.DUMMYFUNCTION("""COMPUTED_VALUE"""),1.0)</f>
        <v>1</v>
      </c>
      <c r="H798" s="11">
        <f>IFERROR(__xludf.DUMMYFUNCTION("""COMPUTED_VALUE"""),-0.91)</f>
        <v>-0.91</v>
      </c>
    </row>
    <row r="799">
      <c r="A799" s="8" t="str">
        <f>IFERROR(__xludf.DUMMYFUNCTION("""COMPUTED_VALUE"""),"CA-2014-169446")</f>
        <v>CA-2014-169446</v>
      </c>
      <c r="B799" s="9">
        <f>IFERROR(__xludf.DUMMYFUNCTION("""COMPUTED_VALUE"""),41992.0)</f>
        <v>41992</v>
      </c>
      <c r="C799" s="8" t="str">
        <f>IFERROR(__xludf.DUMMYFUNCTION("""COMPUTED_VALUE"""),"Consumer")</f>
        <v>Consumer</v>
      </c>
      <c r="D799" s="8" t="str">
        <f>IFERROR(__xludf.DUMMYFUNCTION("""COMPUTED_VALUE"""),"Illinois")</f>
        <v>Illinois</v>
      </c>
      <c r="E799" s="8" t="str">
        <f>IFERROR(__xludf.DUMMYFUNCTION("""COMPUTED_VALUE"""),"Central")</f>
        <v>Central</v>
      </c>
      <c r="F799" s="10">
        <f>IFERROR(__xludf.DUMMYFUNCTION("""COMPUTED_VALUE"""),323.976)</f>
        <v>323.976</v>
      </c>
      <c r="G799" s="11">
        <f>IFERROR(__xludf.DUMMYFUNCTION("""COMPUTED_VALUE"""),3.0)</f>
        <v>3</v>
      </c>
      <c r="H799" s="11">
        <f>IFERROR(__xludf.DUMMYFUNCTION("""COMPUTED_VALUE"""),36.4473)</f>
        <v>36.4473</v>
      </c>
    </row>
    <row r="800">
      <c r="A800" s="8" t="str">
        <f>IFERROR(__xludf.DUMMYFUNCTION("""COMPUTED_VALUE"""),"CA-2014-169460")</f>
        <v>CA-2014-169460</v>
      </c>
      <c r="B800" s="9">
        <f>IFERROR(__xludf.DUMMYFUNCTION("""COMPUTED_VALUE"""),41748.0)</f>
        <v>41748</v>
      </c>
      <c r="C800" s="8" t="str">
        <f>IFERROR(__xludf.DUMMYFUNCTION("""COMPUTED_VALUE"""),"Home Office")</f>
        <v>Home Office</v>
      </c>
      <c r="D800" s="8" t="str">
        <f>IFERROR(__xludf.DUMMYFUNCTION("""COMPUTED_VALUE"""),"California")</f>
        <v>California</v>
      </c>
      <c r="E800" s="8" t="str">
        <f>IFERROR(__xludf.DUMMYFUNCTION("""COMPUTED_VALUE"""),"West")</f>
        <v>West</v>
      </c>
      <c r="F800" s="10">
        <f>IFERROR(__xludf.DUMMYFUNCTION("""COMPUTED_VALUE"""),76.14)</f>
        <v>76.14</v>
      </c>
      <c r="G800" s="11">
        <f>IFERROR(__xludf.DUMMYFUNCTION("""COMPUTED_VALUE"""),3.0)</f>
        <v>3</v>
      </c>
      <c r="H800" s="11">
        <f>IFERROR(__xludf.DUMMYFUNCTION("""COMPUTED_VALUE"""),26.649)</f>
        <v>26.649</v>
      </c>
    </row>
    <row r="801">
      <c r="A801" s="8" t="str">
        <f>IFERROR(__xludf.DUMMYFUNCTION("""COMPUTED_VALUE"""),"CA-2014-169642")</f>
        <v>CA-2014-169642</v>
      </c>
      <c r="B801" s="9">
        <f>IFERROR(__xludf.DUMMYFUNCTION("""COMPUTED_VALUE"""),41847.0)</f>
        <v>41847</v>
      </c>
      <c r="C801" s="8" t="str">
        <f>IFERROR(__xludf.DUMMYFUNCTION("""COMPUTED_VALUE"""),"Corporate")</f>
        <v>Corporate</v>
      </c>
      <c r="D801" s="8" t="str">
        <f>IFERROR(__xludf.DUMMYFUNCTION("""COMPUTED_VALUE"""),"California")</f>
        <v>California</v>
      </c>
      <c r="E801" s="8" t="str">
        <f>IFERROR(__xludf.DUMMYFUNCTION("""COMPUTED_VALUE"""),"West")</f>
        <v>West</v>
      </c>
      <c r="F801" s="10">
        <f>IFERROR(__xludf.DUMMYFUNCTION("""COMPUTED_VALUE"""),276.28)</f>
        <v>276.28</v>
      </c>
      <c r="G801" s="11">
        <f>IFERROR(__xludf.DUMMYFUNCTION("""COMPUTED_VALUE"""),2.0)</f>
        <v>2</v>
      </c>
      <c r="H801" s="11">
        <f>IFERROR(__xludf.DUMMYFUNCTION("""COMPUTED_VALUE"""),0.0)</f>
        <v>0</v>
      </c>
    </row>
    <row r="802">
      <c r="A802" s="8" t="str">
        <f>IFERROR(__xludf.DUMMYFUNCTION("""COMPUTED_VALUE"""),"CA-2014-169649")</f>
        <v>CA-2014-169649</v>
      </c>
      <c r="B802" s="9">
        <f>IFERROR(__xludf.DUMMYFUNCTION("""COMPUTED_VALUE"""),41982.0)</f>
        <v>41982</v>
      </c>
      <c r="C802" s="8" t="str">
        <f>IFERROR(__xludf.DUMMYFUNCTION("""COMPUTED_VALUE"""),"Corporate")</f>
        <v>Corporate</v>
      </c>
      <c r="D802" s="8" t="str">
        <f>IFERROR(__xludf.DUMMYFUNCTION("""COMPUTED_VALUE"""),"Illinois")</f>
        <v>Illinois</v>
      </c>
      <c r="E802" s="8" t="str">
        <f>IFERROR(__xludf.DUMMYFUNCTION("""COMPUTED_VALUE"""),"Central")</f>
        <v>Central</v>
      </c>
      <c r="F802" s="10">
        <f>IFERROR(__xludf.DUMMYFUNCTION("""COMPUTED_VALUE"""),8.448)</f>
        <v>8.448</v>
      </c>
      <c r="G802" s="11">
        <f>IFERROR(__xludf.DUMMYFUNCTION("""COMPUTED_VALUE"""),2.0)</f>
        <v>2</v>
      </c>
      <c r="H802" s="11">
        <f>IFERROR(__xludf.DUMMYFUNCTION("""COMPUTED_VALUE"""),2.9568)</f>
        <v>2.9568</v>
      </c>
    </row>
    <row r="803">
      <c r="A803" s="8" t="str">
        <f>IFERROR(__xludf.DUMMYFUNCTION("""COMPUTED_VALUE"""),"CA-2014-169684")</f>
        <v>CA-2014-169684</v>
      </c>
      <c r="B803" s="9">
        <f>IFERROR(__xludf.DUMMYFUNCTION("""COMPUTED_VALUE"""),41932.0)</f>
        <v>41932</v>
      </c>
      <c r="C803" s="8" t="str">
        <f>IFERROR(__xludf.DUMMYFUNCTION("""COMPUTED_VALUE"""),"Corporate")</f>
        <v>Corporate</v>
      </c>
      <c r="D803" s="8" t="str">
        <f>IFERROR(__xludf.DUMMYFUNCTION("""COMPUTED_VALUE"""),"Tennessee")</f>
        <v>Tennessee</v>
      </c>
      <c r="E803" s="8" t="str">
        <f>IFERROR(__xludf.DUMMYFUNCTION("""COMPUTED_VALUE"""),"South")</f>
        <v>South</v>
      </c>
      <c r="F803" s="10">
        <f>IFERROR(__xludf.DUMMYFUNCTION("""COMPUTED_VALUE"""),328.59)</f>
        <v>328.59</v>
      </c>
      <c r="G803" s="11">
        <f>IFERROR(__xludf.DUMMYFUNCTION("""COMPUTED_VALUE"""),3.0)</f>
        <v>3</v>
      </c>
      <c r="H803" s="11">
        <f>IFERROR(__xludf.DUMMYFUNCTION("""COMPUTED_VALUE"""),-147.8655)</f>
        <v>-147.8655</v>
      </c>
    </row>
    <row r="804">
      <c r="A804" s="8" t="str">
        <f>IFERROR(__xludf.DUMMYFUNCTION("""COMPUTED_VALUE"""),"CA-2014-169726")</f>
        <v>CA-2014-169726</v>
      </c>
      <c r="B804" s="9">
        <f>IFERROR(__xludf.DUMMYFUNCTION("""COMPUTED_VALUE"""),41860.0)</f>
        <v>41860</v>
      </c>
      <c r="C804" s="8" t="str">
        <f>IFERROR(__xludf.DUMMYFUNCTION("""COMPUTED_VALUE"""),"Consumer")</f>
        <v>Consumer</v>
      </c>
      <c r="D804" s="8" t="str">
        <f>IFERROR(__xludf.DUMMYFUNCTION("""COMPUTED_VALUE"""),"Washington")</f>
        <v>Washington</v>
      </c>
      <c r="E804" s="8" t="str">
        <f>IFERROR(__xludf.DUMMYFUNCTION("""COMPUTED_VALUE"""),"West")</f>
        <v>West</v>
      </c>
      <c r="F804" s="10">
        <f>IFERROR(__xludf.DUMMYFUNCTION("""COMPUTED_VALUE"""),2060.744)</f>
        <v>2060.744</v>
      </c>
      <c r="G804" s="11">
        <f>IFERROR(__xludf.DUMMYFUNCTION("""COMPUTED_VALUE"""),7.0)</f>
        <v>7</v>
      </c>
      <c r="H804" s="11">
        <f>IFERROR(__xludf.DUMMYFUNCTION("""COMPUTED_VALUE"""),643.9825)</f>
        <v>643.9825</v>
      </c>
    </row>
    <row r="805">
      <c r="A805" s="8" t="str">
        <f>IFERROR(__xludf.DUMMYFUNCTION("""COMPUTED_VALUE"""),"CA-2014-169775")</f>
        <v>CA-2014-169775</v>
      </c>
      <c r="B805" s="9">
        <f>IFERROR(__xludf.DUMMYFUNCTION("""COMPUTED_VALUE"""),41880.0)</f>
        <v>41880</v>
      </c>
      <c r="C805" s="8" t="str">
        <f>IFERROR(__xludf.DUMMYFUNCTION("""COMPUTED_VALUE"""),"Consumer")</f>
        <v>Consumer</v>
      </c>
      <c r="D805" s="8" t="str">
        <f>IFERROR(__xludf.DUMMYFUNCTION("""COMPUTED_VALUE"""),"Florida")</f>
        <v>Florida</v>
      </c>
      <c r="E805" s="8" t="str">
        <f>IFERROR(__xludf.DUMMYFUNCTION("""COMPUTED_VALUE"""),"South")</f>
        <v>South</v>
      </c>
      <c r="F805" s="10">
        <f>IFERROR(__xludf.DUMMYFUNCTION("""COMPUTED_VALUE"""),29.808)</f>
        <v>29.808</v>
      </c>
      <c r="G805" s="11">
        <f>IFERROR(__xludf.DUMMYFUNCTION("""COMPUTED_VALUE"""),2.0)</f>
        <v>2</v>
      </c>
      <c r="H805" s="11">
        <f>IFERROR(__xludf.DUMMYFUNCTION("""COMPUTED_VALUE"""),10.8054)</f>
        <v>10.8054</v>
      </c>
    </row>
    <row r="806">
      <c r="A806" s="8" t="str">
        <f>IFERROR(__xludf.DUMMYFUNCTION("""COMPUTED_VALUE"""),"CA-2014-169803")</f>
        <v>CA-2014-169803</v>
      </c>
      <c r="B806" s="9">
        <f>IFERROR(__xludf.DUMMYFUNCTION("""COMPUTED_VALUE"""),41735.0)</f>
        <v>41735</v>
      </c>
      <c r="C806" s="8" t="str">
        <f>IFERROR(__xludf.DUMMYFUNCTION("""COMPUTED_VALUE"""),"Corporate")</f>
        <v>Corporate</v>
      </c>
      <c r="D806" s="8" t="str">
        <f>IFERROR(__xludf.DUMMYFUNCTION("""COMPUTED_VALUE"""),"Washington")</f>
        <v>Washington</v>
      </c>
      <c r="E806" s="8" t="str">
        <f>IFERROR(__xludf.DUMMYFUNCTION("""COMPUTED_VALUE"""),"West")</f>
        <v>West</v>
      </c>
      <c r="F806" s="10">
        <f>IFERROR(__xludf.DUMMYFUNCTION("""COMPUTED_VALUE"""),653.55)</f>
        <v>653.55</v>
      </c>
      <c r="G806" s="11">
        <f>IFERROR(__xludf.DUMMYFUNCTION("""COMPUTED_VALUE"""),3.0)</f>
        <v>3</v>
      </c>
      <c r="H806" s="11">
        <f>IFERROR(__xludf.DUMMYFUNCTION("""COMPUTED_VALUE"""),111.1035)</f>
        <v>111.1035</v>
      </c>
    </row>
    <row r="807">
      <c r="A807" s="8" t="str">
        <f>IFERROR(__xludf.DUMMYFUNCTION("""COMPUTED_VALUE"""),"CA-2014-169852")</f>
        <v>CA-2014-169852</v>
      </c>
      <c r="B807" s="9">
        <f>IFERROR(__xludf.DUMMYFUNCTION("""COMPUTED_VALUE"""),41933.0)</f>
        <v>41933</v>
      </c>
      <c r="C807" s="8" t="str">
        <f>IFERROR(__xludf.DUMMYFUNCTION("""COMPUTED_VALUE"""),"Corporate")</f>
        <v>Corporate</v>
      </c>
      <c r="D807" s="8" t="str">
        <f>IFERROR(__xludf.DUMMYFUNCTION("""COMPUTED_VALUE"""),"California")</f>
        <v>California</v>
      </c>
      <c r="E807" s="8" t="str">
        <f>IFERROR(__xludf.DUMMYFUNCTION("""COMPUTED_VALUE"""),"West")</f>
        <v>West</v>
      </c>
      <c r="F807" s="10">
        <f>IFERROR(__xludf.DUMMYFUNCTION("""COMPUTED_VALUE"""),36.36)</f>
        <v>36.36</v>
      </c>
      <c r="G807" s="11">
        <f>IFERROR(__xludf.DUMMYFUNCTION("""COMPUTED_VALUE"""),3.0)</f>
        <v>3</v>
      </c>
      <c r="H807" s="11">
        <f>IFERROR(__xludf.DUMMYFUNCTION("""COMPUTED_VALUE"""),12.2715)</f>
        <v>12.2715</v>
      </c>
    </row>
    <row r="808">
      <c r="A808" s="8" t="str">
        <f>IFERROR(__xludf.DUMMYFUNCTION("""COMPUTED_VALUE"""),"CA-2015-100146")</f>
        <v>CA-2015-100146</v>
      </c>
      <c r="B808" s="9">
        <f>IFERROR(__xludf.DUMMYFUNCTION("""COMPUTED_VALUE"""),42138.0)</f>
        <v>42138</v>
      </c>
      <c r="C808" s="8" t="str">
        <f>IFERROR(__xludf.DUMMYFUNCTION("""COMPUTED_VALUE"""),"Claudia Bergmann")</f>
        <v>Claudia Bergmann</v>
      </c>
      <c r="D808" s="8" t="str">
        <f>IFERROR(__xludf.DUMMYFUNCTION("""COMPUTED_VALUE"""),"Corporate")</f>
        <v>Corporate</v>
      </c>
      <c r="E808" s="8" t="str">
        <f>IFERROR(__xludf.DUMMYFUNCTION("""COMPUTED_VALUE"""),"West")</f>
        <v>West</v>
      </c>
      <c r="F808" s="10">
        <f>IFERROR(__xludf.DUMMYFUNCTION("""COMPUTED_VALUE"""),509.9575)</f>
        <v>509.9575</v>
      </c>
      <c r="G808" s="11">
        <f>IFERROR(__xludf.DUMMYFUNCTION("""COMPUTED_VALUE"""),5.0)</f>
        <v>5</v>
      </c>
      <c r="H808" s="11">
        <f>IFERROR(__xludf.DUMMYFUNCTION("""COMPUTED_VALUE"""),41.9965)</f>
        <v>41.9965</v>
      </c>
    </row>
    <row r="809">
      <c r="A809" s="8" t="str">
        <f>IFERROR(__xludf.DUMMYFUNCTION("""COMPUTED_VALUE"""),"CA-2015-100216")</f>
        <v>CA-2015-100216</v>
      </c>
      <c r="B809" s="9">
        <f>IFERROR(__xludf.DUMMYFUNCTION("""COMPUTED_VALUE"""),42107.0)</f>
        <v>42107</v>
      </c>
      <c r="C809" s="8" t="str">
        <f>IFERROR(__xludf.DUMMYFUNCTION("""COMPUTED_VALUE"""),"Heather Jas")</f>
        <v>Heather Jas</v>
      </c>
      <c r="D809" s="8" t="str">
        <f>IFERROR(__xludf.DUMMYFUNCTION("""COMPUTED_VALUE"""),"Home Office")</f>
        <v>Home Office</v>
      </c>
      <c r="E809" s="8" t="str">
        <f>IFERROR(__xludf.DUMMYFUNCTION("""COMPUTED_VALUE"""),"West")</f>
        <v>West</v>
      </c>
      <c r="F809" s="10">
        <f>IFERROR(__xludf.DUMMYFUNCTION("""COMPUTED_VALUE"""),31.104)</f>
        <v>31.104</v>
      </c>
      <c r="G809" s="11">
        <f>IFERROR(__xludf.DUMMYFUNCTION("""COMPUTED_VALUE"""),6.0)</f>
        <v>6</v>
      </c>
      <c r="H809" s="11">
        <f>IFERROR(__xludf.DUMMYFUNCTION("""COMPUTED_VALUE"""),10.8864)</f>
        <v>10.8864</v>
      </c>
    </row>
    <row r="810">
      <c r="A810" s="8" t="str">
        <f>IFERROR(__xludf.DUMMYFUNCTION("""COMPUTED_VALUE"""),"CA-2015-100251")</f>
        <v>CA-2015-100251</v>
      </c>
      <c r="B810" s="9">
        <f>IFERROR(__xludf.DUMMYFUNCTION("""COMPUTED_VALUE"""),42141.0)</f>
        <v>42141</v>
      </c>
      <c r="C810" s="8" t="str">
        <f>IFERROR(__xludf.DUMMYFUNCTION("""COMPUTED_VALUE"""),"Dianna Vittorini")</f>
        <v>Dianna Vittorini</v>
      </c>
      <c r="D810" s="8" t="str">
        <f>IFERROR(__xludf.DUMMYFUNCTION("""COMPUTED_VALUE"""),"Consumer")</f>
        <v>Consumer</v>
      </c>
      <c r="E810" s="8" t="str">
        <f>IFERROR(__xludf.DUMMYFUNCTION("""COMPUTED_VALUE"""),"East")</f>
        <v>East</v>
      </c>
      <c r="F810" s="10">
        <f>IFERROR(__xludf.DUMMYFUNCTION("""COMPUTED_VALUE"""),31.5)</f>
        <v>31.5</v>
      </c>
      <c r="G810" s="11">
        <f>IFERROR(__xludf.DUMMYFUNCTION("""COMPUTED_VALUE"""),10.0)</f>
        <v>10</v>
      </c>
      <c r="H810" s="11">
        <f>IFERROR(__xludf.DUMMYFUNCTION("""COMPUTED_VALUE"""),15.12)</f>
        <v>15.12</v>
      </c>
    </row>
    <row r="811">
      <c r="A811" s="8" t="str">
        <f>IFERROR(__xludf.DUMMYFUNCTION("""COMPUTED_VALUE"""),"CA-2015-100454")</f>
        <v>CA-2015-100454</v>
      </c>
      <c r="B811" s="9">
        <f>IFERROR(__xludf.DUMMYFUNCTION("""COMPUTED_VALUE"""),42328.0)</f>
        <v>42328</v>
      </c>
      <c r="C811" s="8" t="str">
        <f>IFERROR(__xludf.DUMMYFUNCTION("""COMPUTED_VALUE"""),"Brian Moss")</f>
        <v>Brian Moss</v>
      </c>
      <c r="D811" s="8" t="str">
        <f>IFERROR(__xludf.DUMMYFUNCTION("""COMPUTED_VALUE"""),"Corporate")</f>
        <v>Corporate</v>
      </c>
      <c r="E811" s="8" t="str">
        <f>IFERROR(__xludf.DUMMYFUNCTION("""COMPUTED_VALUE"""),"East")</f>
        <v>East</v>
      </c>
      <c r="F811" s="10">
        <f>IFERROR(__xludf.DUMMYFUNCTION("""COMPUTED_VALUE"""),60.45)</f>
        <v>60.45</v>
      </c>
      <c r="G811" s="11">
        <f>IFERROR(__xludf.DUMMYFUNCTION("""COMPUTED_VALUE"""),3.0)</f>
        <v>3</v>
      </c>
      <c r="H811" s="11">
        <f>IFERROR(__xludf.DUMMYFUNCTION("""COMPUTED_VALUE"""),16.3215)</f>
        <v>16.3215</v>
      </c>
    </row>
    <row r="812">
      <c r="A812" s="8" t="str">
        <f>IFERROR(__xludf.DUMMYFUNCTION("""COMPUTED_VALUE"""),"CA-2015-100545")</f>
        <v>CA-2015-100545</v>
      </c>
      <c r="B812" s="9">
        <f>IFERROR(__xludf.DUMMYFUNCTION("""COMPUTED_VALUE"""),42330.0)</f>
        <v>42330</v>
      </c>
      <c r="C812" s="8" t="str">
        <f>IFERROR(__xludf.DUMMYFUNCTION("""COMPUTED_VALUE"""),"Irene Maddox")</f>
        <v>Irene Maddox</v>
      </c>
      <c r="D812" s="8" t="str">
        <f>IFERROR(__xludf.DUMMYFUNCTION("""COMPUTED_VALUE"""),"Consumer")</f>
        <v>Consumer</v>
      </c>
      <c r="E812" s="8" t="str">
        <f>IFERROR(__xludf.DUMMYFUNCTION("""COMPUTED_VALUE"""),"East")</f>
        <v>East</v>
      </c>
      <c r="F812" s="10">
        <f>IFERROR(__xludf.DUMMYFUNCTION("""COMPUTED_VALUE"""),11.61)</f>
        <v>11.61</v>
      </c>
      <c r="G812" s="11">
        <f>IFERROR(__xludf.DUMMYFUNCTION("""COMPUTED_VALUE"""),2.0)</f>
        <v>2</v>
      </c>
      <c r="H812" s="11">
        <f>IFERROR(__xludf.DUMMYFUNCTION("""COMPUTED_VALUE"""),-9.288)</f>
        <v>-9.288</v>
      </c>
    </row>
    <row r="813">
      <c r="A813" s="8" t="str">
        <f>IFERROR(__xludf.DUMMYFUNCTION("""COMPUTED_VALUE"""),"CA-2015-100573")</f>
        <v>CA-2015-100573</v>
      </c>
      <c r="B813" s="9">
        <f>IFERROR(__xludf.DUMMYFUNCTION("""COMPUTED_VALUE"""),42272.0)</f>
        <v>42272</v>
      </c>
      <c r="C813" s="8" t="str">
        <f>IFERROR(__xludf.DUMMYFUNCTION("""COMPUTED_VALUE"""),"Anne McFarland")</f>
        <v>Anne McFarland</v>
      </c>
      <c r="D813" s="8" t="str">
        <f>IFERROR(__xludf.DUMMYFUNCTION("""COMPUTED_VALUE"""),"Consumer")</f>
        <v>Consumer</v>
      </c>
      <c r="E813" s="8" t="str">
        <f>IFERROR(__xludf.DUMMYFUNCTION("""COMPUTED_VALUE"""),"West")</f>
        <v>West</v>
      </c>
      <c r="F813" s="10">
        <f>IFERROR(__xludf.DUMMYFUNCTION("""COMPUTED_VALUE"""),17.48)</f>
        <v>17.48</v>
      </c>
      <c r="G813" s="11">
        <f>IFERROR(__xludf.DUMMYFUNCTION("""COMPUTED_VALUE"""),2.0)</f>
        <v>2</v>
      </c>
      <c r="H813" s="11">
        <f>IFERROR(__xludf.DUMMYFUNCTION("""COMPUTED_VALUE"""),8.2156)</f>
        <v>8.2156</v>
      </c>
    </row>
    <row r="814">
      <c r="A814" s="8" t="str">
        <f>IFERROR(__xludf.DUMMYFUNCTION("""COMPUTED_VALUE"""),"CA-2015-100657")</f>
        <v>CA-2015-100657</v>
      </c>
      <c r="B814" s="9">
        <f>IFERROR(__xludf.DUMMYFUNCTION("""COMPUTED_VALUE"""),42310.0)</f>
        <v>42310</v>
      </c>
      <c r="C814" s="8" t="str">
        <f>IFERROR(__xludf.DUMMYFUNCTION("""COMPUTED_VALUE"""),"Scot Wooten")</f>
        <v>Scot Wooten</v>
      </c>
      <c r="D814" s="8" t="str">
        <f>IFERROR(__xludf.DUMMYFUNCTION("""COMPUTED_VALUE"""),"Consumer")</f>
        <v>Consumer</v>
      </c>
      <c r="E814" s="8" t="str">
        <f>IFERROR(__xludf.DUMMYFUNCTION("""COMPUTED_VALUE"""),"East")</f>
        <v>East</v>
      </c>
      <c r="F814" s="10">
        <f>IFERROR(__xludf.DUMMYFUNCTION("""COMPUTED_VALUE"""),109.764)</f>
        <v>109.764</v>
      </c>
      <c r="G814" s="11">
        <f>IFERROR(__xludf.DUMMYFUNCTION("""COMPUTED_VALUE"""),2.0)</f>
        <v>2</v>
      </c>
      <c r="H814" s="11">
        <f>IFERROR(__xludf.DUMMYFUNCTION("""COMPUTED_VALUE"""),8.5372)</f>
        <v>8.5372</v>
      </c>
    </row>
    <row r="815">
      <c r="A815" s="8" t="str">
        <f>IFERROR(__xludf.DUMMYFUNCTION("""COMPUTED_VALUE"""),"CA-2015-100685")</f>
        <v>CA-2015-100685</v>
      </c>
      <c r="B815" s="9">
        <f>IFERROR(__xludf.DUMMYFUNCTION("""COMPUTED_VALUE"""),42357.0)</f>
        <v>42357</v>
      </c>
      <c r="C815" s="8" t="str">
        <f>IFERROR(__xludf.DUMMYFUNCTION("""COMPUTED_VALUE"""),"Suzanne McNair")</f>
        <v>Suzanne McNair</v>
      </c>
      <c r="D815" s="8" t="str">
        <f>IFERROR(__xludf.DUMMYFUNCTION("""COMPUTED_VALUE"""),"Corporate")</f>
        <v>Corporate</v>
      </c>
      <c r="E815" s="8" t="str">
        <f>IFERROR(__xludf.DUMMYFUNCTION("""COMPUTED_VALUE"""),"Central")</f>
        <v>Central</v>
      </c>
      <c r="F815" s="10">
        <f>IFERROR(__xludf.DUMMYFUNCTION("""COMPUTED_VALUE"""),7.04)</f>
        <v>7.04</v>
      </c>
      <c r="G815" s="11">
        <f>IFERROR(__xludf.DUMMYFUNCTION("""COMPUTED_VALUE"""),2.0)</f>
        <v>2</v>
      </c>
      <c r="H815" s="11">
        <f>IFERROR(__xludf.DUMMYFUNCTION("""COMPUTED_VALUE"""),3.3088)</f>
        <v>3.3088</v>
      </c>
    </row>
    <row r="816">
      <c r="A816" s="8" t="str">
        <f>IFERROR(__xludf.DUMMYFUNCTION("""COMPUTED_VALUE"""),"CA-2015-100734")</f>
        <v>CA-2015-100734</v>
      </c>
      <c r="B816" s="9">
        <f>IFERROR(__xludf.DUMMYFUNCTION("""COMPUTED_VALUE"""),42262.0)</f>
        <v>42262</v>
      </c>
      <c r="C816" s="8" t="str">
        <f>IFERROR(__xludf.DUMMYFUNCTION("""COMPUTED_VALUE"""),"Ann Chong")</f>
        <v>Ann Chong</v>
      </c>
      <c r="D816" s="8" t="str">
        <f>IFERROR(__xludf.DUMMYFUNCTION("""COMPUTED_VALUE"""),"Corporate")</f>
        <v>Corporate</v>
      </c>
      <c r="E816" s="8" t="str">
        <f>IFERROR(__xludf.DUMMYFUNCTION("""COMPUTED_VALUE"""),"East")</f>
        <v>East</v>
      </c>
      <c r="F816" s="10">
        <f>IFERROR(__xludf.DUMMYFUNCTION("""COMPUTED_VALUE"""),3.576)</f>
        <v>3.576</v>
      </c>
      <c r="G816" s="11">
        <f>IFERROR(__xludf.DUMMYFUNCTION("""COMPUTED_VALUE"""),4.0)</f>
        <v>4</v>
      </c>
      <c r="H816" s="11">
        <f>IFERROR(__xludf.DUMMYFUNCTION("""COMPUTED_VALUE"""),-2.8608)</f>
        <v>-2.8608</v>
      </c>
    </row>
    <row r="817">
      <c r="A817" s="8" t="str">
        <f>IFERROR(__xludf.DUMMYFUNCTION("""COMPUTED_VALUE"""),"CA-2015-100769")</f>
        <v>CA-2015-100769</v>
      </c>
      <c r="B817" s="9">
        <f>IFERROR(__xludf.DUMMYFUNCTION("""COMPUTED_VALUE"""),42140.0)</f>
        <v>42140</v>
      </c>
      <c r="C817" s="8" t="str">
        <f>IFERROR(__xludf.DUMMYFUNCTION("""COMPUTED_VALUE"""),"Tracy Hopkins")</f>
        <v>Tracy Hopkins</v>
      </c>
      <c r="D817" s="8" t="str">
        <f>IFERROR(__xludf.DUMMYFUNCTION("""COMPUTED_VALUE"""),"Home Office")</f>
        <v>Home Office</v>
      </c>
      <c r="E817" s="8" t="str">
        <f>IFERROR(__xludf.DUMMYFUNCTION("""COMPUTED_VALUE"""),"South")</f>
        <v>South</v>
      </c>
      <c r="F817" s="10">
        <f>IFERROR(__xludf.DUMMYFUNCTION("""COMPUTED_VALUE"""),255.968)</f>
        <v>255.968</v>
      </c>
      <c r="G817" s="11">
        <f>IFERROR(__xludf.DUMMYFUNCTION("""COMPUTED_VALUE"""),4.0)</f>
        <v>4</v>
      </c>
      <c r="H817" s="11">
        <f>IFERROR(__xludf.DUMMYFUNCTION("""COMPUTED_VALUE"""),31.996)</f>
        <v>31.996</v>
      </c>
    </row>
    <row r="818">
      <c r="A818" s="8" t="str">
        <f>IFERROR(__xludf.DUMMYFUNCTION("""COMPUTED_VALUE"""),"CA-2015-100818")</f>
        <v>CA-2015-100818</v>
      </c>
      <c r="B818" s="9">
        <f>IFERROR(__xludf.DUMMYFUNCTION("""COMPUTED_VALUE"""),42155.0)</f>
        <v>42155</v>
      </c>
      <c r="C818" s="8" t="str">
        <f>IFERROR(__xludf.DUMMYFUNCTION("""COMPUTED_VALUE"""),"Janet Molinari")</f>
        <v>Janet Molinari</v>
      </c>
      <c r="D818" s="8" t="str">
        <f>IFERROR(__xludf.DUMMYFUNCTION("""COMPUTED_VALUE"""),"Corporate")</f>
        <v>Corporate</v>
      </c>
      <c r="E818" s="8" t="str">
        <f>IFERROR(__xludf.DUMMYFUNCTION("""COMPUTED_VALUE"""),"Central")</f>
        <v>Central</v>
      </c>
      <c r="F818" s="10">
        <f>IFERROR(__xludf.DUMMYFUNCTION("""COMPUTED_VALUE"""),5.904)</f>
        <v>5.904</v>
      </c>
      <c r="G818" s="11">
        <f>IFERROR(__xludf.DUMMYFUNCTION("""COMPUTED_VALUE"""),2.0)</f>
        <v>2</v>
      </c>
      <c r="H818" s="11">
        <f>IFERROR(__xludf.DUMMYFUNCTION("""COMPUTED_VALUE"""),1.9926)</f>
        <v>1.9926</v>
      </c>
    </row>
    <row r="819">
      <c r="A819" s="8" t="str">
        <f>IFERROR(__xludf.DUMMYFUNCTION("""COMPUTED_VALUE"""),"CA-2015-100888")</f>
        <v>CA-2015-100888</v>
      </c>
      <c r="B819" s="9">
        <f>IFERROR(__xludf.DUMMYFUNCTION("""COMPUTED_VALUE"""),42100.0)</f>
        <v>42100</v>
      </c>
      <c r="C819" s="8" t="str">
        <f>IFERROR(__xludf.DUMMYFUNCTION("""COMPUTED_VALUE"""),"Mark Hamilton")</f>
        <v>Mark Hamilton</v>
      </c>
      <c r="D819" s="8" t="str">
        <f>IFERROR(__xludf.DUMMYFUNCTION("""COMPUTED_VALUE"""),"Consumer")</f>
        <v>Consumer</v>
      </c>
      <c r="E819" s="8" t="str">
        <f>IFERROR(__xludf.DUMMYFUNCTION("""COMPUTED_VALUE"""),"South")</f>
        <v>South</v>
      </c>
      <c r="F819" s="10">
        <f>IFERROR(__xludf.DUMMYFUNCTION("""COMPUTED_VALUE"""),47.952)</f>
        <v>47.952</v>
      </c>
      <c r="G819" s="11">
        <f>IFERROR(__xludf.DUMMYFUNCTION("""COMPUTED_VALUE"""),3.0)</f>
        <v>3</v>
      </c>
      <c r="H819" s="11">
        <f>IFERROR(__xludf.DUMMYFUNCTION("""COMPUTED_VALUE"""),16.1838)</f>
        <v>16.1838</v>
      </c>
    </row>
    <row r="820">
      <c r="A820" s="8" t="str">
        <f>IFERROR(__xludf.DUMMYFUNCTION("""COMPUTED_VALUE"""),"CA-2015-101000")</f>
        <v>CA-2015-101000</v>
      </c>
      <c r="B820" s="9">
        <f>IFERROR(__xludf.DUMMYFUNCTION("""COMPUTED_VALUE"""),42103.0)</f>
        <v>42103</v>
      </c>
      <c r="C820" s="8" t="str">
        <f>IFERROR(__xludf.DUMMYFUNCTION("""COMPUTED_VALUE"""),"Ivan Gibson")</f>
        <v>Ivan Gibson</v>
      </c>
      <c r="D820" s="8" t="str">
        <f>IFERROR(__xludf.DUMMYFUNCTION("""COMPUTED_VALUE"""),"Consumer")</f>
        <v>Consumer</v>
      </c>
      <c r="E820" s="8" t="str">
        <f>IFERROR(__xludf.DUMMYFUNCTION("""COMPUTED_VALUE"""),"East")</f>
        <v>East</v>
      </c>
      <c r="F820" s="10">
        <f>IFERROR(__xludf.DUMMYFUNCTION("""COMPUTED_VALUE"""),370.14)</f>
        <v>370.14</v>
      </c>
      <c r="G820" s="11">
        <f>IFERROR(__xludf.DUMMYFUNCTION("""COMPUTED_VALUE"""),3.0)</f>
        <v>3</v>
      </c>
      <c r="H820" s="11">
        <f>IFERROR(__xludf.DUMMYFUNCTION("""COMPUTED_VALUE"""),144.3546)</f>
        <v>144.3546</v>
      </c>
    </row>
    <row r="821">
      <c r="A821" s="8" t="str">
        <f>IFERROR(__xludf.DUMMYFUNCTION("""COMPUTED_VALUE"""),"CA-2015-101007")</f>
        <v>CA-2015-101007</v>
      </c>
      <c r="B821" s="9">
        <f>IFERROR(__xludf.DUMMYFUNCTION("""COMPUTED_VALUE"""),42044.0)</f>
        <v>42044</v>
      </c>
      <c r="C821" s="8" t="str">
        <f>IFERROR(__xludf.DUMMYFUNCTION("""COMPUTED_VALUE"""),"Michael Stewart")</f>
        <v>Michael Stewart</v>
      </c>
      <c r="D821" s="8" t="str">
        <f>IFERROR(__xludf.DUMMYFUNCTION("""COMPUTED_VALUE"""),"Corporate")</f>
        <v>Corporate</v>
      </c>
      <c r="E821" s="8" t="str">
        <f>IFERROR(__xludf.DUMMYFUNCTION("""COMPUTED_VALUE"""),"Central")</f>
        <v>Central</v>
      </c>
      <c r="F821" s="10">
        <f>IFERROR(__xludf.DUMMYFUNCTION("""COMPUTED_VALUE"""),20.8)</f>
        <v>20.8</v>
      </c>
      <c r="G821" s="11">
        <f>IFERROR(__xludf.DUMMYFUNCTION("""COMPUTED_VALUE"""),2.0)</f>
        <v>2</v>
      </c>
      <c r="H821" s="11">
        <f>IFERROR(__xludf.DUMMYFUNCTION("""COMPUTED_VALUE"""),6.5)</f>
        <v>6.5</v>
      </c>
    </row>
    <row r="822">
      <c r="A822" s="8" t="str">
        <f>IFERROR(__xludf.DUMMYFUNCTION("""COMPUTED_VALUE"""),"CA-2015-101091")</f>
        <v>CA-2015-101091</v>
      </c>
      <c r="B822" s="9">
        <f>IFERROR(__xludf.DUMMYFUNCTION("""COMPUTED_VALUE"""),42343.0)</f>
        <v>42343</v>
      </c>
      <c r="C822" s="8" t="str">
        <f>IFERROR(__xludf.DUMMYFUNCTION("""COMPUTED_VALUE"""),"Scot Wooten")</f>
        <v>Scot Wooten</v>
      </c>
      <c r="D822" s="8" t="str">
        <f>IFERROR(__xludf.DUMMYFUNCTION("""COMPUTED_VALUE"""),"Consumer")</f>
        <v>Consumer</v>
      </c>
      <c r="E822" s="8" t="str">
        <f>IFERROR(__xludf.DUMMYFUNCTION("""COMPUTED_VALUE"""),"East")</f>
        <v>East</v>
      </c>
      <c r="F822" s="10">
        <f>IFERROR(__xludf.DUMMYFUNCTION("""COMPUTED_VALUE"""),47.984)</f>
        <v>47.984</v>
      </c>
      <c r="G822" s="11">
        <f>IFERROR(__xludf.DUMMYFUNCTION("""COMPUTED_VALUE"""),2.0)</f>
        <v>2</v>
      </c>
      <c r="H822" s="11">
        <f>IFERROR(__xludf.DUMMYFUNCTION("""COMPUTED_VALUE"""),0.5998)</f>
        <v>0.5998</v>
      </c>
    </row>
    <row r="823">
      <c r="A823" s="8" t="str">
        <f>IFERROR(__xludf.DUMMYFUNCTION("""COMPUTED_VALUE"""),"CA-2015-101126")</f>
        <v>CA-2015-101126</v>
      </c>
      <c r="B823" s="9">
        <f>IFERROR(__xludf.DUMMYFUNCTION("""COMPUTED_VALUE"""),42045.0)</f>
        <v>42045</v>
      </c>
      <c r="C823" s="8" t="str">
        <f>IFERROR(__xludf.DUMMYFUNCTION("""COMPUTED_VALUE"""),"Nona Balk")</f>
        <v>Nona Balk</v>
      </c>
      <c r="D823" s="8" t="str">
        <f>IFERROR(__xludf.DUMMYFUNCTION("""COMPUTED_VALUE"""),"Corporate")</f>
        <v>Corporate</v>
      </c>
      <c r="E823" s="8" t="str">
        <f>IFERROR(__xludf.DUMMYFUNCTION("""COMPUTED_VALUE"""),"East")</f>
        <v>East</v>
      </c>
      <c r="F823" s="10">
        <f>IFERROR(__xludf.DUMMYFUNCTION("""COMPUTED_VALUE"""),77.24)</f>
        <v>77.24</v>
      </c>
      <c r="G823" s="11">
        <f>IFERROR(__xludf.DUMMYFUNCTION("""COMPUTED_VALUE"""),5.0)</f>
        <v>5</v>
      </c>
      <c r="H823" s="11">
        <f>IFERROR(__xludf.DUMMYFUNCTION("""COMPUTED_VALUE"""),7.724)</f>
        <v>7.724</v>
      </c>
    </row>
    <row r="824">
      <c r="A824" s="8" t="str">
        <f>IFERROR(__xludf.DUMMYFUNCTION("""COMPUTED_VALUE"""),"CA-2015-101154")</f>
        <v>CA-2015-101154</v>
      </c>
      <c r="B824" s="9">
        <f>IFERROR(__xludf.DUMMYFUNCTION("""COMPUTED_VALUE"""),42265.0)</f>
        <v>42265</v>
      </c>
      <c r="C824" s="8" t="str">
        <f>IFERROR(__xludf.DUMMYFUNCTION("""COMPUTED_VALUE"""),"Charlotte Melton")</f>
        <v>Charlotte Melton</v>
      </c>
      <c r="D824" s="8" t="str">
        <f>IFERROR(__xludf.DUMMYFUNCTION("""COMPUTED_VALUE"""),"Consumer")</f>
        <v>Consumer</v>
      </c>
      <c r="E824" s="8" t="str">
        <f>IFERROR(__xludf.DUMMYFUNCTION("""COMPUTED_VALUE"""),"West")</f>
        <v>West</v>
      </c>
      <c r="F824" s="10">
        <f>IFERROR(__xludf.DUMMYFUNCTION("""COMPUTED_VALUE"""),443.92)</f>
        <v>443.92</v>
      </c>
      <c r="G824" s="11">
        <f>IFERROR(__xludf.DUMMYFUNCTION("""COMPUTED_VALUE"""),4.0)</f>
        <v>4</v>
      </c>
      <c r="H824" s="11">
        <f>IFERROR(__xludf.DUMMYFUNCTION("""COMPUTED_VALUE"""),8.8784)</f>
        <v>8.8784</v>
      </c>
    </row>
    <row r="825">
      <c r="A825" s="8" t="str">
        <f>IFERROR(__xludf.DUMMYFUNCTION("""COMPUTED_VALUE"""),"CA-2015-101707")</f>
        <v>CA-2015-101707</v>
      </c>
      <c r="B825" s="9">
        <f>IFERROR(__xludf.DUMMYFUNCTION("""COMPUTED_VALUE"""),42243.0)</f>
        <v>42243</v>
      </c>
      <c r="C825" s="8" t="str">
        <f>IFERROR(__xludf.DUMMYFUNCTION("""COMPUTED_VALUE"""),"Philip Fox")</f>
        <v>Philip Fox</v>
      </c>
      <c r="D825" s="8" t="str">
        <f>IFERROR(__xludf.DUMMYFUNCTION("""COMPUTED_VALUE"""),"Consumer")</f>
        <v>Consumer</v>
      </c>
      <c r="E825" s="8" t="str">
        <f>IFERROR(__xludf.DUMMYFUNCTION("""COMPUTED_VALUE"""),"West")</f>
        <v>West</v>
      </c>
      <c r="F825" s="10">
        <f>IFERROR(__xludf.DUMMYFUNCTION("""COMPUTED_VALUE"""),32.94)</f>
        <v>32.94</v>
      </c>
      <c r="G825" s="11">
        <f>IFERROR(__xludf.DUMMYFUNCTION("""COMPUTED_VALUE"""),3.0)</f>
        <v>3</v>
      </c>
      <c r="H825" s="11">
        <f>IFERROR(__xludf.DUMMYFUNCTION("""COMPUTED_VALUE"""),9.2232)</f>
        <v>9.2232</v>
      </c>
    </row>
    <row r="826">
      <c r="A826" s="8" t="str">
        <f>IFERROR(__xludf.DUMMYFUNCTION("""COMPUTED_VALUE"""),"CA-2015-101868")</f>
        <v>CA-2015-101868</v>
      </c>
      <c r="B826" s="9">
        <f>IFERROR(__xludf.DUMMYFUNCTION("""COMPUTED_VALUE"""),42164.0)</f>
        <v>42164</v>
      </c>
      <c r="C826" s="8" t="str">
        <f>IFERROR(__xludf.DUMMYFUNCTION("""COMPUTED_VALUE"""),"Max Jones")</f>
        <v>Max Jones</v>
      </c>
      <c r="D826" s="8" t="str">
        <f>IFERROR(__xludf.DUMMYFUNCTION("""COMPUTED_VALUE"""),"Consumer")</f>
        <v>Consumer</v>
      </c>
      <c r="E826" s="8" t="str">
        <f>IFERROR(__xludf.DUMMYFUNCTION("""COMPUTED_VALUE"""),"South")</f>
        <v>South</v>
      </c>
      <c r="F826" s="10">
        <f>IFERROR(__xludf.DUMMYFUNCTION("""COMPUTED_VALUE"""),64.2)</f>
        <v>64.2</v>
      </c>
      <c r="G826" s="11">
        <f>IFERROR(__xludf.DUMMYFUNCTION("""COMPUTED_VALUE"""),5.0)</f>
        <v>5</v>
      </c>
      <c r="H826" s="11">
        <f>IFERROR(__xludf.DUMMYFUNCTION("""COMPUTED_VALUE"""),-42.8)</f>
        <v>-42.8</v>
      </c>
    </row>
    <row r="827">
      <c r="A827" s="8" t="str">
        <f>IFERROR(__xludf.DUMMYFUNCTION("""COMPUTED_VALUE"""),"CA-2015-101889")</f>
        <v>CA-2015-101889</v>
      </c>
      <c r="B827" s="9">
        <f>IFERROR(__xludf.DUMMYFUNCTION("""COMPUTED_VALUE"""),42365.0)</f>
        <v>42365</v>
      </c>
      <c r="C827" s="8" t="str">
        <f>IFERROR(__xludf.DUMMYFUNCTION("""COMPUTED_VALUE"""),"David Bremer")</f>
        <v>David Bremer</v>
      </c>
      <c r="D827" s="8" t="str">
        <f>IFERROR(__xludf.DUMMYFUNCTION("""COMPUTED_VALUE"""),"Corporate")</f>
        <v>Corporate</v>
      </c>
      <c r="E827" s="8" t="str">
        <f>IFERROR(__xludf.DUMMYFUNCTION("""COMPUTED_VALUE"""),"East")</f>
        <v>East</v>
      </c>
      <c r="F827" s="10">
        <f>IFERROR(__xludf.DUMMYFUNCTION("""COMPUTED_VALUE"""),1548.99)</f>
        <v>1548.99</v>
      </c>
      <c r="G827" s="11">
        <f>IFERROR(__xludf.DUMMYFUNCTION("""COMPUTED_VALUE"""),9.0)</f>
        <v>9</v>
      </c>
      <c r="H827" s="11">
        <f>IFERROR(__xludf.DUMMYFUNCTION("""COMPUTED_VALUE"""),-464.697)</f>
        <v>-464.697</v>
      </c>
    </row>
    <row r="828">
      <c r="A828" s="8" t="str">
        <f>IFERROR(__xludf.DUMMYFUNCTION("""COMPUTED_VALUE"""),"CA-2015-101910")</f>
        <v>CA-2015-101910</v>
      </c>
      <c r="B828" s="9">
        <f>IFERROR(__xludf.DUMMYFUNCTION("""COMPUTED_VALUE"""),42335.0)</f>
        <v>42335</v>
      </c>
      <c r="C828" s="8" t="str">
        <f>IFERROR(__xludf.DUMMYFUNCTION("""COMPUTED_VALUE"""),"Carlos Daly")</f>
        <v>Carlos Daly</v>
      </c>
      <c r="D828" s="8" t="str">
        <f>IFERROR(__xludf.DUMMYFUNCTION("""COMPUTED_VALUE"""),"Consumer")</f>
        <v>Consumer</v>
      </c>
      <c r="E828" s="8" t="str">
        <f>IFERROR(__xludf.DUMMYFUNCTION("""COMPUTED_VALUE"""),"West")</f>
        <v>West</v>
      </c>
      <c r="F828" s="10">
        <f>IFERROR(__xludf.DUMMYFUNCTION("""COMPUTED_VALUE"""),283.92)</f>
        <v>283.92</v>
      </c>
      <c r="G828" s="11">
        <f>IFERROR(__xludf.DUMMYFUNCTION("""COMPUTED_VALUE"""),5.0)</f>
        <v>5</v>
      </c>
      <c r="H828" s="11">
        <f>IFERROR(__xludf.DUMMYFUNCTION("""COMPUTED_VALUE"""),17.745)</f>
        <v>17.745</v>
      </c>
    </row>
    <row r="829">
      <c r="A829" s="8" t="str">
        <f>IFERROR(__xludf.DUMMYFUNCTION("""COMPUTED_VALUE"""),"CA-2015-101924")</f>
        <v>CA-2015-101924</v>
      </c>
      <c r="B829" s="9">
        <f>IFERROR(__xludf.DUMMYFUNCTION("""COMPUTED_VALUE"""),42251.0)</f>
        <v>42251</v>
      </c>
      <c r="C829" s="8" t="str">
        <f>IFERROR(__xludf.DUMMYFUNCTION("""COMPUTED_VALUE"""),"Ken Black")</f>
        <v>Ken Black</v>
      </c>
      <c r="D829" s="8" t="str">
        <f>IFERROR(__xludf.DUMMYFUNCTION("""COMPUTED_VALUE"""),"Corporate")</f>
        <v>Corporate</v>
      </c>
      <c r="E829" s="8" t="str">
        <f>IFERROR(__xludf.DUMMYFUNCTION("""COMPUTED_VALUE"""),"West")</f>
        <v>West</v>
      </c>
      <c r="F829" s="10">
        <f>IFERROR(__xludf.DUMMYFUNCTION("""COMPUTED_VALUE"""),9.762)</f>
        <v>9.762</v>
      </c>
      <c r="G829" s="11">
        <f>IFERROR(__xludf.DUMMYFUNCTION("""COMPUTED_VALUE"""),2.0)</f>
        <v>2</v>
      </c>
      <c r="H829" s="11">
        <f>IFERROR(__xludf.DUMMYFUNCTION("""COMPUTED_VALUE"""),-6.8334)</f>
        <v>-6.8334</v>
      </c>
    </row>
    <row r="830">
      <c r="A830" s="8" t="str">
        <f>IFERROR(__xludf.DUMMYFUNCTION("""COMPUTED_VALUE"""),"CA-2015-102015")</f>
        <v>CA-2015-102015</v>
      </c>
      <c r="B830" s="9">
        <f>IFERROR(__xludf.DUMMYFUNCTION("""COMPUTED_VALUE"""),42259.0)</f>
        <v>42259</v>
      </c>
      <c r="C830" s="8" t="str">
        <f>IFERROR(__xludf.DUMMYFUNCTION("""COMPUTED_VALUE"""),"Tamara Manning")</f>
        <v>Tamara Manning</v>
      </c>
      <c r="D830" s="8" t="str">
        <f>IFERROR(__xludf.DUMMYFUNCTION("""COMPUTED_VALUE"""),"Consumer")</f>
        <v>Consumer</v>
      </c>
      <c r="E830" s="8" t="str">
        <f>IFERROR(__xludf.DUMMYFUNCTION("""COMPUTED_VALUE"""),"East")</f>
        <v>East</v>
      </c>
      <c r="F830" s="10">
        <f>IFERROR(__xludf.DUMMYFUNCTION("""COMPUTED_VALUE"""),9.26)</f>
        <v>9.26</v>
      </c>
      <c r="G830" s="11">
        <f>IFERROR(__xludf.DUMMYFUNCTION("""COMPUTED_VALUE"""),2.0)</f>
        <v>2</v>
      </c>
      <c r="H830" s="11">
        <f>IFERROR(__xludf.DUMMYFUNCTION("""COMPUTED_VALUE"""),3.0558)</f>
        <v>3.0558</v>
      </c>
    </row>
    <row r="831">
      <c r="A831" s="8" t="str">
        <f>IFERROR(__xludf.DUMMYFUNCTION("""COMPUTED_VALUE"""),"CA-2015-102036")</f>
        <v>CA-2015-102036</v>
      </c>
      <c r="B831" s="9">
        <f>IFERROR(__xludf.DUMMYFUNCTION("""COMPUTED_VALUE"""),42268.0)</f>
        <v>42268</v>
      </c>
      <c r="C831" s="8" t="str">
        <f>IFERROR(__xludf.DUMMYFUNCTION("""COMPUTED_VALUE"""),"Chad Sievert")</f>
        <v>Chad Sievert</v>
      </c>
      <c r="D831" s="8" t="str">
        <f>IFERROR(__xludf.DUMMYFUNCTION("""COMPUTED_VALUE"""),"Consumer")</f>
        <v>Consumer</v>
      </c>
      <c r="E831" s="8" t="str">
        <f>IFERROR(__xludf.DUMMYFUNCTION("""COMPUTED_VALUE"""),"West")</f>
        <v>West</v>
      </c>
      <c r="F831" s="10">
        <f>IFERROR(__xludf.DUMMYFUNCTION("""COMPUTED_VALUE"""),199.74)</f>
        <v>199.74</v>
      </c>
      <c r="G831" s="11">
        <f>IFERROR(__xludf.DUMMYFUNCTION("""COMPUTED_VALUE"""),6.0)</f>
        <v>6</v>
      </c>
      <c r="H831" s="11">
        <f>IFERROR(__xludf.DUMMYFUNCTION("""COMPUTED_VALUE"""),47.9376)</f>
        <v>47.9376</v>
      </c>
    </row>
    <row r="832">
      <c r="A832" s="8" t="str">
        <f>IFERROR(__xludf.DUMMYFUNCTION("""COMPUTED_VALUE"""),"CA-2015-102260")</f>
        <v>CA-2015-102260</v>
      </c>
      <c r="B832" s="9">
        <f>IFERROR(__xludf.DUMMYFUNCTION("""COMPUTED_VALUE"""),42269.0)</f>
        <v>42269</v>
      </c>
      <c r="C832" s="8" t="str">
        <f>IFERROR(__xludf.DUMMYFUNCTION("""COMPUTED_VALUE"""),"Sanjit Jacobs")</f>
        <v>Sanjit Jacobs</v>
      </c>
      <c r="D832" s="8" t="str">
        <f>IFERROR(__xludf.DUMMYFUNCTION("""COMPUTED_VALUE"""),"Home Office")</f>
        <v>Home Office</v>
      </c>
      <c r="E832" s="8" t="str">
        <f>IFERROR(__xludf.DUMMYFUNCTION("""COMPUTED_VALUE"""),"South")</f>
        <v>South</v>
      </c>
      <c r="F832" s="10">
        <f>IFERROR(__xludf.DUMMYFUNCTION("""COMPUTED_VALUE"""),12.0)</f>
        <v>12</v>
      </c>
      <c r="G832" s="11">
        <f>IFERROR(__xludf.DUMMYFUNCTION("""COMPUTED_VALUE"""),4.0)</f>
        <v>4</v>
      </c>
      <c r="H832" s="11">
        <f>IFERROR(__xludf.DUMMYFUNCTION("""COMPUTED_VALUE"""),4.2)</f>
        <v>4.2</v>
      </c>
    </row>
    <row r="833">
      <c r="A833" s="8" t="str">
        <f>IFERROR(__xludf.DUMMYFUNCTION("""COMPUTED_VALUE"""),"CA-2015-102281")</f>
        <v>CA-2015-102281</v>
      </c>
      <c r="B833" s="9">
        <f>IFERROR(__xludf.DUMMYFUNCTION("""COMPUTED_VALUE"""),42289.0)</f>
        <v>42289</v>
      </c>
      <c r="C833" s="8" t="str">
        <f>IFERROR(__xludf.DUMMYFUNCTION("""COMPUTED_VALUE"""),"Mark Packer")</f>
        <v>Mark Packer</v>
      </c>
      <c r="D833" s="8" t="str">
        <f>IFERROR(__xludf.DUMMYFUNCTION("""COMPUTED_VALUE"""),"Home Office")</f>
        <v>Home Office</v>
      </c>
      <c r="E833" s="8" t="str">
        <f>IFERROR(__xludf.DUMMYFUNCTION("""COMPUTED_VALUE"""),"East")</f>
        <v>East</v>
      </c>
      <c r="F833" s="10">
        <f>IFERROR(__xludf.DUMMYFUNCTION("""COMPUTED_VALUE"""),899.136)</f>
        <v>899.136</v>
      </c>
      <c r="G833" s="11">
        <f>IFERROR(__xludf.DUMMYFUNCTION("""COMPUTED_VALUE"""),4.0)</f>
        <v>4</v>
      </c>
      <c r="H833" s="11">
        <f>IFERROR(__xludf.DUMMYFUNCTION("""COMPUTED_VALUE"""),112.392)</f>
        <v>112.392</v>
      </c>
    </row>
    <row r="834">
      <c r="A834" s="8" t="str">
        <f>IFERROR(__xludf.DUMMYFUNCTION("""COMPUTED_VALUE"""),"CA-2015-102316")</f>
        <v>CA-2015-102316</v>
      </c>
      <c r="B834" s="9">
        <f>IFERROR(__xludf.DUMMYFUNCTION("""COMPUTED_VALUE"""),42064.0)</f>
        <v>42064</v>
      </c>
      <c r="C834" s="8" t="str">
        <f>IFERROR(__xludf.DUMMYFUNCTION("""COMPUTED_VALUE"""),"Dave Hallsten")</f>
        <v>Dave Hallsten</v>
      </c>
      <c r="D834" s="8" t="str">
        <f>IFERROR(__xludf.DUMMYFUNCTION("""COMPUTED_VALUE"""),"Corporate")</f>
        <v>Corporate</v>
      </c>
      <c r="E834" s="8" t="str">
        <f>IFERROR(__xludf.DUMMYFUNCTION("""COMPUTED_VALUE"""),"West")</f>
        <v>West</v>
      </c>
      <c r="F834" s="10">
        <f>IFERROR(__xludf.DUMMYFUNCTION("""COMPUTED_VALUE"""),15.984)</f>
        <v>15.984</v>
      </c>
      <c r="G834" s="11">
        <f>IFERROR(__xludf.DUMMYFUNCTION("""COMPUTED_VALUE"""),2.0)</f>
        <v>2</v>
      </c>
      <c r="H834" s="11">
        <f>IFERROR(__xludf.DUMMYFUNCTION("""COMPUTED_VALUE"""),1.1988)</f>
        <v>1.1988</v>
      </c>
    </row>
    <row r="835">
      <c r="A835" s="8" t="str">
        <f>IFERROR(__xludf.DUMMYFUNCTION("""COMPUTED_VALUE"""),"CA-2015-102491")</f>
        <v>CA-2015-102491</v>
      </c>
      <c r="B835" s="9">
        <f>IFERROR(__xludf.DUMMYFUNCTION("""COMPUTED_VALUE"""),42240.0)</f>
        <v>42240</v>
      </c>
      <c r="C835" s="8" t="str">
        <f>IFERROR(__xludf.DUMMYFUNCTION("""COMPUTED_VALUE"""),"Katrina Willman")</f>
        <v>Katrina Willman</v>
      </c>
      <c r="D835" s="8" t="str">
        <f>IFERROR(__xludf.DUMMYFUNCTION("""COMPUTED_VALUE"""),"Consumer")</f>
        <v>Consumer</v>
      </c>
      <c r="E835" s="8" t="str">
        <f>IFERROR(__xludf.DUMMYFUNCTION("""COMPUTED_VALUE"""),"South")</f>
        <v>South</v>
      </c>
      <c r="F835" s="10">
        <f>IFERROR(__xludf.DUMMYFUNCTION("""COMPUTED_VALUE"""),3080.0)</f>
        <v>3080</v>
      </c>
      <c r="G835" s="11">
        <f>IFERROR(__xludf.DUMMYFUNCTION("""COMPUTED_VALUE"""),7.0)</f>
        <v>7</v>
      </c>
      <c r="H835" s="11">
        <f>IFERROR(__xludf.DUMMYFUNCTION("""COMPUTED_VALUE"""),1416.8)</f>
        <v>1416.8</v>
      </c>
    </row>
    <row r="836">
      <c r="A836" s="8" t="str">
        <f>IFERROR(__xludf.DUMMYFUNCTION("""COMPUTED_VALUE"""),"CA-2015-102582")</f>
        <v>CA-2015-102582</v>
      </c>
      <c r="B836" s="9">
        <f>IFERROR(__xludf.DUMMYFUNCTION("""COMPUTED_VALUE"""),42262.0)</f>
        <v>42262</v>
      </c>
      <c r="C836" s="8" t="str">
        <f>IFERROR(__xludf.DUMMYFUNCTION("""COMPUTED_VALUE"""),"Natalie Webber")</f>
        <v>Natalie Webber</v>
      </c>
      <c r="D836" s="8" t="str">
        <f>IFERROR(__xludf.DUMMYFUNCTION("""COMPUTED_VALUE"""),"Consumer")</f>
        <v>Consumer</v>
      </c>
      <c r="E836" s="8" t="str">
        <f>IFERROR(__xludf.DUMMYFUNCTION("""COMPUTED_VALUE"""),"South")</f>
        <v>South</v>
      </c>
      <c r="F836" s="10">
        <f>IFERROR(__xludf.DUMMYFUNCTION("""COMPUTED_VALUE"""),801.96)</f>
        <v>801.96</v>
      </c>
      <c r="G836" s="11">
        <f>IFERROR(__xludf.DUMMYFUNCTION("""COMPUTED_VALUE"""),2.0)</f>
        <v>2</v>
      </c>
      <c r="H836" s="11">
        <f>IFERROR(__xludf.DUMMYFUNCTION("""COMPUTED_VALUE"""),200.49)</f>
        <v>200.49</v>
      </c>
    </row>
    <row r="837">
      <c r="A837" s="8" t="str">
        <f>IFERROR(__xludf.DUMMYFUNCTION("""COMPUTED_VALUE"""),"CA-2015-102722")</f>
        <v>CA-2015-102722</v>
      </c>
      <c r="B837" s="9">
        <f>IFERROR(__xludf.DUMMYFUNCTION("""COMPUTED_VALUE"""),42112.0)</f>
        <v>42112</v>
      </c>
      <c r="C837" s="8" t="str">
        <f>IFERROR(__xludf.DUMMYFUNCTION("""COMPUTED_VALUE"""),"Kelly Williams")</f>
        <v>Kelly Williams</v>
      </c>
      <c r="D837" s="8" t="str">
        <f>IFERROR(__xludf.DUMMYFUNCTION("""COMPUTED_VALUE"""),"Consumer")</f>
        <v>Consumer</v>
      </c>
      <c r="E837" s="8" t="str">
        <f>IFERROR(__xludf.DUMMYFUNCTION("""COMPUTED_VALUE"""),"South")</f>
        <v>South</v>
      </c>
      <c r="F837" s="10">
        <f>IFERROR(__xludf.DUMMYFUNCTION("""COMPUTED_VALUE"""),106.5)</f>
        <v>106.5</v>
      </c>
      <c r="G837" s="11">
        <f>IFERROR(__xludf.DUMMYFUNCTION("""COMPUTED_VALUE"""),6.0)</f>
        <v>6</v>
      </c>
      <c r="H837" s="11">
        <f>IFERROR(__xludf.DUMMYFUNCTION("""COMPUTED_VALUE"""),41.535)</f>
        <v>41.535</v>
      </c>
    </row>
    <row r="838">
      <c r="A838" s="8" t="str">
        <f>IFERROR(__xludf.DUMMYFUNCTION("""COMPUTED_VALUE"""),"CA-2015-102778")</f>
        <v>CA-2015-102778</v>
      </c>
      <c r="B838" s="9">
        <f>IFERROR(__xludf.DUMMYFUNCTION("""COMPUTED_VALUE"""),42329.0)</f>
        <v>42329</v>
      </c>
      <c r="C838" s="8" t="str">
        <f>IFERROR(__xludf.DUMMYFUNCTION("""COMPUTED_VALUE"""),"John Huston")</f>
        <v>John Huston</v>
      </c>
      <c r="D838" s="8" t="str">
        <f>IFERROR(__xludf.DUMMYFUNCTION("""COMPUTED_VALUE"""),"Consumer")</f>
        <v>Consumer</v>
      </c>
      <c r="E838" s="8" t="str">
        <f>IFERROR(__xludf.DUMMYFUNCTION("""COMPUTED_VALUE"""),"South")</f>
        <v>South</v>
      </c>
      <c r="F838" s="10">
        <f>IFERROR(__xludf.DUMMYFUNCTION("""COMPUTED_VALUE"""),18.176)</f>
        <v>18.176</v>
      </c>
      <c r="G838" s="11">
        <f>IFERROR(__xludf.DUMMYFUNCTION("""COMPUTED_VALUE"""),1.0)</f>
        <v>1</v>
      </c>
      <c r="H838" s="11">
        <f>IFERROR(__xludf.DUMMYFUNCTION("""COMPUTED_VALUE"""),4.7712)</f>
        <v>4.7712</v>
      </c>
    </row>
    <row r="839">
      <c r="A839" s="8" t="str">
        <f>IFERROR(__xludf.DUMMYFUNCTION("""COMPUTED_VALUE"""),"CA-2015-102806")</f>
        <v>CA-2015-102806</v>
      </c>
      <c r="B839" s="9">
        <f>IFERROR(__xludf.DUMMYFUNCTION("""COMPUTED_VALUE"""),42145.0)</f>
        <v>42145</v>
      </c>
      <c r="C839" s="8" t="str">
        <f>IFERROR(__xludf.DUMMYFUNCTION("""COMPUTED_VALUE"""),"Henry Goldwyn")</f>
        <v>Henry Goldwyn</v>
      </c>
      <c r="D839" s="8" t="str">
        <f>IFERROR(__xludf.DUMMYFUNCTION("""COMPUTED_VALUE"""),"Corporate")</f>
        <v>Corporate</v>
      </c>
      <c r="E839" s="8" t="str">
        <f>IFERROR(__xludf.DUMMYFUNCTION("""COMPUTED_VALUE"""),"East")</f>
        <v>East</v>
      </c>
      <c r="F839" s="10">
        <f>IFERROR(__xludf.DUMMYFUNCTION("""COMPUTED_VALUE"""),24.588)</f>
        <v>24.588</v>
      </c>
      <c r="G839" s="11">
        <f>IFERROR(__xludf.DUMMYFUNCTION("""COMPUTED_VALUE"""),2.0)</f>
        <v>2</v>
      </c>
      <c r="H839" s="11">
        <f>IFERROR(__xludf.DUMMYFUNCTION("""COMPUTED_VALUE"""),-18.0312)</f>
        <v>-18.0312</v>
      </c>
    </row>
    <row r="840">
      <c r="A840" s="8" t="str">
        <f>IFERROR(__xludf.DUMMYFUNCTION("""COMPUTED_VALUE"""),"CA-2015-102848")</f>
        <v>CA-2015-102848</v>
      </c>
      <c r="B840" s="9">
        <f>IFERROR(__xludf.DUMMYFUNCTION("""COMPUTED_VALUE"""),42315.0)</f>
        <v>42315</v>
      </c>
      <c r="C840" s="8" t="str">
        <f>IFERROR(__xludf.DUMMYFUNCTION("""COMPUTED_VALUE"""),"Karen Bern")</f>
        <v>Karen Bern</v>
      </c>
      <c r="D840" s="8" t="str">
        <f>IFERROR(__xludf.DUMMYFUNCTION("""COMPUTED_VALUE"""),"Corporate")</f>
        <v>Corporate</v>
      </c>
      <c r="E840" s="8" t="str">
        <f>IFERROR(__xludf.DUMMYFUNCTION("""COMPUTED_VALUE"""),"West")</f>
        <v>West</v>
      </c>
      <c r="F840" s="10">
        <f>IFERROR(__xludf.DUMMYFUNCTION("""COMPUTED_VALUE"""),190.72)</f>
        <v>190.72</v>
      </c>
      <c r="G840" s="11">
        <f>IFERROR(__xludf.DUMMYFUNCTION("""COMPUTED_VALUE"""),1.0)</f>
        <v>1</v>
      </c>
      <c r="H840" s="11">
        <f>IFERROR(__xludf.DUMMYFUNCTION("""COMPUTED_VALUE"""),11.92)</f>
        <v>11.92</v>
      </c>
    </row>
    <row r="841">
      <c r="A841" s="8" t="str">
        <f>IFERROR(__xludf.DUMMYFUNCTION("""COMPUTED_VALUE"""),"CA-2015-102855")</f>
        <v>CA-2015-102855</v>
      </c>
      <c r="B841" s="9">
        <f>IFERROR(__xludf.DUMMYFUNCTION("""COMPUTED_VALUE"""),42099.0)</f>
        <v>42099</v>
      </c>
      <c r="C841" s="8" t="str">
        <f>IFERROR(__xludf.DUMMYFUNCTION("""COMPUTED_VALUE"""),"Jennifer Ferguson")</f>
        <v>Jennifer Ferguson</v>
      </c>
      <c r="D841" s="8" t="str">
        <f>IFERROR(__xludf.DUMMYFUNCTION("""COMPUTED_VALUE"""),"Consumer")</f>
        <v>Consumer</v>
      </c>
      <c r="E841" s="8" t="str">
        <f>IFERROR(__xludf.DUMMYFUNCTION("""COMPUTED_VALUE"""),"West")</f>
        <v>West</v>
      </c>
      <c r="F841" s="10">
        <f>IFERROR(__xludf.DUMMYFUNCTION("""COMPUTED_VALUE"""),239.94)</f>
        <v>239.94</v>
      </c>
      <c r="G841" s="11">
        <f>IFERROR(__xludf.DUMMYFUNCTION("""COMPUTED_VALUE"""),6.0)</f>
        <v>6</v>
      </c>
      <c r="H841" s="11">
        <f>IFERROR(__xludf.DUMMYFUNCTION("""COMPUTED_VALUE"""),26.3934)</f>
        <v>26.3934</v>
      </c>
    </row>
    <row r="842">
      <c r="A842" s="8" t="str">
        <f>IFERROR(__xludf.DUMMYFUNCTION("""COMPUTED_VALUE"""),"CA-2015-102876")</f>
        <v>CA-2015-102876</v>
      </c>
      <c r="B842" s="9">
        <f>IFERROR(__xludf.DUMMYFUNCTION("""COMPUTED_VALUE"""),42254.0)</f>
        <v>42254</v>
      </c>
      <c r="C842" s="8" t="str">
        <f>IFERROR(__xludf.DUMMYFUNCTION("""COMPUTED_VALUE"""),"Lisa Ryan")</f>
        <v>Lisa Ryan</v>
      </c>
      <c r="D842" s="8" t="str">
        <f>IFERROR(__xludf.DUMMYFUNCTION("""COMPUTED_VALUE"""),"Corporate")</f>
        <v>Corporate</v>
      </c>
      <c r="E842" s="8" t="str">
        <f>IFERROR(__xludf.DUMMYFUNCTION("""COMPUTED_VALUE"""),"East")</f>
        <v>East</v>
      </c>
      <c r="F842" s="10">
        <f>IFERROR(__xludf.DUMMYFUNCTION("""COMPUTED_VALUE"""),9.522)</f>
        <v>9.522</v>
      </c>
      <c r="G842" s="11">
        <f>IFERROR(__xludf.DUMMYFUNCTION("""COMPUTED_VALUE"""),1.0)</f>
        <v>1</v>
      </c>
      <c r="H842" s="11">
        <f>IFERROR(__xludf.DUMMYFUNCTION("""COMPUTED_VALUE"""),-6.9828)</f>
        <v>-6.9828</v>
      </c>
    </row>
    <row r="843">
      <c r="A843" s="8" t="str">
        <f>IFERROR(__xludf.DUMMYFUNCTION("""COMPUTED_VALUE"""),"CA-2015-103072")</f>
        <v>CA-2015-103072</v>
      </c>
      <c r="B843" s="9">
        <f>IFERROR(__xludf.DUMMYFUNCTION("""COMPUTED_VALUE"""),42274.0)</f>
        <v>42274</v>
      </c>
      <c r="C843" s="8" t="str">
        <f>IFERROR(__xludf.DUMMYFUNCTION("""COMPUTED_VALUE"""),"Helen Wasserman")</f>
        <v>Helen Wasserman</v>
      </c>
      <c r="D843" s="8" t="str">
        <f>IFERROR(__xludf.DUMMYFUNCTION("""COMPUTED_VALUE"""),"Corporate")</f>
        <v>Corporate</v>
      </c>
      <c r="E843" s="8" t="str">
        <f>IFERROR(__xludf.DUMMYFUNCTION("""COMPUTED_VALUE"""),"Central")</f>
        <v>Central</v>
      </c>
      <c r="F843" s="10">
        <f>IFERROR(__xludf.DUMMYFUNCTION("""COMPUTED_VALUE"""),16.4)</f>
        <v>16.4</v>
      </c>
      <c r="G843" s="11">
        <f>IFERROR(__xludf.DUMMYFUNCTION("""COMPUTED_VALUE"""),5.0)</f>
        <v>5</v>
      </c>
      <c r="H843" s="11">
        <f>IFERROR(__xludf.DUMMYFUNCTION("""COMPUTED_VALUE"""),4.756)</f>
        <v>4.756</v>
      </c>
    </row>
    <row r="844">
      <c r="A844" s="8" t="str">
        <f>IFERROR(__xludf.DUMMYFUNCTION("""COMPUTED_VALUE"""),"CA-2015-103093")</f>
        <v>CA-2015-103093</v>
      </c>
      <c r="B844" s="9">
        <f>IFERROR(__xludf.DUMMYFUNCTION("""COMPUTED_VALUE"""),42038.0)</f>
        <v>42038</v>
      </c>
      <c r="C844" s="8" t="str">
        <f>IFERROR(__xludf.DUMMYFUNCTION("""COMPUTED_VALUE"""),"Frank Olsen")</f>
        <v>Frank Olsen</v>
      </c>
      <c r="D844" s="8" t="str">
        <f>IFERROR(__xludf.DUMMYFUNCTION("""COMPUTED_VALUE"""),"Consumer")</f>
        <v>Consumer</v>
      </c>
      <c r="E844" s="8" t="str">
        <f>IFERROR(__xludf.DUMMYFUNCTION("""COMPUTED_VALUE"""),"South")</f>
        <v>South</v>
      </c>
      <c r="F844" s="10">
        <f>IFERROR(__xludf.DUMMYFUNCTION("""COMPUTED_VALUE"""),74.52)</f>
        <v>74.52</v>
      </c>
      <c r="G844" s="11">
        <f>IFERROR(__xludf.DUMMYFUNCTION("""COMPUTED_VALUE"""),9.0)</f>
        <v>9</v>
      </c>
      <c r="H844" s="11">
        <f>IFERROR(__xludf.DUMMYFUNCTION("""COMPUTED_VALUE"""),35.0244)</f>
        <v>35.0244</v>
      </c>
    </row>
    <row r="845">
      <c r="A845" s="8" t="str">
        <f>IFERROR(__xludf.DUMMYFUNCTION("""COMPUTED_VALUE"""),"CA-2015-103135")</f>
        <v>CA-2015-103135</v>
      </c>
      <c r="B845" s="9">
        <f>IFERROR(__xludf.DUMMYFUNCTION("""COMPUTED_VALUE"""),42209.0)</f>
        <v>42209</v>
      </c>
      <c r="C845" s="8" t="str">
        <f>IFERROR(__xludf.DUMMYFUNCTION("""COMPUTED_VALUE"""),"Shirley Schmidt")</f>
        <v>Shirley Schmidt</v>
      </c>
      <c r="D845" s="8" t="str">
        <f>IFERROR(__xludf.DUMMYFUNCTION("""COMPUTED_VALUE"""),"Home Office")</f>
        <v>Home Office</v>
      </c>
      <c r="E845" s="8" t="str">
        <f>IFERROR(__xludf.DUMMYFUNCTION("""COMPUTED_VALUE"""),"South")</f>
        <v>South</v>
      </c>
      <c r="F845" s="10">
        <f>IFERROR(__xludf.DUMMYFUNCTION("""COMPUTED_VALUE"""),20.94)</f>
        <v>20.94</v>
      </c>
      <c r="G845" s="11">
        <f>IFERROR(__xludf.DUMMYFUNCTION("""COMPUTED_VALUE"""),3.0)</f>
        <v>3</v>
      </c>
      <c r="H845" s="11">
        <f>IFERROR(__xludf.DUMMYFUNCTION("""COMPUTED_VALUE"""),6.0726)</f>
        <v>6.0726</v>
      </c>
    </row>
    <row r="846">
      <c r="A846" s="8" t="str">
        <f>IFERROR(__xludf.DUMMYFUNCTION("""COMPUTED_VALUE"""),"CA-2015-103177")</f>
        <v>CA-2015-103177</v>
      </c>
      <c r="B846" s="9">
        <f>IFERROR(__xludf.DUMMYFUNCTION("""COMPUTED_VALUE"""),42154.0)</f>
        <v>42154</v>
      </c>
      <c r="C846" s="8" t="str">
        <f>IFERROR(__xludf.DUMMYFUNCTION("""COMPUTED_VALUE"""),"Edward Nazzal")</f>
        <v>Edward Nazzal</v>
      </c>
      <c r="D846" s="8" t="str">
        <f>IFERROR(__xludf.DUMMYFUNCTION("""COMPUTED_VALUE"""),"Consumer")</f>
        <v>Consumer</v>
      </c>
      <c r="E846" s="8" t="str">
        <f>IFERROR(__xludf.DUMMYFUNCTION("""COMPUTED_VALUE"""),"East")</f>
        <v>East</v>
      </c>
      <c r="F846" s="10">
        <f>IFERROR(__xludf.DUMMYFUNCTION("""COMPUTED_VALUE"""),239.97)</f>
        <v>239.97</v>
      </c>
      <c r="G846" s="11">
        <f>IFERROR(__xludf.DUMMYFUNCTION("""COMPUTED_VALUE"""),3.0)</f>
        <v>3</v>
      </c>
      <c r="H846" s="11">
        <f>IFERROR(__xludf.DUMMYFUNCTION("""COMPUTED_VALUE"""),2.3997)</f>
        <v>2.3997</v>
      </c>
    </row>
    <row r="847">
      <c r="A847" s="8" t="str">
        <f>IFERROR(__xludf.DUMMYFUNCTION("""COMPUTED_VALUE"""),"CA-2015-103205")</f>
        <v>CA-2015-103205</v>
      </c>
      <c r="B847" s="9">
        <f>IFERROR(__xludf.DUMMYFUNCTION("""COMPUTED_VALUE"""),42346.0)</f>
        <v>42346</v>
      </c>
      <c r="C847" s="8" t="str">
        <f>IFERROR(__xludf.DUMMYFUNCTION("""COMPUTED_VALUE"""),"Joel Jenkins")</f>
        <v>Joel Jenkins</v>
      </c>
      <c r="D847" s="8" t="str">
        <f>IFERROR(__xludf.DUMMYFUNCTION("""COMPUTED_VALUE"""),"Home Office")</f>
        <v>Home Office</v>
      </c>
      <c r="E847" s="8" t="str">
        <f>IFERROR(__xludf.DUMMYFUNCTION("""COMPUTED_VALUE"""),"Central")</f>
        <v>Central</v>
      </c>
      <c r="F847" s="10">
        <f>IFERROR(__xludf.DUMMYFUNCTION("""COMPUTED_VALUE"""),119.96)</f>
        <v>119.96</v>
      </c>
      <c r="G847" s="11">
        <f>IFERROR(__xludf.DUMMYFUNCTION("""COMPUTED_VALUE"""),5.0)</f>
        <v>5</v>
      </c>
      <c r="H847" s="11">
        <f>IFERROR(__xludf.DUMMYFUNCTION("""COMPUTED_VALUE"""),11.996)</f>
        <v>11.996</v>
      </c>
    </row>
    <row r="848">
      <c r="A848" s="8" t="str">
        <f>IFERROR(__xludf.DUMMYFUNCTION("""COMPUTED_VALUE"""),"CA-2015-103716")</f>
        <v>CA-2015-103716</v>
      </c>
      <c r="B848" s="9">
        <f>IFERROR(__xludf.DUMMYFUNCTION("""COMPUTED_VALUE"""),42124.0)</f>
        <v>42124</v>
      </c>
      <c r="C848" s="8" t="str">
        <f>IFERROR(__xludf.DUMMYFUNCTION("""COMPUTED_VALUE"""),"Ken Black")</f>
        <v>Ken Black</v>
      </c>
      <c r="D848" s="8" t="str">
        <f>IFERROR(__xludf.DUMMYFUNCTION("""COMPUTED_VALUE"""),"Corporate")</f>
        <v>Corporate</v>
      </c>
      <c r="E848" s="8" t="str">
        <f>IFERROR(__xludf.DUMMYFUNCTION("""COMPUTED_VALUE"""),"West")</f>
        <v>West</v>
      </c>
      <c r="F848" s="10">
        <f>IFERROR(__xludf.DUMMYFUNCTION("""COMPUTED_VALUE"""),34.65)</f>
        <v>34.65</v>
      </c>
      <c r="G848" s="11">
        <f>IFERROR(__xludf.DUMMYFUNCTION("""COMPUTED_VALUE"""),3.0)</f>
        <v>3</v>
      </c>
      <c r="H848" s="11">
        <f>IFERROR(__xludf.DUMMYFUNCTION("""COMPUTED_VALUE"""),9.702)</f>
        <v>9.702</v>
      </c>
    </row>
    <row r="849">
      <c r="A849" s="8" t="str">
        <f>IFERROR(__xludf.DUMMYFUNCTION("""COMPUTED_VALUE"""),"CA-2015-103723")</f>
        <v>CA-2015-103723</v>
      </c>
      <c r="B849" s="9">
        <f>IFERROR(__xludf.DUMMYFUNCTION("""COMPUTED_VALUE"""),42339.0)</f>
        <v>42339</v>
      </c>
      <c r="C849" s="8" t="str">
        <f>IFERROR(__xludf.DUMMYFUNCTION("""COMPUTED_VALUE"""),"Beth Thompson")</f>
        <v>Beth Thompson</v>
      </c>
      <c r="D849" s="8" t="str">
        <f>IFERROR(__xludf.DUMMYFUNCTION("""COMPUTED_VALUE"""),"Home Office")</f>
        <v>Home Office</v>
      </c>
      <c r="E849" s="8" t="str">
        <f>IFERROR(__xludf.DUMMYFUNCTION("""COMPUTED_VALUE"""),"West")</f>
        <v>West</v>
      </c>
      <c r="F849" s="10">
        <f>IFERROR(__xludf.DUMMYFUNCTION("""COMPUTED_VALUE"""),13.9)</f>
        <v>13.9</v>
      </c>
      <c r="G849" s="11">
        <f>IFERROR(__xludf.DUMMYFUNCTION("""COMPUTED_VALUE"""),5.0)</f>
        <v>5</v>
      </c>
      <c r="H849" s="11">
        <f>IFERROR(__xludf.DUMMYFUNCTION("""COMPUTED_VALUE"""),5.56)</f>
        <v>5.56</v>
      </c>
    </row>
    <row r="850">
      <c r="A850" s="8" t="str">
        <f>IFERROR(__xludf.DUMMYFUNCTION("""COMPUTED_VALUE"""),"CA-2015-103772")</f>
        <v>CA-2015-103772</v>
      </c>
      <c r="B850" s="9">
        <f>IFERROR(__xludf.DUMMYFUNCTION("""COMPUTED_VALUE"""),42183.0)</f>
        <v>42183</v>
      </c>
      <c r="C850" s="8" t="str">
        <f>IFERROR(__xludf.DUMMYFUNCTION("""COMPUTED_VALUE"""),"Mark Packer")</f>
        <v>Mark Packer</v>
      </c>
      <c r="D850" s="8" t="str">
        <f>IFERROR(__xludf.DUMMYFUNCTION("""COMPUTED_VALUE"""),"Home Office")</f>
        <v>Home Office</v>
      </c>
      <c r="E850" s="8" t="str">
        <f>IFERROR(__xludf.DUMMYFUNCTION("""COMPUTED_VALUE"""),"South")</f>
        <v>South</v>
      </c>
      <c r="F850" s="10">
        <f>IFERROR(__xludf.DUMMYFUNCTION("""COMPUTED_VALUE"""),119.56)</f>
        <v>119.56</v>
      </c>
      <c r="G850" s="11">
        <f>IFERROR(__xludf.DUMMYFUNCTION("""COMPUTED_VALUE"""),2.0)</f>
        <v>2</v>
      </c>
      <c r="H850" s="11">
        <f>IFERROR(__xludf.DUMMYFUNCTION("""COMPUTED_VALUE"""),54.9976)</f>
        <v>54.9976</v>
      </c>
    </row>
    <row r="851">
      <c r="A851" s="8" t="str">
        <f>IFERROR(__xludf.DUMMYFUNCTION("""COMPUTED_VALUE"""),"CA-2015-103793")</f>
        <v>CA-2015-103793</v>
      </c>
      <c r="B851" s="9">
        <f>IFERROR(__xludf.DUMMYFUNCTION("""COMPUTED_VALUE"""),42089.0)</f>
        <v>42089</v>
      </c>
      <c r="C851" s="8" t="str">
        <f>IFERROR(__xludf.DUMMYFUNCTION("""COMPUTED_VALUE"""),"Benjamin Venier")</f>
        <v>Benjamin Venier</v>
      </c>
      <c r="D851" s="8" t="str">
        <f>IFERROR(__xludf.DUMMYFUNCTION("""COMPUTED_VALUE"""),"Corporate")</f>
        <v>Corporate</v>
      </c>
      <c r="E851" s="8" t="str">
        <f>IFERROR(__xludf.DUMMYFUNCTION("""COMPUTED_VALUE"""),"South")</f>
        <v>South</v>
      </c>
      <c r="F851" s="10">
        <f>IFERROR(__xludf.DUMMYFUNCTION("""COMPUTED_VALUE"""),74.352)</f>
        <v>74.352</v>
      </c>
      <c r="G851" s="11">
        <f>IFERROR(__xludf.DUMMYFUNCTION("""COMPUTED_VALUE"""),3.0)</f>
        <v>3</v>
      </c>
      <c r="H851" s="11">
        <f>IFERROR(__xludf.DUMMYFUNCTION("""COMPUTED_VALUE"""),23.235)</f>
        <v>23.235</v>
      </c>
    </row>
    <row r="852">
      <c r="A852" s="8" t="str">
        <f>IFERROR(__xludf.DUMMYFUNCTION("""COMPUTED_VALUE"""),"CA-2015-103835")</f>
        <v>CA-2015-103835</v>
      </c>
      <c r="B852" s="9">
        <f>IFERROR(__xludf.DUMMYFUNCTION("""COMPUTED_VALUE"""),42271.0)</f>
        <v>42271</v>
      </c>
      <c r="C852" s="8" t="str">
        <f>IFERROR(__xludf.DUMMYFUNCTION("""COMPUTED_VALUE"""),"Shaun Chance")</f>
        <v>Shaun Chance</v>
      </c>
      <c r="D852" s="8" t="str">
        <f>IFERROR(__xludf.DUMMYFUNCTION("""COMPUTED_VALUE"""),"Corporate")</f>
        <v>Corporate</v>
      </c>
      <c r="E852" s="8" t="str">
        <f>IFERROR(__xludf.DUMMYFUNCTION("""COMPUTED_VALUE"""),"West")</f>
        <v>West</v>
      </c>
      <c r="F852" s="10">
        <f>IFERROR(__xludf.DUMMYFUNCTION("""COMPUTED_VALUE"""),14.91)</f>
        <v>14.91</v>
      </c>
      <c r="G852" s="11">
        <f>IFERROR(__xludf.DUMMYFUNCTION("""COMPUTED_VALUE"""),3.0)</f>
        <v>3</v>
      </c>
      <c r="H852" s="11">
        <f>IFERROR(__xludf.DUMMYFUNCTION("""COMPUTED_VALUE"""),4.6221)</f>
        <v>4.6221</v>
      </c>
    </row>
    <row r="853">
      <c r="A853" s="8" t="str">
        <f>IFERROR(__xludf.DUMMYFUNCTION("""COMPUTED_VALUE"""),"CA-2015-103870")</f>
        <v>CA-2015-103870</v>
      </c>
      <c r="B853" s="9">
        <f>IFERROR(__xludf.DUMMYFUNCTION("""COMPUTED_VALUE"""),42365.0)</f>
        <v>42365</v>
      </c>
      <c r="C853" s="8" t="str">
        <f>IFERROR(__xludf.DUMMYFUNCTION("""COMPUTED_VALUE"""),"Sung Pak")</f>
        <v>Sung Pak</v>
      </c>
      <c r="D853" s="8" t="str">
        <f>IFERROR(__xludf.DUMMYFUNCTION("""COMPUTED_VALUE"""),"Corporate")</f>
        <v>Corporate</v>
      </c>
      <c r="E853" s="8" t="str">
        <f>IFERROR(__xludf.DUMMYFUNCTION("""COMPUTED_VALUE"""),"South")</f>
        <v>South</v>
      </c>
      <c r="F853" s="10">
        <f>IFERROR(__xludf.DUMMYFUNCTION("""COMPUTED_VALUE"""),4.728)</f>
        <v>4.728</v>
      </c>
      <c r="G853" s="11">
        <f>IFERROR(__xludf.DUMMYFUNCTION("""COMPUTED_VALUE"""),3.0)</f>
        <v>3</v>
      </c>
      <c r="H853" s="11">
        <f>IFERROR(__xludf.DUMMYFUNCTION("""COMPUTED_VALUE"""),0.7092)</f>
        <v>0.7092</v>
      </c>
    </row>
    <row r="854">
      <c r="A854" s="8" t="str">
        <f>IFERROR(__xludf.DUMMYFUNCTION("""COMPUTED_VALUE"""),"CA-2015-103933")</f>
        <v>CA-2015-103933</v>
      </c>
      <c r="B854" s="9">
        <f>IFERROR(__xludf.DUMMYFUNCTION("""COMPUTED_VALUE"""),42272.0)</f>
        <v>42272</v>
      </c>
      <c r="C854" s="8" t="str">
        <f>IFERROR(__xludf.DUMMYFUNCTION("""COMPUTED_VALUE"""),"Dan Reichenbach")</f>
        <v>Dan Reichenbach</v>
      </c>
      <c r="D854" s="8" t="str">
        <f>IFERROR(__xludf.DUMMYFUNCTION("""COMPUTED_VALUE"""),"Corporate")</f>
        <v>Corporate</v>
      </c>
      <c r="E854" s="8" t="str">
        <f>IFERROR(__xludf.DUMMYFUNCTION("""COMPUTED_VALUE"""),"East")</f>
        <v>East</v>
      </c>
      <c r="F854" s="10">
        <f>IFERROR(__xludf.DUMMYFUNCTION("""COMPUTED_VALUE"""),899.91)</f>
        <v>899.91</v>
      </c>
      <c r="G854" s="11">
        <f>IFERROR(__xludf.DUMMYFUNCTION("""COMPUTED_VALUE"""),9.0)</f>
        <v>9</v>
      </c>
      <c r="H854" s="11">
        <f>IFERROR(__xludf.DUMMYFUNCTION("""COMPUTED_VALUE"""),395.9604)</f>
        <v>395.9604</v>
      </c>
    </row>
    <row r="855">
      <c r="A855" s="8" t="str">
        <f>IFERROR(__xludf.DUMMYFUNCTION("""COMPUTED_VALUE"""),"CA-2015-103954")</f>
        <v>CA-2015-103954</v>
      </c>
      <c r="B855" s="9">
        <f>IFERROR(__xludf.DUMMYFUNCTION("""COMPUTED_VALUE"""),42225.0)</f>
        <v>42225</v>
      </c>
      <c r="C855" s="8" t="str">
        <f>IFERROR(__xludf.DUMMYFUNCTION("""COMPUTED_VALUE"""),"Hallie Redmond")</f>
        <v>Hallie Redmond</v>
      </c>
      <c r="D855" s="8" t="str">
        <f>IFERROR(__xludf.DUMMYFUNCTION("""COMPUTED_VALUE"""),"Home Office")</f>
        <v>Home Office</v>
      </c>
      <c r="E855" s="8" t="str">
        <f>IFERROR(__xludf.DUMMYFUNCTION("""COMPUTED_VALUE"""),"Central")</f>
        <v>Central</v>
      </c>
      <c r="F855" s="10">
        <f>IFERROR(__xludf.DUMMYFUNCTION("""COMPUTED_VALUE"""),687.4)</f>
        <v>687.4</v>
      </c>
      <c r="G855" s="11">
        <f>IFERROR(__xludf.DUMMYFUNCTION("""COMPUTED_VALUE"""),5.0)</f>
        <v>5</v>
      </c>
      <c r="H855" s="11">
        <f>IFERROR(__xludf.DUMMYFUNCTION("""COMPUTED_VALUE"""),48.118)</f>
        <v>48.118</v>
      </c>
    </row>
    <row r="856">
      <c r="A856" s="8" t="str">
        <f>IFERROR(__xludf.DUMMYFUNCTION("""COMPUTED_VALUE"""),"CA-2015-103961")</f>
        <v>CA-2015-103961</v>
      </c>
      <c r="B856" s="9">
        <f>IFERROR(__xludf.DUMMYFUNCTION("""COMPUTED_VALUE"""),42313.0)</f>
        <v>42313</v>
      </c>
      <c r="C856" s="8" t="str">
        <f>IFERROR(__xludf.DUMMYFUNCTION("""COMPUTED_VALUE"""),"Nathan Gelder")</f>
        <v>Nathan Gelder</v>
      </c>
      <c r="D856" s="8" t="str">
        <f>IFERROR(__xludf.DUMMYFUNCTION("""COMPUTED_VALUE"""),"Consumer")</f>
        <v>Consumer</v>
      </c>
      <c r="E856" s="8" t="str">
        <f>IFERROR(__xludf.DUMMYFUNCTION("""COMPUTED_VALUE"""),"Central")</f>
        <v>Central</v>
      </c>
      <c r="F856" s="10">
        <f>IFERROR(__xludf.DUMMYFUNCTION("""COMPUTED_VALUE"""),19.824)</f>
        <v>19.824</v>
      </c>
      <c r="G856" s="11">
        <f>IFERROR(__xludf.DUMMYFUNCTION("""COMPUTED_VALUE"""),6.0)</f>
        <v>6</v>
      </c>
      <c r="H856" s="11">
        <f>IFERROR(__xludf.DUMMYFUNCTION("""COMPUTED_VALUE"""),6.4428)</f>
        <v>6.4428</v>
      </c>
    </row>
    <row r="857">
      <c r="A857" s="8" t="str">
        <f>IFERROR(__xludf.DUMMYFUNCTION("""COMPUTED_VALUE"""),"CA-2015-104038")</f>
        <v>CA-2015-104038</v>
      </c>
      <c r="B857" s="9">
        <f>IFERROR(__xludf.DUMMYFUNCTION("""COMPUTED_VALUE"""),42041.0)</f>
        <v>42041</v>
      </c>
      <c r="C857" s="8" t="str">
        <f>IFERROR(__xludf.DUMMYFUNCTION("""COMPUTED_VALUE"""),"Lori Olson")</f>
        <v>Lori Olson</v>
      </c>
      <c r="D857" s="8" t="str">
        <f>IFERROR(__xludf.DUMMYFUNCTION("""COMPUTED_VALUE"""),"Corporate")</f>
        <v>Corporate</v>
      </c>
      <c r="E857" s="8" t="str">
        <f>IFERROR(__xludf.DUMMYFUNCTION("""COMPUTED_VALUE"""),"South")</f>
        <v>South</v>
      </c>
      <c r="F857" s="10">
        <f>IFERROR(__xludf.DUMMYFUNCTION("""COMPUTED_VALUE"""),146.73)</f>
        <v>146.73</v>
      </c>
      <c r="G857" s="11">
        <f>IFERROR(__xludf.DUMMYFUNCTION("""COMPUTED_VALUE"""),3.0)</f>
        <v>3</v>
      </c>
      <c r="H857" s="11">
        <f>IFERROR(__xludf.DUMMYFUNCTION("""COMPUTED_VALUE"""),2.9346)</f>
        <v>2.9346</v>
      </c>
    </row>
    <row r="858">
      <c r="A858" s="8" t="str">
        <f>IFERROR(__xludf.DUMMYFUNCTION("""COMPUTED_VALUE"""),"CA-2015-104052")</f>
        <v>CA-2015-104052</v>
      </c>
      <c r="B858" s="9">
        <f>IFERROR(__xludf.DUMMYFUNCTION("""COMPUTED_VALUE"""),42064.0)</f>
        <v>42064</v>
      </c>
      <c r="C858" s="8" t="str">
        <f>IFERROR(__xludf.DUMMYFUNCTION("""COMPUTED_VALUE"""),"Tracy Poddar")</f>
        <v>Tracy Poddar</v>
      </c>
      <c r="D858" s="8" t="str">
        <f>IFERROR(__xludf.DUMMYFUNCTION("""COMPUTED_VALUE"""),"Corporate")</f>
        <v>Corporate</v>
      </c>
      <c r="E858" s="8" t="str">
        <f>IFERROR(__xludf.DUMMYFUNCTION("""COMPUTED_VALUE"""),"Central")</f>
        <v>Central</v>
      </c>
      <c r="F858" s="10">
        <f>IFERROR(__xludf.DUMMYFUNCTION("""COMPUTED_VALUE"""),95.84)</f>
        <v>95.84</v>
      </c>
      <c r="G858" s="11">
        <f>IFERROR(__xludf.DUMMYFUNCTION("""COMPUTED_VALUE"""),4.0)</f>
        <v>4</v>
      </c>
      <c r="H858" s="11">
        <f>IFERROR(__xludf.DUMMYFUNCTION("""COMPUTED_VALUE"""),34.742)</f>
        <v>34.742</v>
      </c>
    </row>
    <row r="859">
      <c r="A859" s="8" t="str">
        <f>IFERROR(__xludf.DUMMYFUNCTION("""COMPUTED_VALUE"""),"CA-2015-104059")</f>
        <v>CA-2015-104059</v>
      </c>
      <c r="B859" s="9">
        <f>IFERROR(__xludf.DUMMYFUNCTION("""COMPUTED_VALUE"""),42168.0)</f>
        <v>42168</v>
      </c>
      <c r="C859" s="8" t="str">
        <f>IFERROR(__xludf.DUMMYFUNCTION("""COMPUTED_VALUE"""),"Frank Carlisle")</f>
        <v>Frank Carlisle</v>
      </c>
      <c r="D859" s="8" t="str">
        <f>IFERROR(__xludf.DUMMYFUNCTION("""COMPUTED_VALUE"""),"Home Office")</f>
        <v>Home Office</v>
      </c>
      <c r="E859" s="8" t="str">
        <f>IFERROR(__xludf.DUMMYFUNCTION("""COMPUTED_VALUE"""),"East")</f>
        <v>East</v>
      </c>
      <c r="F859" s="10">
        <f>IFERROR(__xludf.DUMMYFUNCTION("""COMPUTED_VALUE"""),3.424)</f>
        <v>3.424</v>
      </c>
      <c r="G859" s="11">
        <f>IFERROR(__xludf.DUMMYFUNCTION("""COMPUTED_VALUE"""),1.0)</f>
        <v>1</v>
      </c>
      <c r="H859" s="11">
        <f>IFERROR(__xludf.DUMMYFUNCTION("""COMPUTED_VALUE"""),0.2996)</f>
        <v>0.2996</v>
      </c>
    </row>
    <row r="860">
      <c r="A860" s="8" t="str">
        <f>IFERROR(__xludf.DUMMYFUNCTION("""COMPUTED_VALUE"""),"CA-2015-104115")</f>
        <v>CA-2015-104115</v>
      </c>
      <c r="B860" s="9">
        <f>IFERROR(__xludf.DUMMYFUNCTION("""COMPUTED_VALUE"""),42167.0)</f>
        <v>42167</v>
      </c>
      <c r="C860" s="8" t="str">
        <f>IFERROR(__xludf.DUMMYFUNCTION("""COMPUTED_VALUE"""),"Jonathan Howell")</f>
        <v>Jonathan Howell</v>
      </c>
      <c r="D860" s="8" t="str">
        <f>IFERROR(__xludf.DUMMYFUNCTION("""COMPUTED_VALUE"""),"Consumer")</f>
        <v>Consumer</v>
      </c>
      <c r="E860" s="8" t="str">
        <f>IFERROR(__xludf.DUMMYFUNCTION("""COMPUTED_VALUE"""),"South")</f>
        <v>South</v>
      </c>
      <c r="F860" s="10">
        <f>IFERROR(__xludf.DUMMYFUNCTION("""COMPUTED_VALUE"""),55.984)</f>
        <v>55.984</v>
      </c>
      <c r="G860" s="11">
        <f>IFERROR(__xludf.DUMMYFUNCTION("""COMPUTED_VALUE"""),2.0)</f>
        <v>2</v>
      </c>
      <c r="H860" s="11">
        <f>IFERROR(__xludf.DUMMYFUNCTION("""COMPUTED_VALUE"""),4.1988)</f>
        <v>4.1988</v>
      </c>
    </row>
    <row r="861">
      <c r="A861" s="8" t="str">
        <f>IFERROR(__xludf.DUMMYFUNCTION("""COMPUTED_VALUE"""),"CA-2015-104129")</f>
        <v>CA-2015-104129</v>
      </c>
      <c r="B861" s="9">
        <f>IFERROR(__xludf.DUMMYFUNCTION("""COMPUTED_VALUE"""),42062.0)</f>
        <v>42062</v>
      </c>
      <c r="C861" s="8" t="str">
        <f>IFERROR(__xludf.DUMMYFUNCTION("""COMPUTED_VALUE"""),"Erin Smith")</f>
        <v>Erin Smith</v>
      </c>
      <c r="D861" s="8" t="str">
        <f>IFERROR(__xludf.DUMMYFUNCTION("""COMPUTED_VALUE"""),"Corporate")</f>
        <v>Corporate</v>
      </c>
      <c r="E861" s="8" t="str">
        <f>IFERROR(__xludf.DUMMYFUNCTION("""COMPUTED_VALUE"""),"East")</f>
        <v>East</v>
      </c>
      <c r="F861" s="10">
        <f>IFERROR(__xludf.DUMMYFUNCTION("""COMPUTED_VALUE"""),105.98)</f>
        <v>105.98</v>
      </c>
      <c r="G861" s="11">
        <f>IFERROR(__xludf.DUMMYFUNCTION("""COMPUTED_VALUE"""),2.0)</f>
        <v>2</v>
      </c>
      <c r="H861" s="11">
        <f>IFERROR(__xludf.DUMMYFUNCTION("""COMPUTED_VALUE"""),1.0598)</f>
        <v>1.0598</v>
      </c>
    </row>
    <row r="862">
      <c r="A862" s="8" t="str">
        <f>IFERROR(__xludf.DUMMYFUNCTION("""COMPUTED_VALUE"""),"CA-2015-104241")</f>
        <v>CA-2015-104241</v>
      </c>
      <c r="B862" s="9">
        <f>IFERROR(__xludf.DUMMYFUNCTION("""COMPUTED_VALUE"""),42008.0)</f>
        <v>42008</v>
      </c>
      <c r="C862" s="8" t="str">
        <f>IFERROR(__xludf.DUMMYFUNCTION("""COMPUTED_VALUE"""),"Andrew Gjertsen")</f>
        <v>Andrew Gjertsen</v>
      </c>
      <c r="D862" s="8" t="str">
        <f>IFERROR(__xludf.DUMMYFUNCTION("""COMPUTED_VALUE"""),"Corporate")</f>
        <v>Corporate</v>
      </c>
      <c r="E862" s="8" t="str">
        <f>IFERROR(__xludf.DUMMYFUNCTION("""COMPUTED_VALUE"""),"South")</f>
        <v>South</v>
      </c>
      <c r="F862" s="10">
        <f>IFERROR(__xludf.DUMMYFUNCTION("""COMPUTED_VALUE"""),192.22)</f>
        <v>192.22</v>
      </c>
      <c r="G862" s="11">
        <f>IFERROR(__xludf.DUMMYFUNCTION("""COMPUTED_VALUE"""),14.0)</f>
        <v>14</v>
      </c>
      <c r="H862" s="11">
        <f>IFERROR(__xludf.DUMMYFUNCTION("""COMPUTED_VALUE"""),69.1992)</f>
        <v>69.1992</v>
      </c>
    </row>
    <row r="863">
      <c r="A863" s="8" t="str">
        <f>IFERROR(__xludf.DUMMYFUNCTION("""COMPUTED_VALUE"""),"CA-2015-104297")</f>
        <v>CA-2015-104297</v>
      </c>
      <c r="B863" s="9">
        <f>IFERROR(__xludf.DUMMYFUNCTION("""COMPUTED_VALUE"""),42153.0)</f>
        <v>42153</v>
      </c>
      <c r="C863" s="8" t="str">
        <f>IFERROR(__xludf.DUMMYFUNCTION("""COMPUTED_VALUE"""),"Chad Cunningham")</f>
        <v>Chad Cunningham</v>
      </c>
      <c r="D863" s="8" t="str">
        <f>IFERROR(__xludf.DUMMYFUNCTION("""COMPUTED_VALUE"""),"Home Office")</f>
        <v>Home Office</v>
      </c>
      <c r="E863" s="8" t="str">
        <f>IFERROR(__xludf.DUMMYFUNCTION("""COMPUTED_VALUE"""),"East")</f>
        <v>East</v>
      </c>
      <c r="F863" s="10">
        <f>IFERROR(__xludf.DUMMYFUNCTION("""COMPUTED_VALUE"""),85.056)</f>
        <v>85.056</v>
      </c>
      <c r="G863" s="11">
        <f>IFERROR(__xludf.DUMMYFUNCTION("""COMPUTED_VALUE"""),3.0)</f>
        <v>3</v>
      </c>
      <c r="H863" s="11">
        <f>IFERROR(__xludf.DUMMYFUNCTION("""COMPUTED_VALUE"""),28.7064)</f>
        <v>28.7064</v>
      </c>
    </row>
    <row r="864">
      <c r="A864" s="8" t="str">
        <f>IFERROR(__xludf.DUMMYFUNCTION("""COMPUTED_VALUE"""),"CA-2015-104346")</f>
        <v>CA-2015-104346</v>
      </c>
      <c r="B864" s="9">
        <f>IFERROR(__xludf.DUMMYFUNCTION("""COMPUTED_VALUE"""),42349.0)</f>
        <v>42349</v>
      </c>
      <c r="C864" s="8" t="str">
        <f>IFERROR(__xludf.DUMMYFUNCTION("""COMPUTED_VALUE"""),"Irene Maddox")</f>
        <v>Irene Maddox</v>
      </c>
      <c r="D864" s="8" t="str">
        <f>IFERROR(__xludf.DUMMYFUNCTION("""COMPUTED_VALUE"""),"Consumer")</f>
        <v>Consumer</v>
      </c>
      <c r="E864" s="8" t="str">
        <f>IFERROR(__xludf.DUMMYFUNCTION("""COMPUTED_VALUE"""),"West")</f>
        <v>West</v>
      </c>
      <c r="F864" s="10">
        <f>IFERROR(__xludf.DUMMYFUNCTION("""COMPUTED_VALUE"""),13.12)</f>
        <v>13.12</v>
      </c>
      <c r="G864" s="11">
        <f>IFERROR(__xludf.DUMMYFUNCTION("""COMPUTED_VALUE"""),5.0)</f>
        <v>5</v>
      </c>
      <c r="H864" s="11">
        <f>IFERROR(__xludf.DUMMYFUNCTION("""COMPUTED_VALUE"""),1.148)</f>
        <v>1.148</v>
      </c>
    </row>
    <row r="865">
      <c r="A865" s="8" t="str">
        <f>IFERROR(__xludf.DUMMYFUNCTION("""COMPUTED_VALUE"""),"CA-2015-104486")</f>
        <v>CA-2015-104486</v>
      </c>
      <c r="B865" s="9">
        <f>IFERROR(__xludf.DUMMYFUNCTION("""COMPUTED_VALUE"""),42125.0)</f>
        <v>42125</v>
      </c>
      <c r="C865" s="8" t="str">
        <f>IFERROR(__xludf.DUMMYFUNCTION("""COMPUTED_VALUE"""),"Patrick O'Brill")</f>
        <v>Patrick O'Brill</v>
      </c>
      <c r="D865" s="8" t="str">
        <f>IFERROR(__xludf.DUMMYFUNCTION("""COMPUTED_VALUE"""),"Consumer")</f>
        <v>Consumer</v>
      </c>
      <c r="E865" s="8" t="str">
        <f>IFERROR(__xludf.DUMMYFUNCTION("""COMPUTED_VALUE"""),"West")</f>
        <v>West</v>
      </c>
      <c r="F865" s="10">
        <f>IFERROR(__xludf.DUMMYFUNCTION("""COMPUTED_VALUE"""),12.176)</f>
        <v>12.176</v>
      </c>
      <c r="G865" s="11">
        <f>IFERROR(__xludf.DUMMYFUNCTION("""COMPUTED_VALUE"""),1.0)</f>
        <v>1</v>
      </c>
      <c r="H865" s="11">
        <f>IFERROR(__xludf.DUMMYFUNCTION("""COMPUTED_VALUE"""),4.4138)</f>
        <v>4.4138</v>
      </c>
    </row>
    <row r="866">
      <c r="A866" s="8" t="str">
        <f>IFERROR(__xludf.DUMMYFUNCTION("""COMPUTED_VALUE"""),"CA-2015-104493")</f>
        <v>CA-2015-104493</v>
      </c>
      <c r="B866" s="9">
        <f>IFERROR(__xludf.DUMMYFUNCTION("""COMPUTED_VALUE"""),42279.0)</f>
        <v>42279</v>
      </c>
      <c r="C866" s="8" t="str">
        <f>IFERROR(__xludf.DUMMYFUNCTION("""COMPUTED_VALUE"""),"Ed Braxton")</f>
        <v>Ed Braxton</v>
      </c>
      <c r="D866" s="8" t="str">
        <f>IFERROR(__xludf.DUMMYFUNCTION("""COMPUTED_VALUE"""),"Corporate")</f>
        <v>Corporate</v>
      </c>
      <c r="E866" s="8" t="str">
        <f>IFERROR(__xludf.DUMMYFUNCTION("""COMPUTED_VALUE"""),"West")</f>
        <v>West</v>
      </c>
      <c r="F866" s="10">
        <f>IFERROR(__xludf.DUMMYFUNCTION("""COMPUTED_VALUE"""),57.504)</f>
        <v>57.504</v>
      </c>
      <c r="G866" s="11">
        <f>IFERROR(__xludf.DUMMYFUNCTION("""COMPUTED_VALUE"""),6.0)</f>
        <v>6</v>
      </c>
      <c r="H866" s="11">
        <f>IFERROR(__xludf.DUMMYFUNCTION("""COMPUTED_VALUE"""),20.1264)</f>
        <v>20.1264</v>
      </c>
    </row>
    <row r="867">
      <c r="A867" s="8" t="str">
        <f>IFERROR(__xludf.DUMMYFUNCTION("""COMPUTED_VALUE"""),"CA-2015-104514")</f>
        <v>CA-2015-104514</v>
      </c>
      <c r="B867" s="9">
        <f>IFERROR(__xludf.DUMMYFUNCTION("""COMPUTED_VALUE"""),42006.0)</f>
        <v>42006</v>
      </c>
      <c r="C867" s="8" t="str">
        <f>IFERROR(__xludf.DUMMYFUNCTION("""COMPUTED_VALUE"""),"Claudia Bergmann")</f>
        <v>Claudia Bergmann</v>
      </c>
      <c r="D867" s="8" t="str">
        <f>IFERROR(__xludf.DUMMYFUNCTION("""COMPUTED_VALUE"""),"Corporate")</f>
        <v>Corporate</v>
      </c>
      <c r="E867" s="8" t="str">
        <f>IFERROR(__xludf.DUMMYFUNCTION("""COMPUTED_VALUE"""),"East")</f>
        <v>East</v>
      </c>
      <c r="F867" s="10">
        <f>IFERROR(__xludf.DUMMYFUNCTION("""COMPUTED_VALUE"""),85.52)</f>
        <v>85.52</v>
      </c>
      <c r="G867" s="11">
        <f>IFERROR(__xludf.DUMMYFUNCTION("""COMPUTED_VALUE"""),2.0)</f>
        <v>2</v>
      </c>
      <c r="H867" s="11">
        <f>IFERROR(__xludf.DUMMYFUNCTION("""COMPUTED_VALUE"""),22.2352)</f>
        <v>22.2352</v>
      </c>
    </row>
    <row r="868">
      <c r="A868" s="8" t="str">
        <f>IFERROR(__xludf.DUMMYFUNCTION("""COMPUTED_VALUE"""),"CA-2015-104626")</f>
        <v>CA-2015-104626</v>
      </c>
      <c r="B868" s="9">
        <f>IFERROR(__xludf.DUMMYFUNCTION("""COMPUTED_VALUE"""),42248.0)</f>
        <v>42248</v>
      </c>
      <c r="C868" s="8" t="str">
        <f>IFERROR(__xludf.DUMMYFUNCTION("""COMPUTED_VALUE"""),"Daniel Raglin")</f>
        <v>Daniel Raglin</v>
      </c>
      <c r="D868" s="8" t="str">
        <f>IFERROR(__xludf.DUMMYFUNCTION("""COMPUTED_VALUE"""),"Home Office")</f>
        <v>Home Office</v>
      </c>
      <c r="E868" s="8" t="str">
        <f>IFERROR(__xludf.DUMMYFUNCTION("""COMPUTED_VALUE"""),"East")</f>
        <v>East</v>
      </c>
      <c r="F868" s="10">
        <f>IFERROR(__xludf.DUMMYFUNCTION("""COMPUTED_VALUE"""),114.6)</f>
        <v>114.6</v>
      </c>
      <c r="G868" s="11">
        <f>IFERROR(__xludf.DUMMYFUNCTION("""COMPUTED_VALUE"""),5.0)</f>
        <v>5</v>
      </c>
      <c r="H868" s="11">
        <f>IFERROR(__xludf.DUMMYFUNCTION("""COMPUTED_VALUE"""),51.57)</f>
        <v>51.57</v>
      </c>
    </row>
    <row r="869">
      <c r="A869" s="8" t="str">
        <f>IFERROR(__xludf.DUMMYFUNCTION("""COMPUTED_VALUE"""),"CA-2015-104871")</f>
        <v>CA-2015-104871</v>
      </c>
      <c r="B869" s="9">
        <f>IFERROR(__xludf.DUMMYFUNCTION("""COMPUTED_VALUE"""),42093.0)</f>
        <v>42093</v>
      </c>
      <c r="C869" s="8" t="str">
        <f>IFERROR(__xludf.DUMMYFUNCTION("""COMPUTED_VALUE"""),"Daniel Raglin")</f>
        <v>Daniel Raglin</v>
      </c>
      <c r="D869" s="8" t="str">
        <f>IFERROR(__xludf.DUMMYFUNCTION("""COMPUTED_VALUE"""),"Home Office")</f>
        <v>Home Office</v>
      </c>
      <c r="E869" s="8" t="str">
        <f>IFERROR(__xludf.DUMMYFUNCTION("""COMPUTED_VALUE"""),"Central")</f>
        <v>Central</v>
      </c>
      <c r="F869" s="10">
        <f>IFERROR(__xludf.DUMMYFUNCTION("""COMPUTED_VALUE"""),366.744)</f>
        <v>366.744</v>
      </c>
      <c r="G869" s="11">
        <f>IFERROR(__xludf.DUMMYFUNCTION("""COMPUTED_VALUE"""),4.0)</f>
        <v>4</v>
      </c>
      <c r="H869" s="11">
        <f>IFERROR(__xludf.DUMMYFUNCTION("""COMPUTED_VALUE"""),-110.0232)</f>
        <v>-110.0232</v>
      </c>
    </row>
    <row r="870">
      <c r="A870" s="8" t="str">
        <f>IFERROR(__xludf.DUMMYFUNCTION("""COMPUTED_VALUE"""),"CA-2015-104941")</f>
        <v>CA-2015-104941</v>
      </c>
      <c r="B870" s="9">
        <f>IFERROR(__xludf.DUMMYFUNCTION("""COMPUTED_VALUE"""),42168.0)</f>
        <v>42168</v>
      </c>
      <c r="C870" s="8" t="str">
        <f>IFERROR(__xludf.DUMMYFUNCTION("""COMPUTED_VALUE"""),"Dave Hallsten")</f>
        <v>Dave Hallsten</v>
      </c>
      <c r="D870" s="8" t="str">
        <f>IFERROR(__xludf.DUMMYFUNCTION("""COMPUTED_VALUE"""),"Corporate")</f>
        <v>Corporate</v>
      </c>
      <c r="E870" s="8" t="str">
        <f>IFERROR(__xludf.DUMMYFUNCTION("""COMPUTED_VALUE"""),"South")</f>
        <v>South</v>
      </c>
      <c r="F870" s="10">
        <f>IFERROR(__xludf.DUMMYFUNCTION("""COMPUTED_VALUE"""),24.78)</f>
        <v>24.78</v>
      </c>
      <c r="G870" s="11">
        <f>IFERROR(__xludf.DUMMYFUNCTION("""COMPUTED_VALUE"""),6.0)</f>
        <v>6</v>
      </c>
      <c r="H870" s="11">
        <f>IFERROR(__xludf.DUMMYFUNCTION("""COMPUTED_VALUE"""),6.9384)</f>
        <v>6.9384</v>
      </c>
    </row>
    <row r="871">
      <c r="A871" s="8" t="str">
        <f>IFERROR(__xludf.DUMMYFUNCTION("""COMPUTED_VALUE"""),"CA-2015-104948")</f>
        <v>CA-2015-104948</v>
      </c>
      <c r="B871" s="9">
        <f>IFERROR(__xludf.DUMMYFUNCTION("""COMPUTED_VALUE"""),42321.0)</f>
        <v>42321</v>
      </c>
      <c r="C871" s="8" t="str">
        <f>IFERROR(__xludf.DUMMYFUNCTION("""COMPUTED_VALUE"""),"Keith Herrera")</f>
        <v>Keith Herrera</v>
      </c>
      <c r="D871" s="8" t="str">
        <f>IFERROR(__xludf.DUMMYFUNCTION("""COMPUTED_VALUE"""),"Consumer")</f>
        <v>Consumer</v>
      </c>
      <c r="E871" s="8" t="str">
        <f>IFERROR(__xludf.DUMMYFUNCTION("""COMPUTED_VALUE"""),"West")</f>
        <v>West</v>
      </c>
      <c r="F871" s="10">
        <f>IFERROR(__xludf.DUMMYFUNCTION("""COMPUTED_VALUE"""),9.872)</f>
        <v>9.872</v>
      </c>
      <c r="G871" s="11">
        <f>IFERROR(__xludf.DUMMYFUNCTION("""COMPUTED_VALUE"""),2.0)</f>
        <v>2</v>
      </c>
      <c r="H871" s="11">
        <f>IFERROR(__xludf.DUMMYFUNCTION("""COMPUTED_VALUE"""),3.4552)</f>
        <v>3.4552</v>
      </c>
    </row>
    <row r="872">
      <c r="A872" s="8" t="str">
        <f>IFERROR(__xludf.DUMMYFUNCTION("""COMPUTED_VALUE"""),"CA-2015-105102")</f>
        <v>CA-2015-105102</v>
      </c>
      <c r="B872" s="9">
        <f>IFERROR(__xludf.DUMMYFUNCTION("""COMPUTED_VALUE"""),42262.0)</f>
        <v>42262</v>
      </c>
      <c r="C872" s="8" t="str">
        <f>IFERROR(__xludf.DUMMYFUNCTION("""COMPUTED_VALUE"""),"Brendan Murry")</f>
        <v>Brendan Murry</v>
      </c>
      <c r="D872" s="8" t="str">
        <f>IFERROR(__xludf.DUMMYFUNCTION("""COMPUTED_VALUE"""),"Corporate")</f>
        <v>Corporate</v>
      </c>
      <c r="E872" s="8" t="str">
        <f>IFERROR(__xludf.DUMMYFUNCTION("""COMPUTED_VALUE"""),"East")</f>
        <v>East</v>
      </c>
      <c r="F872" s="10">
        <f>IFERROR(__xludf.DUMMYFUNCTION("""COMPUTED_VALUE"""),79.872)</f>
        <v>79.872</v>
      </c>
      <c r="G872" s="11">
        <f>IFERROR(__xludf.DUMMYFUNCTION("""COMPUTED_VALUE"""),3.0)</f>
        <v>3</v>
      </c>
      <c r="H872" s="11">
        <f>IFERROR(__xludf.DUMMYFUNCTION("""COMPUTED_VALUE"""),29.952)</f>
        <v>29.952</v>
      </c>
    </row>
    <row r="873">
      <c r="A873" s="8" t="str">
        <f>IFERROR(__xludf.DUMMYFUNCTION("""COMPUTED_VALUE"""),"CA-2015-105158")</f>
        <v>CA-2015-105158</v>
      </c>
      <c r="B873" s="9">
        <f>IFERROR(__xludf.DUMMYFUNCTION("""COMPUTED_VALUE"""),42252.0)</f>
        <v>42252</v>
      </c>
      <c r="C873" s="8" t="str">
        <f>IFERROR(__xludf.DUMMYFUNCTION("""COMPUTED_VALUE"""),"Sung Pak")</f>
        <v>Sung Pak</v>
      </c>
      <c r="D873" s="8" t="str">
        <f>IFERROR(__xludf.DUMMYFUNCTION("""COMPUTED_VALUE"""),"Corporate")</f>
        <v>Corporate</v>
      </c>
      <c r="E873" s="8" t="str">
        <f>IFERROR(__xludf.DUMMYFUNCTION("""COMPUTED_VALUE"""),"Central")</f>
        <v>Central</v>
      </c>
      <c r="F873" s="10">
        <f>IFERROR(__xludf.DUMMYFUNCTION("""COMPUTED_VALUE"""),6.16)</f>
        <v>6.16</v>
      </c>
      <c r="G873" s="11">
        <f>IFERROR(__xludf.DUMMYFUNCTION("""COMPUTED_VALUE"""),2.0)</f>
        <v>2</v>
      </c>
      <c r="H873" s="11">
        <f>IFERROR(__xludf.DUMMYFUNCTION("""COMPUTED_VALUE"""),2.9568)</f>
        <v>2.9568</v>
      </c>
    </row>
    <row r="874">
      <c r="A874" s="8" t="str">
        <f>IFERROR(__xludf.DUMMYFUNCTION("""COMPUTED_VALUE"""),"CA-2015-105221")</f>
        <v>CA-2015-105221</v>
      </c>
      <c r="B874" s="9">
        <f>IFERROR(__xludf.DUMMYFUNCTION("""COMPUTED_VALUE"""),42309.0)</f>
        <v>42309</v>
      </c>
      <c r="C874" s="8" t="str">
        <f>IFERROR(__xludf.DUMMYFUNCTION("""COMPUTED_VALUE"""),"Valerie Mitchum")</f>
        <v>Valerie Mitchum</v>
      </c>
      <c r="D874" s="8" t="str">
        <f>IFERROR(__xludf.DUMMYFUNCTION("""COMPUTED_VALUE"""),"Home Office")</f>
        <v>Home Office</v>
      </c>
      <c r="E874" s="8" t="str">
        <f>IFERROR(__xludf.DUMMYFUNCTION("""COMPUTED_VALUE"""),"East")</f>
        <v>East</v>
      </c>
      <c r="F874" s="10">
        <f>IFERROR(__xludf.DUMMYFUNCTION("""COMPUTED_VALUE"""),35.36)</f>
        <v>35.36</v>
      </c>
      <c r="G874" s="11">
        <f>IFERROR(__xludf.DUMMYFUNCTION("""COMPUTED_VALUE"""),2.0)</f>
        <v>2</v>
      </c>
      <c r="H874" s="11">
        <f>IFERROR(__xludf.DUMMYFUNCTION("""COMPUTED_VALUE"""),-3.094)</f>
        <v>-3.094</v>
      </c>
    </row>
    <row r="875">
      <c r="A875" s="8" t="str">
        <f>IFERROR(__xludf.DUMMYFUNCTION("""COMPUTED_VALUE"""),"CA-2015-105312")</f>
        <v>CA-2015-105312</v>
      </c>
      <c r="B875" s="9">
        <f>IFERROR(__xludf.DUMMYFUNCTION("""COMPUTED_VALUE"""),42314.0)</f>
        <v>42314</v>
      </c>
      <c r="C875" s="8" t="str">
        <f>IFERROR(__xludf.DUMMYFUNCTION("""COMPUTED_VALUE"""),"Meg Tillman")</f>
        <v>Meg Tillman</v>
      </c>
      <c r="D875" s="8" t="str">
        <f>IFERROR(__xludf.DUMMYFUNCTION("""COMPUTED_VALUE"""),"Consumer")</f>
        <v>Consumer</v>
      </c>
      <c r="E875" s="8" t="str">
        <f>IFERROR(__xludf.DUMMYFUNCTION("""COMPUTED_VALUE"""),"West")</f>
        <v>West</v>
      </c>
      <c r="F875" s="10">
        <f>IFERROR(__xludf.DUMMYFUNCTION("""COMPUTED_VALUE"""),7.08)</f>
        <v>7.08</v>
      </c>
      <c r="G875" s="11">
        <f>IFERROR(__xludf.DUMMYFUNCTION("""COMPUTED_VALUE"""),3.0)</f>
        <v>3</v>
      </c>
      <c r="H875" s="11">
        <f>IFERROR(__xludf.DUMMYFUNCTION("""COMPUTED_VALUE"""),2.478)</f>
        <v>2.478</v>
      </c>
    </row>
    <row r="876">
      <c r="A876" s="8" t="str">
        <f>IFERROR(__xludf.DUMMYFUNCTION("""COMPUTED_VALUE"""),"CA-2015-105347")</f>
        <v>CA-2015-105347</v>
      </c>
      <c r="B876" s="9">
        <f>IFERROR(__xludf.DUMMYFUNCTION("""COMPUTED_VALUE"""),42332.0)</f>
        <v>42332</v>
      </c>
      <c r="C876" s="8" t="str">
        <f>IFERROR(__xludf.DUMMYFUNCTION("""COMPUTED_VALUE"""),"Darren Powers")</f>
        <v>Darren Powers</v>
      </c>
      <c r="D876" s="8" t="str">
        <f>IFERROR(__xludf.DUMMYFUNCTION("""COMPUTED_VALUE"""),"Consumer")</f>
        <v>Consumer</v>
      </c>
      <c r="E876" s="8" t="str">
        <f>IFERROR(__xludf.DUMMYFUNCTION("""COMPUTED_VALUE"""),"West")</f>
        <v>West</v>
      </c>
      <c r="F876" s="10">
        <f>IFERROR(__xludf.DUMMYFUNCTION("""COMPUTED_VALUE"""),368.91)</f>
        <v>368.91</v>
      </c>
      <c r="G876" s="11">
        <f>IFERROR(__xludf.DUMMYFUNCTION("""COMPUTED_VALUE"""),9.0)</f>
        <v>9</v>
      </c>
      <c r="H876" s="11">
        <f>IFERROR(__xludf.DUMMYFUNCTION("""COMPUTED_VALUE"""),180.7659)</f>
        <v>180.7659</v>
      </c>
    </row>
    <row r="877">
      <c r="A877" s="8" t="str">
        <f>IFERROR(__xludf.DUMMYFUNCTION("""COMPUTED_VALUE"""),"CA-2015-105361")</f>
        <v>CA-2015-105361</v>
      </c>
      <c r="B877" s="9">
        <f>IFERROR(__xludf.DUMMYFUNCTION("""COMPUTED_VALUE"""),42092.0)</f>
        <v>42092</v>
      </c>
      <c r="C877" s="8" t="str">
        <f>IFERROR(__xludf.DUMMYFUNCTION("""COMPUTED_VALUE"""),"Chad McGuire")</f>
        <v>Chad McGuire</v>
      </c>
      <c r="D877" s="8" t="str">
        <f>IFERROR(__xludf.DUMMYFUNCTION("""COMPUTED_VALUE"""),"Consumer")</f>
        <v>Consumer</v>
      </c>
      <c r="E877" s="8" t="str">
        <f>IFERROR(__xludf.DUMMYFUNCTION("""COMPUTED_VALUE"""),"East")</f>
        <v>East</v>
      </c>
      <c r="F877" s="10">
        <f>IFERROR(__xludf.DUMMYFUNCTION("""COMPUTED_VALUE"""),17.64)</f>
        <v>17.64</v>
      </c>
      <c r="G877" s="11">
        <f>IFERROR(__xludf.DUMMYFUNCTION("""COMPUTED_VALUE"""),4.0)</f>
        <v>4</v>
      </c>
      <c r="H877" s="11">
        <f>IFERROR(__xludf.DUMMYFUNCTION("""COMPUTED_VALUE"""),8.1144)</f>
        <v>8.1144</v>
      </c>
    </row>
    <row r="878">
      <c r="A878" s="8" t="str">
        <f>IFERROR(__xludf.DUMMYFUNCTION("""COMPUTED_VALUE"""),"CA-2015-105508")</f>
        <v>CA-2015-105508</v>
      </c>
      <c r="B878" s="9">
        <f>IFERROR(__xludf.DUMMYFUNCTION("""COMPUTED_VALUE"""),42271.0)</f>
        <v>42271</v>
      </c>
      <c r="C878" s="8" t="str">
        <f>IFERROR(__xludf.DUMMYFUNCTION("""COMPUTED_VALUE"""),"Jamie Frazer")</f>
        <v>Jamie Frazer</v>
      </c>
      <c r="D878" s="8" t="str">
        <f>IFERROR(__xludf.DUMMYFUNCTION("""COMPUTED_VALUE"""),"Consumer")</f>
        <v>Consumer</v>
      </c>
      <c r="E878" s="8" t="str">
        <f>IFERROR(__xludf.DUMMYFUNCTION("""COMPUTED_VALUE"""),"East")</f>
        <v>East</v>
      </c>
      <c r="F878" s="10">
        <f>IFERROR(__xludf.DUMMYFUNCTION("""COMPUTED_VALUE"""),39.98)</f>
        <v>39.98</v>
      </c>
      <c r="G878" s="11">
        <f>IFERROR(__xludf.DUMMYFUNCTION("""COMPUTED_VALUE"""),1.0)</f>
        <v>1</v>
      </c>
      <c r="H878" s="11">
        <f>IFERROR(__xludf.DUMMYFUNCTION("""COMPUTED_VALUE"""),17.991)</f>
        <v>17.991</v>
      </c>
    </row>
    <row r="879">
      <c r="A879" s="8" t="str">
        <f>IFERROR(__xludf.DUMMYFUNCTION("""COMPUTED_VALUE"""),"CA-2015-105571")</f>
        <v>CA-2015-105571</v>
      </c>
      <c r="B879" s="9">
        <f>IFERROR(__xludf.DUMMYFUNCTION("""COMPUTED_VALUE"""),42315.0)</f>
        <v>42315</v>
      </c>
      <c r="C879" s="8" t="str">
        <f>IFERROR(__xludf.DUMMYFUNCTION("""COMPUTED_VALUE"""),"Christine Phan")</f>
        <v>Christine Phan</v>
      </c>
      <c r="D879" s="8" t="str">
        <f>IFERROR(__xludf.DUMMYFUNCTION("""COMPUTED_VALUE"""),"Corporate")</f>
        <v>Corporate</v>
      </c>
      <c r="E879" s="8" t="str">
        <f>IFERROR(__xludf.DUMMYFUNCTION("""COMPUTED_VALUE"""),"South")</f>
        <v>South</v>
      </c>
      <c r="F879" s="10">
        <f>IFERROR(__xludf.DUMMYFUNCTION("""COMPUTED_VALUE"""),16.146)</f>
        <v>16.146</v>
      </c>
      <c r="G879" s="11">
        <f>IFERROR(__xludf.DUMMYFUNCTION("""COMPUTED_VALUE"""),9.0)</f>
        <v>9</v>
      </c>
      <c r="H879" s="11">
        <f>IFERROR(__xludf.DUMMYFUNCTION("""COMPUTED_VALUE"""),-12.9168)</f>
        <v>-12.9168</v>
      </c>
    </row>
    <row r="880">
      <c r="A880" s="8" t="str">
        <f>IFERROR(__xludf.DUMMYFUNCTION("""COMPUTED_VALUE"""),"CA-2015-105599")</f>
        <v>CA-2015-105599</v>
      </c>
      <c r="B880" s="9">
        <f>IFERROR(__xludf.DUMMYFUNCTION("""COMPUTED_VALUE"""),42254.0)</f>
        <v>42254</v>
      </c>
      <c r="C880" s="8" t="str">
        <f>IFERROR(__xludf.DUMMYFUNCTION("""COMPUTED_VALUE"""),"Marc Crier")</f>
        <v>Marc Crier</v>
      </c>
      <c r="D880" s="8" t="str">
        <f>IFERROR(__xludf.DUMMYFUNCTION("""COMPUTED_VALUE"""),"Consumer")</f>
        <v>Consumer</v>
      </c>
      <c r="E880" s="8" t="str">
        <f>IFERROR(__xludf.DUMMYFUNCTION("""COMPUTED_VALUE"""),"East")</f>
        <v>East</v>
      </c>
      <c r="F880" s="10">
        <f>IFERROR(__xludf.DUMMYFUNCTION("""COMPUTED_VALUE"""),13.96)</f>
        <v>13.96</v>
      </c>
      <c r="G880" s="11">
        <f>IFERROR(__xludf.DUMMYFUNCTION("""COMPUTED_VALUE"""),2.0)</f>
        <v>2</v>
      </c>
      <c r="H880" s="11">
        <f>IFERROR(__xludf.DUMMYFUNCTION("""COMPUTED_VALUE"""),0.2792)</f>
        <v>0.2792</v>
      </c>
    </row>
    <row r="881">
      <c r="A881" s="8" t="str">
        <f>IFERROR(__xludf.DUMMYFUNCTION("""COMPUTED_VALUE"""),"CA-2015-105613")</f>
        <v>CA-2015-105613</v>
      </c>
      <c r="B881" s="9">
        <f>IFERROR(__xludf.DUMMYFUNCTION("""COMPUTED_VALUE"""),42295.0)</f>
        <v>42295</v>
      </c>
      <c r="C881" s="8" t="str">
        <f>IFERROR(__xludf.DUMMYFUNCTION("""COMPUTED_VALUE"""),"Kristina Nunn")</f>
        <v>Kristina Nunn</v>
      </c>
      <c r="D881" s="8" t="str">
        <f>IFERROR(__xludf.DUMMYFUNCTION("""COMPUTED_VALUE"""),"Home Office")</f>
        <v>Home Office</v>
      </c>
      <c r="E881" s="8" t="str">
        <f>IFERROR(__xludf.DUMMYFUNCTION("""COMPUTED_VALUE"""),"Central")</f>
        <v>Central</v>
      </c>
      <c r="F881" s="10">
        <f>IFERROR(__xludf.DUMMYFUNCTION("""COMPUTED_VALUE"""),27.696)</f>
        <v>27.696</v>
      </c>
      <c r="G881" s="11">
        <f>IFERROR(__xludf.DUMMYFUNCTION("""COMPUTED_VALUE"""),3.0)</f>
        <v>3</v>
      </c>
      <c r="H881" s="11">
        <f>IFERROR(__xludf.DUMMYFUNCTION("""COMPUTED_VALUE"""),3.462)</f>
        <v>3.462</v>
      </c>
    </row>
    <row r="882">
      <c r="A882" s="8" t="str">
        <f>IFERROR(__xludf.DUMMYFUNCTION("""COMPUTED_VALUE"""),"CA-2015-105627")</f>
        <v>CA-2015-105627</v>
      </c>
      <c r="B882" s="9">
        <f>IFERROR(__xludf.DUMMYFUNCTION("""COMPUTED_VALUE"""),42071.0)</f>
        <v>42071</v>
      </c>
      <c r="C882" s="8" t="str">
        <f>IFERROR(__xludf.DUMMYFUNCTION("""COMPUTED_VALUE"""),"Dana Kaydos")</f>
        <v>Dana Kaydos</v>
      </c>
      <c r="D882" s="8" t="str">
        <f>IFERROR(__xludf.DUMMYFUNCTION("""COMPUTED_VALUE"""),"Consumer")</f>
        <v>Consumer</v>
      </c>
      <c r="E882" s="8" t="str">
        <f>IFERROR(__xludf.DUMMYFUNCTION("""COMPUTED_VALUE"""),"Central")</f>
        <v>Central</v>
      </c>
      <c r="F882" s="10">
        <f>IFERROR(__xludf.DUMMYFUNCTION("""COMPUTED_VALUE"""),512.94)</f>
        <v>512.94</v>
      </c>
      <c r="G882" s="11">
        <f>IFERROR(__xludf.DUMMYFUNCTION("""COMPUTED_VALUE"""),3.0)</f>
        <v>3</v>
      </c>
      <c r="H882" s="11">
        <f>IFERROR(__xludf.DUMMYFUNCTION("""COMPUTED_VALUE"""),97.4586)</f>
        <v>97.4586</v>
      </c>
    </row>
    <row r="883">
      <c r="A883" s="8" t="str">
        <f>IFERROR(__xludf.DUMMYFUNCTION("""COMPUTED_VALUE"""),"CA-2015-105634")</f>
        <v>CA-2015-105634</v>
      </c>
      <c r="B883" s="9">
        <f>IFERROR(__xludf.DUMMYFUNCTION("""COMPUTED_VALUE"""),42316.0)</f>
        <v>42316</v>
      </c>
      <c r="C883" s="8" t="str">
        <f>IFERROR(__xludf.DUMMYFUNCTION("""COMPUTED_VALUE"""),"Helen Abelman")</f>
        <v>Helen Abelman</v>
      </c>
      <c r="D883" s="8" t="str">
        <f>IFERROR(__xludf.DUMMYFUNCTION("""COMPUTED_VALUE"""),"Consumer")</f>
        <v>Consumer</v>
      </c>
      <c r="E883" s="8" t="str">
        <f>IFERROR(__xludf.DUMMYFUNCTION("""COMPUTED_VALUE"""),"East")</f>
        <v>East</v>
      </c>
      <c r="F883" s="10">
        <f>IFERROR(__xludf.DUMMYFUNCTION("""COMPUTED_VALUE"""),11.65)</f>
        <v>11.65</v>
      </c>
      <c r="G883" s="11">
        <f>IFERROR(__xludf.DUMMYFUNCTION("""COMPUTED_VALUE"""),5.0)</f>
        <v>5</v>
      </c>
      <c r="H883" s="11">
        <f>IFERROR(__xludf.DUMMYFUNCTION("""COMPUTED_VALUE"""),3.3785)</f>
        <v>3.3785</v>
      </c>
    </row>
    <row r="884">
      <c r="A884" s="8" t="str">
        <f>IFERROR(__xludf.DUMMYFUNCTION("""COMPUTED_VALUE"""),"CA-2015-105690")</f>
        <v>CA-2015-105690</v>
      </c>
      <c r="B884" s="9">
        <f>IFERROR(__xludf.DUMMYFUNCTION("""COMPUTED_VALUE"""),42329.0)</f>
        <v>42329</v>
      </c>
      <c r="C884" s="8" t="str">
        <f>IFERROR(__xludf.DUMMYFUNCTION("""COMPUTED_VALUE"""),"Carol Adams")</f>
        <v>Carol Adams</v>
      </c>
      <c r="D884" s="8" t="str">
        <f>IFERROR(__xludf.DUMMYFUNCTION("""COMPUTED_VALUE"""),"Corporate")</f>
        <v>Corporate</v>
      </c>
      <c r="E884" s="8" t="str">
        <f>IFERROR(__xludf.DUMMYFUNCTION("""COMPUTED_VALUE"""),"Central")</f>
        <v>Central</v>
      </c>
      <c r="F884" s="10">
        <f>IFERROR(__xludf.DUMMYFUNCTION("""COMPUTED_VALUE"""),246.1328)</f>
        <v>246.1328</v>
      </c>
      <c r="G884" s="11">
        <f>IFERROR(__xludf.DUMMYFUNCTION("""COMPUTED_VALUE"""),2.0)</f>
        <v>2</v>
      </c>
      <c r="H884" s="11">
        <f>IFERROR(__xludf.DUMMYFUNCTION("""COMPUTED_VALUE"""),-76.0116)</f>
        <v>-76.0116</v>
      </c>
    </row>
    <row r="885">
      <c r="A885" s="8" t="str">
        <f>IFERROR(__xludf.DUMMYFUNCTION("""COMPUTED_VALUE"""),"CA-2015-105725")</f>
        <v>CA-2015-105725</v>
      </c>
      <c r="B885" s="9">
        <f>IFERROR(__xludf.DUMMYFUNCTION("""COMPUTED_VALUE"""),42053.0)</f>
        <v>42053</v>
      </c>
      <c r="C885" s="8" t="str">
        <f>IFERROR(__xludf.DUMMYFUNCTION("""COMPUTED_VALUE"""),"Guy Thornton")</f>
        <v>Guy Thornton</v>
      </c>
      <c r="D885" s="8" t="str">
        <f>IFERROR(__xludf.DUMMYFUNCTION("""COMPUTED_VALUE"""),"Consumer")</f>
        <v>Consumer</v>
      </c>
      <c r="E885" s="8" t="str">
        <f>IFERROR(__xludf.DUMMYFUNCTION("""COMPUTED_VALUE"""),"West")</f>
        <v>West</v>
      </c>
      <c r="F885" s="10">
        <f>IFERROR(__xludf.DUMMYFUNCTION("""COMPUTED_VALUE"""),61.06)</f>
        <v>61.06</v>
      </c>
      <c r="G885" s="11">
        <f>IFERROR(__xludf.DUMMYFUNCTION("""COMPUTED_VALUE"""),2.0)</f>
        <v>2</v>
      </c>
      <c r="H885" s="11">
        <f>IFERROR(__xludf.DUMMYFUNCTION("""COMPUTED_VALUE"""),28.0876)</f>
        <v>28.0876</v>
      </c>
    </row>
    <row r="886">
      <c r="A886" s="8" t="str">
        <f>IFERROR(__xludf.DUMMYFUNCTION("""COMPUTED_VALUE"""),"CA-2015-105844")</f>
        <v>CA-2015-105844</v>
      </c>
      <c r="B886" s="9">
        <f>IFERROR(__xludf.DUMMYFUNCTION("""COMPUTED_VALUE"""),42302.0)</f>
        <v>42302</v>
      </c>
      <c r="C886" s="8" t="str">
        <f>IFERROR(__xludf.DUMMYFUNCTION("""COMPUTED_VALUE"""),"Jennifer Ferguson")</f>
        <v>Jennifer Ferguson</v>
      </c>
      <c r="D886" s="8" t="str">
        <f>IFERROR(__xludf.DUMMYFUNCTION("""COMPUTED_VALUE"""),"Consumer")</f>
        <v>Consumer</v>
      </c>
      <c r="E886" s="8" t="str">
        <f>IFERROR(__xludf.DUMMYFUNCTION("""COMPUTED_VALUE"""),"West")</f>
        <v>West</v>
      </c>
      <c r="F886" s="10">
        <f>IFERROR(__xludf.DUMMYFUNCTION("""COMPUTED_VALUE"""),79.36)</f>
        <v>79.36</v>
      </c>
      <c r="G886" s="11">
        <f>IFERROR(__xludf.DUMMYFUNCTION("""COMPUTED_VALUE"""),4.0)</f>
        <v>4</v>
      </c>
      <c r="H886" s="11">
        <f>IFERROR(__xludf.DUMMYFUNCTION("""COMPUTED_VALUE"""),23.808)</f>
        <v>23.808</v>
      </c>
    </row>
    <row r="887">
      <c r="A887" s="8" t="str">
        <f>IFERROR(__xludf.DUMMYFUNCTION("""COMPUTED_VALUE"""),"CA-2015-105970")</f>
        <v>CA-2015-105970</v>
      </c>
      <c r="B887" s="9">
        <f>IFERROR(__xludf.DUMMYFUNCTION("""COMPUTED_VALUE"""),42065.0)</f>
        <v>42065</v>
      </c>
      <c r="C887" s="8" t="str">
        <f>IFERROR(__xludf.DUMMYFUNCTION("""COMPUTED_VALUE"""),"Pete Armstrong")</f>
        <v>Pete Armstrong</v>
      </c>
      <c r="D887" s="8" t="str">
        <f>IFERROR(__xludf.DUMMYFUNCTION("""COMPUTED_VALUE"""),"Home Office")</f>
        <v>Home Office</v>
      </c>
      <c r="E887" s="8" t="str">
        <f>IFERROR(__xludf.DUMMYFUNCTION("""COMPUTED_VALUE"""),"Central")</f>
        <v>Central</v>
      </c>
      <c r="F887" s="10">
        <f>IFERROR(__xludf.DUMMYFUNCTION("""COMPUTED_VALUE"""),10.16)</f>
        <v>10.16</v>
      </c>
      <c r="G887" s="11">
        <f>IFERROR(__xludf.DUMMYFUNCTION("""COMPUTED_VALUE"""),1.0)</f>
        <v>1</v>
      </c>
      <c r="H887" s="11">
        <f>IFERROR(__xludf.DUMMYFUNCTION("""COMPUTED_VALUE"""),2.6416)</f>
        <v>2.6416</v>
      </c>
    </row>
    <row r="888">
      <c r="A888" s="8" t="str">
        <f>IFERROR(__xludf.DUMMYFUNCTION("""COMPUTED_VALUE"""),"CA-2015-106187")</f>
        <v>CA-2015-106187</v>
      </c>
      <c r="B888" s="9">
        <f>IFERROR(__xludf.DUMMYFUNCTION("""COMPUTED_VALUE"""),42178.0)</f>
        <v>42178</v>
      </c>
      <c r="C888" s="8" t="str">
        <f>IFERROR(__xludf.DUMMYFUNCTION("""COMPUTED_VALUE"""),"Randy Ferguson")</f>
        <v>Randy Ferguson</v>
      </c>
      <c r="D888" s="8" t="str">
        <f>IFERROR(__xludf.DUMMYFUNCTION("""COMPUTED_VALUE"""),"Corporate")</f>
        <v>Corporate</v>
      </c>
      <c r="E888" s="8" t="str">
        <f>IFERROR(__xludf.DUMMYFUNCTION("""COMPUTED_VALUE"""),"South")</f>
        <v>South</v>
      </c>
      <c r="F888" s="10">
        <f>IFERROR(__xludf.DUMMYFUNCTION("""COMPUTED_VALUE"""),27.42)</f>
        <v>27.42</v>
      </c>
      <c r="G888" s="11">
        <f>IFERROR(__xludf.DUMMYFUNCTION("""COMPUTED_VALUE"""),3.0)</f>
        <v>3</v>
      </c>
      <c r="H888" s="11">
        <f>IFERROR(__xludf.DUMMYFUNCTION("""COMPUTED_VALUE"""),9.3228)</f>
        <v>9.3228</v>
      </c>
    </row>
    <row r="889">
      <c r="A889" s="8" t="str">
        <f>IFERROR(__xludf.DUMMYFUNCTION("""COMPUTED_VALUE"""),"CA-2015-106208")</f>
        <v>CA-2015-106208</v>
      </c>
      <c r="B889" s="9">
        <f>IFERROR(__xludf.DUMMYFUNCTION("""COMPUTED_VALUE"""),42348.0)</f>
        <v>42348</v>
      </c>
      <c r="C889" s="8" t="str">
        <f>IFERROR(__xludf.DUMMYFUNCTION("""COMPUTED_VALUE"""),"Julia West")</f>
        <v>Julia West</v>
      </c>
      <c r="D889" s="8" t="str">
        <f>IFERROR(__xludf.DUMMYFUNCTION("""COMPUTED_VALUE"""),"Consumer")</f>
        <v>Consumer</v>
      </c>
      <c r="E889" s="8" t="str">
        <f>IFERROR(__xludf.DUMMYFUNCTION("""COMPUTED_VALUE"""),"Central")</f>
        <v>Central</v>
      </c>
      <c r="F889" s="10">
        <f>IFERROR(__xludf.DUMMYFUNCTION("""COMPUTED_VALUE"""),53.088)</f>
        <v>53.088</v>
      </c>
      <c r="G889" s="11">
        <f>IFERROR(__xludf.DUMMYFUNCTION("""COMPUTED_VALUE"""),7.0)</f>
        <v>7</v>
      </c>
      <c r="H889" s="11">
        <f>IFERROR(__xludf.DUMMYFUNCTION("""COMPUTED_VALUE"""),-108.8304)</f>
        <v>-108.8304</v>
      </c>
    </row>
    <row r="890">
      <c r="A890" s="8" t="str">
        <f>IFERROR(__xludf.DUMMYFUNCTION("""COMPUTED_VALUE"""),"CA-2015-106215")</f>
        <v>CA-2015-106215</v>
      </c>
      <c r="B890" s="9">
        <f>IFERROR(__xludf.DUMMYFUNCTION("""COMPUTED_VALUE"""),42110.0)</f>
        <v>42110</v>
      </c>
      <c r="C890" s="8" t="str">
        <f>IFERROR(__xludf.DUMMYFUNCTION("""COMPUTED_VALUE"""),"Brad Norvell")</f>
        <v>Brad Norvell</v>
      </c>
      <c r="D890" s="8" t="str">
        <f>IFERROR(__xludf.DUMMYFUNCTION("""COMPUTED_VALUE"""),"Corporate")</f>
        <v>Corporate</v>
      </c>
      <c r="E890" s="8" t="str">
        <f>IFERROR(__xludf.DUMMYFUNCTION("""COMPUTED_VALUE"""),"East")</f>
        <v>East</v>
      </c>
      <c r="F890" s="10">
        <f>IFERROR(__xludf.DUMMYFUNCTION("""COMPUTED_VALUE"""),12.576)</f>
        <v>12.576</v>
      </c>
      <c r="G890" s="11">
        <f>IFERROR(__xludf.DUMMYFUNCTION("""COMPUTED_VALUE"""),4.0)</f>
        <v>4</v>
      </c>
      <c r="H890" s="11">
        <f>IFERROR(__xludf.DUMMYFUNCTION("""COMPUTED_VALUE"""),4.0872)</f>
        <v>4.0872</v>
      </c>
    </row>
    <row r="891">
      <c r="A891" s="8" t="str">
        <f>IFERROR(__xludf.DUMMYFUNCTION("""COMPUTED_VALUE"""),"CA-2015-106257")</f>
        <v>CA-2015-106257</v>
      </c>
      <c r="B891" s="9">
        <f>IFERROR(__xludf.DUMMYFUNCTION("""COMPUTED_VALUE"""),42107.0)</f>
        <v>42107</v>
      </c>
      <c r="C891" s="8" t="str">
        <f>IFERROR(__xludf.DUMMYFUNCTION("""COMPUTED_VALUE"""),"Eugene Barchas")</f>
        <v>Eugene Barchas</v>
      </c>
      <c r="D891" s="8" t="str">
        <f>IFERROR(__xludf.DUMMYFUNCTION("""COMPUTED_VALUE"""),"Consumer")</f>
        <v>Consumer</v>
      </c>
      <c r="E891" s="8" t="str">
        <f>IFERROR(__xludf.DUMMYFUNCTION("""COMPUTED_VALUE"""),"West")</f>
        <v>West</v>
      </c>
      <c r="F891" s="10">
        <f>IFERROR(__xludf.DUMMYFUNCTION("""COMPUTED_VALUE"""),241.568)</f>
        <v>241.568</v>
      </c>
      <c r="G891" s="11">
        <f>IFERROR(__xludf.DUMMYFUNCTION("""COMPUTED_VALUE"""),2.0)</f>
        <v>2</v>
      </c>
      <c r="H891" s="11">
        <f>IFERROR(__xludf.DUMMYFUNCTION("""COMPUTED_VALUE"""),-15.098)</f>
        <v>-15.098</v>
      </c>
    </row>
    <row r="892">
      <c r="A892" s="8" t="str">
        <f>IFERROR(__xludf.DUMMYFUNCTION("""COMPUTED_VALUE"""),"CA-2015-106320")</f>
        <v>CA-2015-106320</v>
      </c>
      <c r="B892" s="9">
        <f>IFERROR(__xludf.DUMMYFUNCTION("""COMPUTED_VALUE"""),42272.0)</f>
        <v>42272</v>
      </c>
      <c r="C892" s="8" t="str">
        <f>IFERROR(__xludf.DUMMYFUNCTION("""COMPUTED_VALUE"""),"Emily Burns")</f>
        <v>Emily Burns</v>
      </c>
      <c r="D892" s="8" t="str">
        <f>IFERROR(__xludf.DUMMYFUNCTION("""COMPUTED_VALUE"""),"Consumer")</f>
        <v>Consumer</v>
      </c>
      <c r="E892" s="8" t="str">
        <f>IFERROR(__xludf.DUMMYFUNCTION("""COMPUTED_VALUE"""),"West")</f>
        <v>West</v>
      </c>
      <c r="F892" s="10">
        <f>IFERROR(__xludf.DUMMYFUNCTION("""COMPUTED_VALUE"""),1044.63)</f>
        <v>1044.63</v>
      </c>
      <c r="G892" s="11">
        <f>IFERROR(__xludf.DUMMYFUNCTION("""COMPUTED_VALUE"""),3.0)</f>
        <v>3</v>
      </c>
      <c r="H892" s="11">
        <f>IFERROR(__xludf.DUMMYFUNCTION("""COMPUTED_VALUE"""),240.2649)</f>
        <v>240.2649</v>
      </c>
    </row>
    <row r="893">
      <c r="A893" s="8" t="str">
        <f>IFERROR(__xludf.DUMMYFUNCTION("""COMPUTED_VALUE"""),"CA-2015-106362")</f>
        <v>CA-2015-106362</v>
      </c>
      <c r="B893" s="9">
        <f>IFERROR(__xludf.DUMMYFUNCTION("""COMPUTED_VALUE"""),42349.0)</f>
        <v>42349</v>
      </c>
      <c r="C893" s="8" t="str">
        <f>IFERROR(__xludf.DUMMYFUNCTION("""COMPUTED_VALUE"""),"Lena Creighton")</f>
        <v>Lena Creighton</v>
      </c>
      <c r="D893" s="8" t="str">
        <f>IFERROR(__xludf.DUMMYFUNCTION("""COMPUTED_VALUE"""),"Consumer")</f>
        <v>Consumer</v>
      </c>
      <c r="E893" s="8" t="str">
        <f>IFERROR(__xludf.DUMMYFUNCTION("""COMPUTED_VALUE"""),"East")</f>
        <v>East</v>
      </c>
      <c r="F893" s="10">
        <f>IFERROR(__xludf.DUMMYFUNCTION("""COMPUTED_VALUE"""),10.332)</f>
        <v>10.332</v>
      </c>
      <c r="G893" s="11">
        <f>IFERROR(__xludf.DUMMYFUNCTION("""COMPUTED_VALUE"""),3.0)</f>
        <v>3</v>
      </c>
      <c r="H893" s="11">
        <f>IFERROR(__xludf.DUMMYFUNCTION("""COMPUTED_VALUE"""),-7.5768)</f>
        <v>-7.5768</v>
      </c>
    </row>
    <row r="894">
      <c r="A894" s="8" t="str">
        <f>IFERROR(__xludf.DUMMYFUNCTION("""COMPUTED_VALUE"""),"CA-2015-106565")</f>
        <v>CA-2015-106565</v>
      </c>
      <c r="B894" s="9">
        <f>IFERROR(__xludf.DUMMYFUNCTION("""COMPUTED_VALUE"""),42083.0)</f>
        <v>42083</v>
      </c>
      <c r="C894" s="8" t="str">
        <f>IFERROR(__xludf.DUMMYFUNCTION("""COMPUTED_VALUE"""),"Bart Watters")</f>
        <v>Bart Watters</v>
      </c>
      <c r="D894" s="8" t="str">
        <f>IFERROR(__xludf.DUMMYFUNCTION("""COMPUTED_VALUE"""),"Corporate")</f>
        <v>Corporate</v>
      </c>
      <c r="E894" s="8" t="str">
        <f>IFERROR(__xludf.DUMMYFUNCTION("""COMPUTED_VALUE"""),"Central")</f>
        <v>Central</v>
      </c>
      <c r="F894" s="10">
        <f>IFERROR(__xludf.DUMMYFUNCTION("""COMPUTED_VALUE"""),51.84)</f>
        <v>51.84</v>
      </c>
      <c r="G894" s="11">
        <f>IFERROR(__xludf.DUMMYFUNCTION("""COMPUTED_VALUE"""),8.0)</f>
        <v>8</v>
      </c>
      <c r="H894" s="11">
        <f>IFERROR(__xludf.DUMMYFUNCTION("""COMPUTED_VALUE"""),24.8832)</f>
        <v>24.8832</v>
      </c>
    </row>
    <row r="895">
      <c r="A895" s="8" t="str">
        <f>IFERROR(__xludf.DUMMYFUNCTION("""COMPUTED_VALUE"""),"CA-2015-106978")</f>
        <v>CA-2015-106978</v>
      </c>
      <c r="B895" s="9">
        <f>IFERROR(__xludf.DUMMYFUNCTION("""COMPUTED_VALUE"""),42275.0)</f>
        <v>42275</v>
      </c>
      <c r="C895" s="8" t="str">
        <f>IFERROR(__xludf.DUMMYFUNCTION("""COMPUTED_VALUE"""),"Zuschuss Carroll")</f>
        <v>Zuschuss Carroll</v>
      </c>
      <c r="D895" s="8" t="str">
        <f>IFERROR(__xludf.DUMMYFUNCTION("""COMPUTED_VALUE"""),"Consumer")</f>
        <v>Consumer</v>
      </c>
      <c r="E895" s="8" t="str">
        <f>IFERROR(__xludf.DUMMYFUNCTION("""COMPUTED_VALUE"""),"West")</f>
        <v>West</v>
      </c>
      <c r="F895" s="10">
        <f>IFERROR(__xludf.DUMMYFUNCTION("""COMPUTED_VALUE"""),12.536)</f>
        <v>12.536</v>
      </c>
      <c r="G895" s="11">
        <f>IFERROR(__xludf.DUMMYFUNCTION("""COMPUTED_VALUE"""),1.0)</f>
        <v>1</v>
      </c>
      <c r="H895" s="11">
        <f>IFERROR(__xludf.DUMMYFUNCTION("""COMPUTED_VALUE"""),4.2309)</f>
        <v>4.2309</v>
      </c>
    </row>
    <row r="896">
      <c r="A896" s="8" t="str">
        <f>IFERROR(__xludf.DUMMYFUNCTION("""COMPUTED_VALUE"""),"CA-2015-107020")</f>
        <v>CA-2015-107020</v>
      </c>
      <c r="B896" s="9">
        <f>IFERROR(__xludf.DUMMYFUNCTION("""COMPUTED_VALUE"""),42195.0)</f>
        <v>42195</v>
      </c>
      <c r="C896" s="8" t="str">
        <f>IFERROR(__xludf.DUMMYFUNCTION("""COMPUTED_VALUE"""),"Mike Vittorini")</f>
        <v>Mike Vittorini</v>
      </c>
      <c r="D896" s="8" t="str">
        <f>IFERROR(__xludf.DUMMYFUNCTION("""COMPUTED_VALUE"""),"Consumer")</f>
        <v>Consumer</v>
      </c>
      <c r="E896" s="8" t="str">
        <f>IFERROR(__xludf.DUMMYFUNCTION("""COMPUTED_VALUE"""),"West")</f>
        <v>West</v>
      </c>
      <c r="F896" s="10">
        <f>IFERROR(__xludf.DUMMYFUNCTION("""COMPUTED_VALUE"""),39.92)</f>
        <v>39.92</v>
      </c>
      <c r="G896" s="11">
        <f>IFERROR(__xludf.DUMMYFUNCTION("""COMPUTED_VALUE"""),2.0)</f>
        <v>2</v>
      </c>
      <c r="H896" s="11">
        <f>IFERROR(__xludf.DUMMYFUNCTION("""COMPUTED_VALUE"""),12.974)</f>
        <v>12.974</v>
      </c>
    </row>
    <row r="897">
      <c r="A897" s="8" t="str">
        <f>IFERROR(__xludf.DUMMYFUNCTION("""COMPUTED_VALUE"""),"CA-2015-107083")</f>
        <v>CA-2015-107083</v>
      </c>
      <c r="B897" s="9">
        <f>IFERROR(__xludf.DUMMYFUNCTION("""COMPUTED_VALUE"""),42329.0)</f>
        <v>42329</v>
      </c>
      <c r="C897" s="8" t="str">
        <f>IFERROR(__xludf.DUMMYFUNCTION("""COMPUTED_VALUE"""),"Brenda Bowman")</f>
        <v>Brenda Bowman</v>
      </c>
      <c r="D897" s="8" t="str">
        <f>IFERROR(__xludf.DUMMYFUNCTION("""COMPUTED_VALUE"""),"Corporate")</f>
        <v>Corporate</v>
      </c>
      <c r="E897" s="8" t="str">
        <f>IFERROR(__xludf.DUMMYFUNCTION("""COMPUTED_VALUE"""),"Central")</f>
        <v>Central</v>
      </c>
      <c r="F897" s="10">
        <f>IFERROR(__xludf.DUMMYFUNCTION("""COMPUTED_VALUE"""),5.344)</f>
        <v>5.344</v>
      </c>
      <c r="G897" s="11">
        <f>IFERROR(__xludf.DUMMYFUNCTION("""COMPUTED_VALUE"""),2.0)</f>
        <v>2</v>
      </c>
      <c r="H897" s="11">
        <f>IFERROR(__xludf.DUMMYFUNCTION("""COMPUTED_VALUE"""),0.7348)</f>
        <v>0.7348</v>
      </c>
    </row>
    <row r="898">
      <c r="A898" s="8" t="str">
        <f>IFERROR(__xludf.DUMMYFUNCTION("""COMPUTED_VALUE"""),"CA-2015-107468")</f>
        <v>CA-2015-107468</v>
      </c>
      <c r="B898" s="9">
        <f>IFERROR(__xludf.DUMMYFUNCTION("""COMPUTED_VALUE"""),42356.0)</f>
        <v>42356</v>
      </c>
      <c r="C898" s="8" t="str">
        <f>IFERROR(__xludf.DUMMYFUNCTION("""COMPUTED_VALUE"""),"Michael Kennedy")</f>
        <v>Michael Kennedy</v>
      </c>
      <c r="D898" s="8" t="str">
        <f>IFERROR(__xludf.DUMMYFUNCTION("""COMPUTED_VALUE"""),"Corporate")</f>
        <v>Corporate</v>
      </c>
      <c r="E898" s="8" t="str">
        <f>IFERROR(__xludf.DUMMYFUNCTION("""COMPUTED_VALUE"""),"West")</f>
        <v>West</v>
      </c>
      <c r="F898" s="10">
        <f>IFERROR(__xludf.DUMMYFUNCTION("""COMPUTED_VALUE"""),6.848)</f>
        <v>6.848</v>
      </c>
      <c r="G898" s="11">
        <f>IFERROR(__xludf.DUMMYFUNCTION("""COMPUTED_VALUE"""),2.0)</f>
        <v>2</v>
      </c>
      <c r="H898" s="11">
        <f>IFERROR(__xludf.DUMMYFUNCTION("""COMPUTED_VALUE"""),0.5992)</f>
        <v>0.5992</v>
      </c>
    </row>
    <row r="899">
      <c r="A899" s="8" t="str">
        <f>IFERROR(__xludf.DUMMYFUNCTION("""COMPUTED_VALUE"""),"CA-2015-107678")</f>
        <v>CA-2015-107678</v>
      </c>
      <c r="B899" s="9">
        <f>IFERROR(__xludf.DUMMYFUNCTION("""COMPUTED_VALUE"""),42115.0)</f>
        <v>42115</v>
      </c>
      <c r="C899" s="8" t="str">
        <f>IFERROR(__xludf.DUMMYFUNCTION("""COMPUTED_VALUE"""),"Juliana Krohn")</f>
        <v>Juliana Krohn</v>
      </c>
      <c r="D899" s="8" t="str">
        <f>IFERROR(__xludf.DUMMYFUNCTION("""COMPUTED_VALUE"""),"Consumer")</f>
        <v>Consumer</v>
      </c>
      <c r="E899" s="8" t="str">
        <f>IFERROR(__xludf.DUMMYFUNCTION("""COMPUTED_VALUE"""),"South")</f>
        <v>South</v>
      </c>
      <c r="F899" s="10">
        <f>IFERROR(__xludf.DUMMYFUNCTION("""COMPUTED_VALUE"""),191.96)</f>
        <v>191.96</v>
      </c>
      <c r="G899" s="11">
        <f>IFERROR(__xludf.DUMMYFUNCTION("""COMPUTED_VALUE"""),2.0)</f>
        <v>2</v>
      </c>
      <c r="H899" s="11">
        <f>IFERROR(__xludf.DUMMYFUNCTION("""COMPUTED_VALUE"""),51.8292)</f>
        <v>51.8292</v>
      </c>
    </row>
    <row r="900">
      <c r="A900" s="8" t="str">
        <f>IFERROR(__xludf.DUMMYFUNCTION("""COMPUTED_VALUE"""),"CA-2015-107685")</f>
        <v>CA-2015-107685</v>
      </c>
      <c r="B900" s="9">
        <f>IFERROR(__xludf.DUMMYFUNCTION("""COMPUTED_VALUE"""),42338.0)</f>
        <v>42338</v>
      </c>
      <c r="C900" s="8" t="str">
        <f>IFERROR(__xludf.DUMMYFUNCTION("""COMPUTED_VALUE"""),"John Murray")</f>
        <v>John Murray</v>
      </c>
      <c r="D900" s="8" t="str">
        <f>IFERROR(__xludf.DUMMYFUNCTION("""COMPUTED_VALUE"""),"Consumer")</f>
        <v>Consumer</v>
      </c>
      <c r="E900" s="8" t="str">
        <f>IFERROR(__xludf.DUMMYFUNCTION("""COMPUTED_VALUE"""),"West")</f>
        <v>West</v>
      </c>
      <c r="F900" s="10">
        <f>IFERROR(__xludf.DUMMYFUNCTION("""COMPUTED_VALUE"""),80.96)</f>
        <v>80.96</v>
      </c>
      <c r="G900" s="11">
        <f>IFERROR(__xludf.DUMMYFUNCTION("""COMPUTED_VALUE"""),4.0)</f>
        <v>4</v>
      </c>
      <c r="H900" s="11">
        <f>IFERROR(__xludf.DUMMYFUNCTION("""COMPUTED_VALUE"""),29.1456)</f>
        <v>29.1456</v>
      </c>
    </row>
    <row r="901">
      <c r="A901" s="8" t="str">
        <f>IFERROR(__xludf.DUMMYFUNCTION("""COMPUTED_VALUE"""),"CA-2015-107741")</f>
        <v>CA-2015-107741</v>
      </c>
      <c r="B901" s="9">
        <f>IFERROR(__xludf.DUMMYFUNCTION("""COMPUTED_VALUE"""),42071.0)</f>
        <v>42071</v>
      </c>
      <c r="C901" s="8" t="str">
        <f>IFERROR(__xludf.DUMMYFUNCTION("""COMPUTED_VALUE"""),"Fred Chung")</f>
        <v>Fred Chung</v>
      </c>
      <c r="D901" s="8" t="str">
        <f>IFERROR(__xludf.DUMMYFUNCTION("""COMPUTED_VALUE"""),"Corporate")</f>
        <v>Corporate</v>
      </c>
      <c r="E901" s="8" t="str">
        <f>IFERROR(__xludf.DUMMYFUNCTION("""COMPUTED_VALUE"""),"West")</f>
        <v>West</v>
      </c>
      <c r="F901" s="10">
        <f>IFERROR(__xludf.DUMMYFUNCTION("""COMPUTED_VALUE"""),3.408)</f>
        <v>3.408</v>
      </c>
      <c r="G901" s="11">
        <f>IFERROR(__xludf.DUMMYFUNCTION("""COMPUTED_VALUE"""),1.0)</f>
        <v>1</v>
      </c>
      <c r="H901" s="11">
        <f>IFERROR(__xludf.DUMMYFUNCTION("""COMPUTED_VALUE"""),0.8946)</f>
        <v>0.8946</v>
      </c>
    </row>
    <row r="902">
      <c r="A902" s="8" t="str">
        <f>IFERROR(__xludf.DUMMYFUNCTION("""COMPUTED_VALUE"""),"CA-2015-107902")</f>
        <v>CA-2015-107902</v>
      </c>
      <c r="B902" s="9">
        <f>IFERROR(__xludf.DUMMYFUNCTION("""COMPUTED_VALUE"""),42244.0)</f>
        <v>42244</v>
      </c>
      <c r="C902" s="8" t="str">
        <f>IFERROR(__xludf.DUMMYFUNCTION("""COMPUTED_VALUE"""),"Suzanne McNair")</f>
        <v>Suzanne McNair</v>
      </c>
      <c r="D902" s="8" t="str">
        <f>IFERROR(__xludf.DUMMYFUNCTION("""COMPUTED_VALUE"""),"Corporate")</f>
        <v>Corporate</v>
      </c>
      <c r="E902" s="8" t="str">
        <f>IFERROR(__xludf.DUMMYFUNCTION("""COMPUTED_VALUE"""),"East")</f>
        <v>East</v>
      </c>
      <c r="F902" s="10">
        <f>IFERROR(__xludf.DUMMYFUNCTION("""COMPUTED_VALUE"""),470.36)</f>
        <v>470.36</v>
      </c>
      <c r="G902" s="11">
        <f>IFERROR(__xludf.DUMMYFUNCTION("""COMPUTED_VALUE"""),11.0)</f>
        <v>11</v>
      </c>
      <c r="H902" s="11">
        <f>IFERROR(__xludf.DUMMYFUNCTION("""COMPUTED_VALUE"""),122.2936)</f>
        <v>122.2936</v>
      </c>
    </row>
    <row r="903">
      <c r="A903" s="8" t="str">
        <f>IFERROR(__xludf.DUMMYFUNCTION("""COMPUTED_VALUE"""),"CA-2015-107937")</f>
        <v>CA-2015-107937</v>
      </c>
      <c r="B903" s="9">
        <f>IFERROR(__xludf.DUMMYFUNCTION("""COMPUTED_VALUE"""),42127.0)</f>
        <v>42127</v>
      </c>
      <c r="C903" s="8" t="str">
        <f>IFERROR(__xludf.DUMMYFUNCTION("""COMPUTED_VALUE"""),"Julia Barnett")</f>
        <v>Julia Barnett</v>
      </c>
      <c r="D903" s="8" t="str">
        <f>IFERROR(__xludf.DUMMYFUNCTION("""COMPUTED_VALUE"""),"Home Office")</f>
        <v>Home Office</v>
      </c>
      <c r="E903" s="8" t="str">
        <f>IFERROR(__xludf.DUMMYFUNCTION("""COMPUTED_VALUE"""),"West")</f>
        <v>West</v>
      </c>
      <c r="F903" s="10">
        <f>IFERROR(__xludf.DUMMYFUNCTION("""COMPUTED_VALUE"""),665.88)</f>
        <v>665.88</v>
      </c>
      <c r="G903" s="11">
        <f>IFERROR(__xludf.DUMMYFUNCTION("""COMPUTED_VALUE"""),6.0)</f>
        <v>6</v>
      </c>
      <c r="H903" s="11">
        <f>IFERROR(__xludf.DUMMYFUNCTION("""COMPUTED_VALUE"""),106.5408)</f>
        <v>106.5408</v>
      </c>
    </row>
    <row r="904">
      <c r="A904" s="8" t="str">
        <f>IFERROR(__xludf.DUMMYFUNCTION("""COMPUTED_VALUE"""),"CA-2015-108119")</f>
        <v>CA-2015-108119</v>
      </c>
      <c r="B904" s="9">
        <f>IFERROR(__xludf.DUMMYFUNCTION("""COMPUTED_VALUE"""),42309.0)</f>
        <v>42309</v>
      </c>
      <c r="C904" s="8" t="str">
        <f>IFERROR(__xludf.DUMMYFUNCTION("""COMPUTED_VALUE"""),"MaryBeth Skach")</f>
        <v>MaryBeth Skach</v>
      </c>
      <c r="D904" s="8" t="str">
        <f>IFERROR(__xludf.DUMMYFUNCTION("""COMPUTED_VALUE"""),"Consumer")</f>
        <v>Consumer</v>
      </c>
      <c r="E904" s="8" t="str">
        <f>IFERROR(__xludf.DUMMYFUNCTION("""COMPUTED_VALUE"""),"South")</f>
        <v>South</v>
      </c>
      <c r="F904" s="10">
        <f>IFERROR(__xludf.DUMMYFUNCTION("""COMPUTED_VALUE"""),301.96)</f>
        <v>301.96</v>
      </c>
      <c r="G904" s="11">
        <f>IFERROR(__xludf.DUMMYFUNCTION("""COMPUTED_VALUE"""),2.0)</f>
        <v>2</v>
      </c>
      <c r="H904" s="11">
        <f>IFERROR(__xludf.DUMMYFUNCTION("""COMPUTED_VALUE"""),45.294)</f>
        <v>45.294</v>
      </c>
    </row>
    <row r="905">
      <c r="A905" s="8" t="str">
        <f>IFERROR(__xludf.DUMMYFUNCTION("""COMPUTED_VALUE"""),"CA-2015-108259")</f>
        <v>CA-2015-108259</v>
      </c>
      <c r="B905" s="9">
        <f>IFERROR(__xludf.DUMMYFUNCTION("""COMPUTED_VALUE"""),42316.0)</f>
        <v>42316</v>
      </c>
      <c r="C905" s="8" t="str">
        <f>IFERROR(__xludf.DUMMYFUNCTION("""COMPUTED_VALUE"""),"Noel Staavos")</f>
        <v>Noel Staavos</v>
      </c>
      <c r="D905" s="8" t="str">
        <f>IFERROR(__xludf.DUMMYFUNCTION("""COMPUTED_VALUE"""),"Corporate")</f>
        <v>Corporate</v>
      </c>
      <c r="E905" s="8" t="str">
        <f>IFERROR(__xludf.DUMMYFUNCTION("""COMPUTED_VALUE"""),"South")</f>
        <v>South</v>
      </c>
      <c r="F905" s="10">
        <f>IFERROR(__xludf.DUMMYFUNCTION("""COMPUTED_VALUE"""),31.504)</f>
        <v>31.504</v>
      </c>
      <c r="G905" s="11">
        <f>IFERROR(__xludf.DUMMYFUNCTION("""COMPUTED_VALUE"""),11.0)</f>
        <v>11</v>
      </c>
      <c r="H905" s="11">
        <f>IFERROR(__xludf.DUMMYFUNCTION("""COMPUTED_VALUE"""),11.814)</f>
        <v>11.814</v>
      </c>
    </row>
    <row r="906">
      <c r="A906" s="8" t="str">
        <f>IFERROR(__xludf.DUMMYFUNCTION("""COMPUTED_VALUE"""),"CA-2015-108532")</f>
        <v>CA-2015-108532</v>
      </c>
      <c r="B906" s="9">
        <f>IFERROR(__xludf.DUMMYFUNCTION("""COMPUTED_VALUE"""),42245.0)</f>
        <v>42245</v>
      </c>
      <c r="C906" s="8" t="str">
        <f>IFERROR(__xludf.DUMMYFUNCTION("""COMPUTED_VALUE"""),"Chad Cunningham")</f>
        <v>Chad Cunningham</v>
      </c>
      <c r="D906" s="8" t="str">
        <f>IFERROR(__xludf.DUMMYFUNCTION("""COMPUTED_VALUE"""),"Home Office")</f>
        <v>Home Office</v>
      </c>
      <c r="E906" s="8" t="str">
        <f>IFERROR(__xludf.DUMMYFUNCTION("""COMPUTED_VALUE"""),"Central")</f>
        <v>Central</v>
      </c>
      <c r="F906" s="10">
        <f>IFERROR(__xludf.DUMMYFUNCTION("""COMPUTED_VALUE"""),131.98)</f>
        <v>131.98</v>
      </c>
      <c r="G906" s="11">
        <f>IFERROR(__xludf.DUMMYFUNCTION("""COMPUTED_VALUE"""),2.0)</f>
        <v>2</v>
      </c>
      <c r="H906" s="11">
        <f>IFERROR(__xludf.DUMMYFUNCTION("""COMPUTED_VALUE"""),35.6346)</f>
        <v>35.6346</v>
      </c>
    </row>
    <row r="907">
      <c r="A907" s="8" t="str">
        <f>IFERROR(__xludf.DUMMYFUNCTION("""COMPUTED_VALUE"""),"CA-2015-108588")</f>
        <v>CA-2015-108588</v>
      </c>
      <c r="B907" s="9">
        <f>IFERROR(__xludf.DUMMYFUNCTION("""COMPUTED_VALUE"""),42009.0)</f>
        <v>42009</v>
      </c>
      <c r="C907" s="8" t="str">
        <f>IFERROR(__xludf.DUMMYFUNCTION("""COMPUTED_VALUE"""),"Brooke Gillingham")</f>
        <v>Brooke Gillingham</v>
      </c>
      <c r="D907" s="8" t="str">
        <f>IFERROR(__xludf.DUMMYFUNCTION("""COMPUTED_VALUE"""),"Corporate")</f>
        <v>Corporate</v>
      </c>
      <c r="E907" s="8" t="str">
        <f>IFERROR(__xludf.DUMMYFUNCTION("""COMPUTED_VALUE"""),"East")</f>
        <v>East</v>
      </c>
      <c r="F907" s="10">
        <f>IFERROR(__xludf.DUMMYFUNCTION("""COMPUTED_VALUE"""),59.52)</f>
        <v>59.52</v>
      </c>
      <c r="G907" s="11">
        <f>IFERROR(__xludf.DUMMYFUNCTION("""COMPUTED_VALUE"""),3.0)</f>
        <v>3</v>
      </c>
      <c r="H907" s="11">
        <f>IFERROR(__xludf.DUMMYFUNCTION("""COMPUTED_VALUE"""),15.4752)</f>
        <v>15.4752</v>
      </c>
    </row>
    <row r="908">
      <c r="A908" s="8" t="str">
        <f>IFERROR(__xludf.DUMMYFUNCTION("""COMPUTED_VALUE"""),"CA-2015-108665")</f>
        <v>CA-2015-108665</v>
      </c>
      <c r="B908" s="9">
        <f>IFERROR(__xludf.DUMMYFUNCTION("""COMPUTED_VALUE"""),42191.0)</f>
        <v>42191</v>
      </c>
      <c r="C908" s="8" t="str">
        <f>IFERROR(__xludf.DUMMYFUNCTION("""COMPUTED_VALUE"""),"Kalyca Meade")</f>
        <v>Kalyca Meade</v>
      </c>
      <c r="D908" s="8" t="str">
        <f>IFERROR(__xludf.DUMMYFUNCTION("""COMPUTED_VALUE"""),"Corporate")</f>
        <v>Corporate</v>
      </c>
      <c r="E908" s="8" t="str">
        <f>IFERROR(__xludf.DUMMYFUNCTION("""COMPUTED_VALUE"""),"East")</f>
        <v>East</v>
      </c>
      <c r="F908" s="10">
        <f>IFERROR(__xludf.DUMMYFUNCTION("""COMPUTED_VALUE"""),13.96)</f>
        <v>13.96</v>
      </c>
      <c r="G908" s="11">
        <f>IFERROR(__xludf.DUMMYFUNCTION("""COMPUTED_VALUE"""),2.0)</f>
        <v>2</v>
      </c>
      <c r="H908" s="11">
        <f>IFERROR(__xludf.DUMMYFUNCTION("""COMPUTED_VALUE"""),6.7008)</f>
        <v>6.7008</v>
      </c>
    </row>
    <row r="909">
      <c r="A909" s="8" t="str">
        <f>IFERROR(__xludf.DUMMYFUNCTION("""COMPUTED_VALUE"""),"CA-2015-108672")</f>
        <v>CA-2015-108672</v>
      </c>
      <c r="B909" s="9">
        <f>IFERROR(__xludf.DUMMYFUNCTION("""COMPUTED_VALUE"""),42257.0)</f>
        <v>42257</v>
      </c>
      <c r="C909" s="8" t="str">
        <f>IFERROR(__xludf.DUMMYFUNCTION("""COMPUTED_VALUE"""),"Frank Atkinson")</f>
        <v>Frank Atkinson</v>
      </c>
      <c r="D909" s="8" t="str">
        <f>IFERROR(__xludf.DUMMYFUNCTION("""COMPUTED_VALUE"""),"Corporate")</f>
        <v>Corporate</v>
      </c>
      <c r="E909" s="8" t="str">
        <f>IFERROR(__xludf.DUMMYFUNCTION("""COMPUTED_VALUE"""),"West")</f>
        <v>West</v>
      </c>
      <c r="F909" s="10">
        <f>IFERROR(__xludf.DUMMYFUNCTION("""COMPUTED_VALUE"""),106.68)</f>
        <v>106.68</v>
      </c>
      <c r="G909" s="11">
        <f>IFERROR(__xludf.DUMMYFUNCTION("""COMPUTED_VALUE"""),6.0)</f>
        <v>6</v>
      </c>
      <c r="H909" s="11">
        <f>IFERROR(__xludf.DUMMYFUNCTION("""COMPUTED_VALUE"""),33.0708)</f>
        <v>33.0708</v>
      </c>
    </row>
    <row r="910">
      <c r="A910" s="8" t="str">
        <f>IFERROR(__xludf.DUMMYFUNCTION("""COMPUTED_VALUE"""),"CA-2015-109001")</f>
        <v>CA-2015-109001</v>
      </c>
      <c r="B910" s="9">
        <f>IFERROR(__xludf.DUMMYFUNCTION("""COMPUTED_VALUE"""),42068.0)</f>
        <v>42068</v>
      </c>
      <c r="C910" s="8" t="str">
        <f>IFERROR(__xludf.DUMMYFUNCTION("""COMPUTED_VALUE"""),"Katherine Nockton")</f>
        <v>Katherine Nockton</v>
      </c>
      <c r="D910" s="8" t="str">
        <f>IFERROR(__xludf.DUMMYFUNCTION("""COMPUTED_VALUE"""),"Corporate")</f>
        <v>Corporate</v>
      </c>
      <c r="E910" s="8" t="str">
        <f>IFERROR(__xludf.DUMMYFUNCTION("""COMPUTED_VALUE"""),"East")</f>
        <v>East</v>
      </c>
      <c r="F910" s="10">
        <f>IFERROR(__xludf.DUMMYFUNCTION("""COMPUTED_VALUE"""),466.158)</f>
        <v>466.158</v>
      </c>
      <c r="G910" s="11">
        <f>IFERROR(__xludf.DUMMYFUNCTION("""COMPUTED_VALUE"""),7.0)</f>
        <v>7</v>
      </c>
      <c r="H910" s="11">
        <f>IFERROR(__xludf.DUMMYFUNCTION("""COMPUTED_VALUE"""),-93.2316)</f>
        <v>-93.2316</v>
      </c>
    </row>
    <row r="911">
      <c r="A911" s="8" t="str">
        <f>IFERROR(__xludf.DUMMYFUNCTION("""COMPUTED_VALUE"""),"CA-2015-109113")</f>
        <v>CA-2015-109113</v>
      </c>
      <c r="B911" s="9">
        <f>IFERROR(__xludf.DUMMYFUNCTION("""COMPUTED_VALUE"""),42357.0)</f>
        <v>42357</v>
      </c>
      <c r="C911" s="8" t="str">
        <f>IFERROR(__xludf.DUMMYFUNCTION("""COMPUTED_VALUE"""),"Eileen Kiefer")</f>
        <v>Eileen Kiefer</v>
      </c>
      <c r="D911" s="8" t="str">
        <f>IFERROR(__xludf.DUMMYFUNCTION("""COMPUTED_VALUE"""),"Home Office")</f>
        <v>Home Office</v>
      </c>
      <c r="E911" s="8" t="str">
        <f>IFERROR(__xludf.DUMMYFUNCTION("""COMPUTED_VALUE"""),"Central")</f>
        <v>Central</v>
      </c>
      <c r="F911" s="10">
        <f>IFERROR(__xludf.DUMMYFUNCTION("""COMPUTED_VALUE"""),25.488)</f>
        <v>25.488</v>
      </c>
      <c r="G911" s="11">
        <f>IFERROR(__xludf.DUMMYFUNCTION("""COMPUTED_VALUE"""),2.0)</f>
        <v>2</v>
      </c>
      <c r="H911" s="11">
        <f>IFERROR(__xludf.DUMMYFUNCTION("""COMPUTED_VALUE"""),4.779)</f>
        <v>4.779</v>
      </c>
    </row>
    <row r="912">
      <c r="A912" s="8" t="str">
        <f>IFERROR(__xludf.DUMMYFUNCTION("""COMPUTED_VALUE"""),"CA-2015-109169")</f>
        <v>CA-2015-109169</v>
      </c>
      <c r="B912" s="9">
        <f>IFERROR(__xludf.DUMMYFUNCTION("""COMPUTED_VALUE"""),42114.0)</f>
        <v>42114</v>
      </c>
      <c r="C912" s="8" t="str">
        <f>IFERROR(__xludf.DUMMYFUNCTION("""COMPUTED_VALUE"""),"Olvera Toch")</f>
        <v>Olvera Toch</v>
      </c>
      <c r="D912" s="8" t="str">
        <f>IFERROR(__xludf.DUMMYFUNCTION("""COMPUTED_VALUE"""),"Consumer")</f>
        <v>Consumer</v>
      </c>
      <c r="E912" s="8" t="str">
        <f>IFERROR(__xludf.DUMMYFUNCTION("""COMPUTED_VALUE"""),"Central")</f>
        <v>Central</v>
      </c>
      <c r="F912" s="10">
        <f>IFERROR(__xludf.DUMMYFUNCTION("""COMPUTED_VALUE"""),180.96)</f>
        <v>180.96</v>
      </c>
      <c r="G912" s="11">
        <f>IFERROR(__xludf.DUMMYFUNCTION("""COMPUTED_VALUE"""),2.0)</f>
        <v>2</v>
      </c>
      <c r="H912" s="11">
        <f>IFERROR(__xludf.DUMMYFUNCTION("""COMPUTED_VALUE"""),81.432)</f>
        <v>81.432</v>
      </c>
    </row>
    <row r="913">
      <c r="A913" s="8" t="str">
        <f>IFERROR(__xludf.DUMMYFUNCTION("""COMPUTED_VALUE"""),"CA-2015-109190")</f>
        <v>CA-2015-109190</v>
      </c>
      <c r="B913" s="9">
        <f>IFERROR(__xludf.DUMMYFUNCTION("""COMPUTED_VALUE"""),42300.0)</f>
        <v>42300</v>
      </c>
      <c r="C913" s="8" t="str">
        <f>IFERROR(__xludf.DUMMYFUNCTION("""COMPUTED_VALUE"""),"Craig Carroll")</f>
        <v>Craig Carroll</v>
      </c>
      <c r="D913" s="8" t="str">
        <f>IFERROR(__xludf.DUMMYFUNCTION("""COMPUTED_VALUE"""),"Consumer")</f>
        <v>Consumer</v>
      </c>
      <c r="E913" s="8" t="str">
        <f>IFERROR(__xludf.DUMMYFUNCTION("""COMPUTED_VALUE"""),"Central")</f>
        <v>Central</v>
      </c>
      <c r="F913" s="10">
        <f>IFERROR(__xludf.DUMMYFUNCTION("""COMPUTED_VALUE"""),60.736)</f>
        <v>60.736</v>
      </c>
      <c r="G913" s="11">
        <f>IFERROR(__xludf.DUMMYFUNCTION("""COMPUTED_VALUE"""),8.0)</f>
        <v>8</v>
      </c>
      <c r="H913" s="11">
        <f>IFERROR(__xludf.DUMMYFUNCTION("""COMPUTED_VALUE"""),20.4984)</f>
        <v>20.4984</v>
      </c>
    </row>
    <row r="914">
      <c r="A914" s="8" t="str">
        <f>IFERROR(__xludf.DUMMYFUNCTION("""COMPUTED_VALUE"""),"CA-2015-109197")</f>
        <v>CA-2015-109197</v>
      </c>
      <c r="B914" s="9">
        <f>IFERROR(__xludf.DUMMYFUNCTION("""COMPUTED_VALUE"""),42369.0)</f>
        <v>42369</v>
      </c>
      <c r="C914" s="8" t="str">
        <f>IFERROR(__xludf.DUMMYFUNCTION("""COMPUTED_VALUE"""),"Jas O'Carroll")</f>
        <v>Jas O'Carroll</v>
      </c>
      <c r="D914" s="8" t="str">
        <f>IFERROR(__xludf.DUMMYFUNCTION("""COMPUTED_VALUE"""),"Consumer")</f>
        <v>Consumer</v>
      </c>
      <c r="E914" s="8" t="str">
        <f>IFERROR(__xludf.DUMMYFUNCTION("""COMPUTED_VALUE"""),"West")</f>
        <v>West</v>
      </c>
      <c r="F914" s="10">
        <f>IFERROR(__xludf.DUMMYFUNCTION("""COMPUTED_VALUE"""),487.984)</f>
        <v>487.984</v>
      </c>
      <c r="G914" s="11">
        <f>IFERROR(__xludf.DUMMYFUNCTION("""COMPUTED_VALUE"""),2.0)</f>
        <v>2</v>
      </c>
      <c r="H914" s="11">
        <f>IFERROR(__xludf.DUMMYFUNCTION("""COMPUTED_VALUE"""),152.495)</f>
        <v>152.495</v>
      </c>
    </row>
    <row r="915">
      <c r="A915" s="8" t="str">
        <f>IFERROR(__xludf.DUMMYFUNCTION("""COMPUTED_VALUE"""),"CA-2015-109337")</f>
        <v>CA-2015-109337</v>
      </c>
      <c r="B915" s="9">
        <f>IFERROR(__xludf.DUMMYFUNCTION("""COMPUTED_VALUE"""),42329.0)</f>
        <v>42329</v>
      </c>
      <c r="C915" s="8" t="str">
        <f>IFERROR(__xludf.DUMMYFUNCTION("""COMPUTED_VALUE"""),"Denise Leinenbach")</f>
        <v>Denise Leinenbach</v>
      </c>
      <c r="D915" s="8" t="str">
        <f>IFERROR(__xludf.DUMMYFUNCTION("""COMPUTED_VALUE"""),"Consumer")</f>
        <v>Consumer</v>
      </c>
      <c r="E915" s="8" t="str">
        <f>IFERROR(__xludf.DUMMYFUNCTION("""COMPUTED_VALUE"""),"Central")</f>
        <v>Central</v>
      </c>
      <c r="F915" s="10">
        <f>IFERROR(__xludf.DUMMYFUNCTION("""COMPUTED_VALUE"""),10.92)</f>
        <v>10.92</v>
      </c>
      <c r="G915" s="11">
        <f>IFERROR(__xludf.DUMMYFUNCTION("""COMPUTED_VALUE"""),6.0)</f>
        <v>6</v>
      </c>
      <c r="H915" s="11">
        <f>IFERROR(__xludf.DUMMYFUNCTION("""COMPUTED_VALUE"""),4.914)</f>
        <v>4.914</v>
      </c>
    </row>
    <row r="916">
      <c r="A916" s="8" t="str">
        <f>IFERROR(__xludf.DUMMYFUNCTION("""COMPUTED_VALUE"""),"CA-2015-109386")</f>
        <v>CA-2015-109386</v>
      </c>
      <c r="B916" s="9">
        <f>IFERROR(__xludf.DUMMYFUNCTION("""COMPUTED_VALUE"""),42316.0)</f>
        <v>42316</v>
      </c>
      <c r="C916" s="8" t="str">
        <f>IFERROR(__xludf.DUMMYFUNCTION("""COMPUTED_VALUE"""),"Rob Haberlin")</f>
        <v>Rob Haberlin</v>
      </c>
      <c r="D916" s="8" t="str">
        <f>IFERROR(__xludf.DUMMYFUNCTION("""COMPUTED_VALUE"""),"Consumer")</f>
        <v>Consumer</v>
      </c>
      <c r="E916" s="8" t="str">
        <f>IFERROR(__xludf.DUMMYFUNCTION("""COMPUTED_VALUE"""),"South")</f>
        <v>South</v>
      </c>
      <c r="F916" s="10">
        <f>IFERROR(__xludf.DUMMYFUNCTION("""COMPUTED_VALUE"""),44.43)</f>
        <v>44.43</v>
      </c>
      <c r="G916" s="11">
        <f>IFERROR(__xludf.DUMMYFUNCTION("""COMPUTED_VALUE"""),3.0)</f>
        <v>3</v>
      </c>
      <c r="H916" s="11">
        <f>IFERROR(__xludf.DUMMYFUNCTION("""COMPUTED_VALUE"""),18.6606)</f>
        <v>18.6606</v>
      </c>
    </row>
    <row r="917">
      <c r="A917" s="8" t="str">
        <f>IFERROR(__xludf.DUMMYFUNCTION("""COMPUTED_VALUE"""),"CA-2015-109470")</f>
        <v>CA-2015-109470</v>
      </c>
      <c r="B917" s="9">
        <f>IFERROR(__xludf.DUMMYFUNCTION("""COMPUTED_VALUE"""),42369.0)</f>
        <v>42369</v>
      </c>
      <c r="C917" s="8" t="str">
        <f>IFERROR(__xludf.DUMMYFUNCTION("""COMPUTED_VALUE"""),"Karen Carlisle")</f>
        <v>Karen Carlisle</v>
      </c>
      <c r="D917" s="8" t="str">
        <f>IFERROR(__xludf.DUMMYFUNCTION("""COMPUTED_VALUE"""),"Corporate")</f>
        <v>Corporate</v>
      </c>
      <c r="E917" s="8" t="str">
        <f>IFERROR(__xludf.DUMMYFUNCTION("""COMPUTED_VALUE"""),"South")</f>
        <v>South</v>
      </c>
      <c r="F917" s="10">
        <f>IFERROR(__xludf.DUMMYFUNCTION("""COMPUTED_VALUE"""),94.74)</f>
        <v>94.74</v>
      </c>
      <c r="G917" s="11">
        <f>IFERROR(__xludf.DUMMYFUNCTION("""COMPUTED_VALUE"""),3.0)</f>
        <v>3</v>
      </c>
      <c r="H917" s="11">
        <f>IFERROR(__xludf.DUMMYFUNCTION("""COMPUTED_VALUE"""),44.5278)</f>
        <v>44.5278</v>
      </c>
    </row>
    <row r="918">
      <c r="A918" s="8" t="str">
        <f>IFERROR(__xludf.DUMMYFUNCTION("""COMPUTED_VALUE"""),"CA-2015-109512")</f>
        <v>CA-2015-109512</v>
      </c>
      <c r="B918" s="9">
        <f>IFERROR(__xludf.DUMMYFUNCTION("""COMPUTED_VALUE"""),42068.0)</f>
        <v>42068</v>
      </c>
      <c r="C918" s="8" t="str">
        <f>IFERROR(__xludf.DUMMYFUNCTION("""COMPUTED_VALUE"""),"Luke Foster")</f>
        <v>Luke Foster</v>
      </c>
      <c r="D918" s="8" t="str">
        <f>IFERROR(__xludf.DUMMYFUNCTION("""COMPUTED_VALUE"""),"Consumer")</f>
        <v>Consumer</v>
      </c>
      <c r="E918" s="8" t="str">
        <f>IFERROR(__xludf.DUMMYFUNCTION("""COMPUTED_VALUE"""),"East")</f>
        <v>East</v>
      </c>
      <c r="F918" s="10">
        <f>IFERROR(__xludf.DUMMYFUNCTION("""COMPUTED_VALUE"""),29.34)</f>
        <v>29.34</v>
      </c>
      <c r="G918" s="11">
        <f>IFERROR(__xludf.DUMMYFUNCTION("""COMPUTED_VALUE"""),3.0)</f>
        <v>3</v>
      </c>
      <c r="H918" s="11">
        <f>IFERROR(__xludf.DUMMYFUNCTION("""COMPUTED_VALUE"""),14.67)</f>
        <v>14.67</v>
      </c>
    </row>
    <row r="919">
      <c r="A919" s="8" t="str">
        <f>IFERROR(__xludf.DUMMYFUNCTION("""COMPUTED_VALUE"""),"CA-2015-109575")</f>
        <v>CA-2015-109575</v>
      </c>
      <c r="B919" s="9">
        <f>IFERROR(__xludf.DUMMYFUNCTION("""COMPUTED_VALUE"""),42265.0)</f>
        <v>42265</v>
      </c>
      <c r="C919" s="8" t="str">
        <f>IFERROR(__xludf.DUMMYFUNCTION("""COMPUTED_VALUE"""),"Ken Heidel")</f>
        <v>Ken Heidel</v>
      </c>
      <c r="D919" s="8" t="str">
        <f>IFERROR(__xludf.DUMMYFUNCTION("""COMPUTED_VALUE"""),"Corporate")</f>
        <v>Corporate</v>
      </c>
      <c r="E919" s="8" t="str">
        <f>IFERROR(__xludf.DUMMYFUNCTION("""COMPUTED_VALUE"""),"East")</f>
        <v>East</v>
      </c>
      <c r="F919" s="10">
        <f>IFERROR(__xludf.DUMMYFUNCTION("""COMPUTED_VALUE"""),41.96)</f>
        <v>41.96</v>
      </c>
      <c r="G919" s="11">
        <f>IFERROR(__xludf.DUMMYFUNCTION("""COMPUTED_VALUE"""),2.0)</f>
        <v>2</v>
      </c>
      <c r="H919" s="11">
        <f>IFERROR(__xludf.DUMMYFUNCTION("""COMPUTED_VALUE"""),7.9724)</f>
        <v>7.9724</v>
      </c>
    </row>
    <row r="920">
      <c r="A920" s="8" t="str">
        <f>IFERROR(__xludf.DUMMYFUNCTION("""COMPUTED_VALUE"""),"CA-2015-109603")</f>
        <v>CA-2015-109603</v>
      </c>
      <c r="B920" s="9">
        <f>IFERROR(__xludf.DUMMYFUNCTION("""COMPUTED_VALUE"""),42030.0)</f>
        <v>42030</v>
      </c>
      <c r="C920" s="8" t="str">
        <f>IFERROR(__xludf.DUMMYFUNCTION("""COMPUTED_VALUE"""),"Elizabeth Moffitt")</f>
        <v>Elizabeth Moffitt</v>
      </c>
      <c r="D920" s="8" t="str">
        <f>IFERROR(__xludf.DUMMYFUNCTION("""COMPUTED_VALUE"""),"Corporate")</f>
        <v>Corporate</v>
      </c>
      <c r="E920" s="8" t="str">
        <f>IFERROR(__xludf.DUMMYFUNCTION("""COMPUTED_VALUE"""),"West")</f>
        <v>West</v>
      </c>
      <c r="F920" s="10">
        <f>IFERROR(__xludf.DUMMYFUNCTION("""COMPUTED_VALUE"""),182.72)</f>
        <v>182.72</v>
      </c>
      <c r="G920" s="11">
        <f>IFERROR(__xludf.DUMMYFUNCTION("""COMPUTED_VALUE"""),8.0)</f>
        <v>8</v>
      </c>
      <c r="H920" s="11">
        <f>IFERROR(__xludf.DUMMYFUNCTION("""COMPUTED_VALUE"""),84.0512)</f>
        <v>84.0512</v>
      </c>
    </row>
    <row r="921">
      <c r="A921" s="8" t="str">
        <f>IFERROR(__xludf.DUMMYFUNCTION("""COMPUTED_VALUE"""),"CA-2015-109638")</f>
        <v>CA-2015-109638</v>
      </c>
      <c r="B921" s="9">
        <f>IFERROR(__xludf.DUMMYFUNCTION("""COMPUTED_VALUE"""),42353.0)</f>
        <v>42353</v>
      </c>
      <c r="C921" s="8" t="str">
        <f>IFERROR(__xludf.DUMMYFUNCTION("""COMPUTED_VALUE"""),"Joseph Holt")</f>
        <v>Joseph Holt</v>
      </c>
      <c r="D921" s="8" t="str">
        <f>IFERROR(__xludf.DUMMYFUNCTION("""COMPUTED_VALUE"""),"Consumer")</f>
        <v>Consumer</v>
      </c>
      <c r="E921" s="8" t="str">
        <f>IFERROR(__xludf.DUMMYFUNCTION("""COMPUTED_VALUE"""),"West")</f>
        <v>West</v>
      </c>
      <c r="F921" s="10">
        <f>IFERROR(__xludf.DUMMYFUNCTION("""COMPUTED_VALUE"""),103.92)</f>
        <v>103.92</v>
      </c>
      <c r="G921" s="11">
        <f>IFERROR(__xludf.DUMMYFUNCTION("""COMPUTED_VALUE"""),4.0)</f>
        <v>4</v>
      </c>
      <c r="H921" s="11">
        <f>IFERROR(__xludf.DUMMYFUNCTION("""COMPUTED_VALUE"""),36.372)</f>
        <v>36.372</v>
      </c>
    </row>
    <row r="922">
      <c r="A922" s="8" t="str">
        <f>IFERROR(__xludf.DUMMYFUNCTION("""COMPUTED_VALUE"""),"CA-2015-109708")</f>
        <v>CA-2015-109708</v>
      </c>
      <c r="B922" s="9">
        <f>IFERROR(__xludf.DUMMYFUNCTION("""COMPUTED_VALUE"""),42149.0)</f>
        <v>42149</v>
      </c>
      <c r="C922" s="8" t="str">
        <f>IFERROR(__xludf.DUMMYFUNCTION("""COMPUTED_VALUE"""),"Craig Yedwab")</f>
        <v>Craig Yedwab</v>
      </c>
      <c r="D922" s="8" t="str">
        <f>IFERROR(__xludf.DUMMYFUNCTION("""COMPUTED_VALUE"""),"Corporate")</f>
        <v>Corporate</v>
      </c>
      <c r="E922" s="8" t="str">
        <f>IFERROR(__xludf.DUMMYFUNCTION("""COMPUTED_VALUE"""),"South")</f>
        <v>South</v>
      </c>
      <c r="F922" s="10">
        <f>IFERROR(__xludf.DUMMYFUNCTION("""COMPUTED_VALUE"""),467.04)</f>
        <v>467.04</v>
      </c>
      <c r="G922" s="11">
        <f>IFERROR(__xludf.DUMMYFUNCTION("""COMPUTED_VALUE"""),4.0)</f>
        <v>4</v>
      </c>
      <c r="H922" s="11">
        <f>IFERROR(__xludf.DUMMYFUNCTION("""COMPUTED_VALUE"""),58.38)</f>
        <v>58.38</v>
      </c>
    </row>
    <row r="923">
      <c r="A923" s="8" t="str">
        <f>IFERROR(__xludf.DUMMYFUNCTION("""COMPUTED_VALUE"""),"CA-2015-109736")</f>
        <v>CA-2015-109736</v>
      </c>
      <c r="B923" s="9">
        <f>IFERROR(__xludf.DUMMYFUNCTION("""COMPUTED_VALUE"""),42287.0)</f>
        <v>42287</v>
      </c>
      <c r="C923" s="8" t="str">
        <f>IFERROR(__xludf.DUMMYFUNCTION("""COMPUTED_VALUE"""),"Denny Joy")</f>
        <v>Denny Joy</v>
      </c>
      <c r="D923" s="8" t="str">
        <f>IFERROR(__xludf.DUMMYFUNCTION("""COMPUTED_VALUE"""),"Corporate")</f>
        <v>Corporate</v>
      </c>
      <c r="E923" s="8" t="str">
        <f>IFERROR(__xludf.DUMMYFUNCTION("""COMPUTED_VALUE"""),"West")</f>
        <v>West</v>
      </c>
      <c r="F923" s="10">
        <f>IFERROR(__xludf.DUMMYFUNCTION("""COMPUTED_VALUE"""),45.36)</f>
        <v>45.36</v>
      </c>
      <c r="G923" s="11">
        <f>IFERROR(__xludf.DUMMYFUNCTION("""COMPUTED_VALUE"""),7.0)</f>
        <v>7</v>
      </c>
      <c r="H923" s="11">
        <f>IFERROR(__xludf.DUMMYFUNCTION("""COMPUTED_VALUE"""),21.7728)</f>
        <v>21.7728</v>
      </c>
    </row>
    <row r="924">
      <c r="A924" s="8" t="str">
        <f>IFERROR(__xludf.DUMMYFUNCTION("""COMPUTED_VALUE"""),"CA-2015-109862")</f>
        <v>CA-2015-109862</v>
      </c>
      <c r="B924" s="9">
        <f>IFERROR(__xludf.DUMMYFUNCTION("""COMPUTED_VALUE"""),42302.0)</f>
        <v>42302</v>
      </c>
      <c r="C924" s="8" t="str">
        <f>IFERROR(__xludf.DUMMYFUNCTION("""COMPUTED_VALUE"""),"Heather Kirkland")</f>
        <v>Heather Kirkland</v>
      </c>
      <c r="D924" s="8" t="str">
        <f>IFERROR(__xludf.DUMMYFUNCTION("""COMPUTED_VALUE"""),"Corporate")</f>
        <v>Corporate</v>
      </c>
      <c r="E924" s="8" t="str">
        <f>IFERROR(__xludf.DUMMYFUNCTION("""COMPUTED_VALUE"""),"East")</f>
        <v>East</v>
      </c>
      <c r="F924" s="10">
        <f>IFERROR(__xludf.DUMMYFUNCTION("""COMPUTED_VALUE"""),158.99)</f>
        <v>158.99</v>
      </c>
      <c r="G924" s="11">
        <f>IFERROR(__xludf.DUMMYFUNCTION("""COMPUTED_VALUE"""),1.0)</f>
        <v>1</v>
      </c>
      <c r="H924" s="11">
        <f>IFERROR(__xludf.DUMMYFUNCTION("""COMPUTED_VALUE"""),41.3374)</f>
        <v>41.3374</v>
      </c>
    </row>
    <row r="925">
      <c r="A925" s="8" t="str">
        <f>IFERROR(__xludf.DUMMYFUNCTION("""COMPUTED_VALUE"""),"CA-2015-109939")</f>
        <v>CA-2015-109939</v>
      </c>
      <c r="B925" s="9">
        <f>IFERROR(__xludf.DUMMYFUNCTION("""COMPUTED_VALUE"""),42132.0)</f>
        <v>42132</v>
      </c>
      <c r="C925" s="8" t="str">
        <f>IFERROR(__xludf.DUMMYFUNCTION("""COMPUTED_VALUE"""),"Allen Armold")</f>
        <v>Allen Armold</v>
      </c>
      <c r="D925" s="8" t="str">
        <f>IFERROR(__xludf.DUMMYFUNCTION("""COMPUTED_VALUE"""),"Consumer")</f>
        <v>Consumer</v>
      </c>
      <c r="E925" s="8" t="str">
        <f>IFERROR(__xludf.DUMMYFUNCTION("""COMPUTED_VALUE"""),"West")</f>
        <v>West</v>
      </c>
      <c r="F925" s="10">
        <f>IFERROR(__xludf.DUMMYFUNCTION("""COMPUTED_VALUE"""),5.248)</f>
        <v>5.248</v>
      </c>
      <c r="G925" s="11">
        <f>IFERROR(__xludf.DUMMYFUNCTION("""COMPUTED_VALUE"""),2.0)</f>
        <v>2</v>
      </c>
      <c r="H925" s="11">
        <f>IFERROR(__xludf.DUMMYFUNCTION("""COMPUTED_VALUE"""),0.5904)</f>
        <v>0.5904</v>
      </c>
    </row>
    <row r="926">
      <c r="A926" s="8" t="str">
        <f>IFERROR(__xludf.DUMMYFUNCTION("""COMPUTED_VALUE"""),"CA-2015-110016")</f>
        <v>CA-2015-110016</v>
      </c>
      <c r="B926" s="9">
        <f>IFERROR(__xludf.DUMMYFUNCTION("""COMPUTED_VALUE"""),42337.0)</f>
        <v>42337</v>
      </c>
      <c r="C926" s="8" t="str">
        <f>IFERROR(__xludf.DUMMYFUNCTION("""COMPUTED_VALUE"""),"Bill Tyler")</f>
        <v>Bill Tyler</v>
      </c>
      <c r="D926" s="8" t="str">
        <f>IFERROR(__xludf.DUMMYFUNCTION("""COMPUTED_VALUE"""),"Corporate")</f>
        <v>Corporate</v>
      </c>
      <c r="E926" s="8" t="str">
        <f>IFERROR(__xludf.DUMMYFUNCTION("""COMPUTED_VALUE"""),"Central")</f>
        <v>Central</v>
      </c>
      <c r="F926" s="10">
        <f>IFERROR(__xludf.DUMMYFUNCTION("""COMPUTED_VALUE"""),19.92)</f>
        <v>19.92</v>
      </c>
      <c r="G926" s="11">
        <f>IFERROR(__xludf.DUMMYFUNCTION("""COMPUTED_VALUE"""),4.0)</f>
        <v>4</v>
      </c>
      <c r="H926" s="11">
        <f>IFERROR(__xludf.DUMMYFUNCTION("""COMPUTED_VALUE"""),9.3624)</f>
        <v>9.3624</v>
      </c>
    </row>
    <row r="927">
      <c r="A927" s="8" t="str">
        <f>IFERROR(__xludf.DUMMYFUNCTION("""COMPUTED_VALUE"""),"CA-2015-110093")</f>
        <v>CA-2015-110093</v>
      </c>
      <c r="B927" s="9">
        <f>IFERROR(__xludf.DUMMYFUNCTION("""COMPUTED_VALUE"""),42341.0)</f>
        <v>42341</v>
      </c>
      <c r="C927" s="8" t="str">
        <f>IFERROR(__xludf.DUMMYFUNCTION("""COMPUTED_VALUE"""),"Alejandro Ballentine")</f>
        <v>Alejandro Ballentine</v>
      </c>
      <c r="D927" s="8" t="str">
        <f>IFERROR(__xludf.DUMMYFUNCTION("""COMPUTED_VALUE"""),"Home Office")</f>
        <v>Home Office</v>
      </c>
      <c r="E927" s="8" t="str">
        <f>IFERROR(__xludf.DUMMYFUNCTION("""COMPUTED_VALUE"""),"East")</f>
        <v>East</v>
      </c>
      <c r="F927" s="10">
        <f>IFERROR(__xludf.DUMMYFUNCTION("""COMPUTED_VALUE"""),16.448)</f>
        <v>16.448</v>
      </c>
      <c r="G927" s="11">
        <f>IFERROR(__xludf.DUMMYFUNCTION("""COMPUTED_VALUE"""),2.0)</f>
        <v>2</v>
      </c>
      <c r="H927" s="11">
        <f>IFERROR(__xludf.DUMMYFUNCTION("""COMPUTED_VALUE"""),5.5512)</f>
        <v>5.5512</v>
      </c>
    </row>
    <row r="928">
      <c r="A928" s="8" t="str">
        <f>IFERROR(__xludf.DUMMYFUNCTION("""COMPUTED_VALUE"""),"CA-2015-110247")</f>
        <v>CA-2015-110247</v>
      </c>
      <c r="B928" s="9">
        <f>IFERROR(__xludf.DUMMYFUNCTION("""COMPUTED_VALUE"""),42342.0)</f>
        <v>42342</v>
      </c>
      <c r="C928" s="8" t="str">
        <f>IFERROR(__xludf.DUMMYFUNCTION("""COMPUTED_VALUE"""),"Ritsa Hightower")</f>
        <v>Ritsa Hightower</v>
      </c>
      <c r="D928" s="8" t="str">
        <f>IFERROR(__xludf.DUMMYFUNCTION("""COMPUTED_VALUE"""),"Consumer")</f>
        <v>Consumer</v>
      </c>
      <c r="E928" s="8" t="str">
        <f>IFERROR(__xludf.DUMMYFUNCTION("""COMPUTED_VALUE"""),"South")</f>
        <v>South</v>
      </c>
      <c r="F928" s="10">
        <f>IFERROR(__xludf.DUMMYFUNCTION("""COMPUTED_VALUE"""),8.226)</f>
        <v>8.226</v>
      </c>
      <c r="G928" s="11">
        <f>IFERROR(__xludf.DUMMYFUNCTION("""COMPUTED_VALUE"""),3.0)</f>
        <v>3</v>
      </c>
      <c r="H928" s="11">
        <f>IFERROR(__xludf.DUMMYFUNCTION("""COMPUTED_VALUE"""),-6.0324)</f>
        <v>-6.0324</v>
      </c>
    </row>
    <row r="929">
      <c r="A929" s="8" t="str">
        <f>IFERROR(__xludf.DUMMYFUNCTION("""COMPUTED_VALUE"""),"CA-2015-110289")</f>
        <v>CA-2015-110289</v>
      </c>
      <c r="B929" s="9">
        <f>IFERROR(__xludf.DUMMYFUNCTION("""COMPUTED_VALUE"""),42306.0)</f>
        <v>42306</v>
      </c>
      <c r="C929" s="8" t="str">
        <f>IFERROR(__xludf.DUMMYFUNCTION("""COMPUTED_VALUE"""),"Nona Balk")</f>
        <v>Nona Balk</v>
      </c>
      <c r="D929" s="8" t="str">
        <f>IFERROR(__xludf.DUMMYFUNCTION("""COMPUTED_VALUE"""),"Corporate")</f>
        <v>Corporate</v>
      </c>
      <c r="E929" s="8" t="str">
        <f>IFERROR(__xludf.DUMMYFUNCTION("""COMPUTED_VALUE"""),"West")</f>
        <v>West</v>
      </c>
      <c r="F929" s="10">
        <f>IFERROR(__xludf.DUMMYFUNCTION("""COMPUTED_VALUE"""),33.4)</f>
        <v>33.4</v>
      </c>
      <c r="G929" s="11">
        <f>IFERROR(__xludf.DUMMYFUNCTION("""COMPUTED_VALUE"""),5.0)</f>
        <v>5</v>
      </c>
      <c r="H929" s="11">
        <f>IFERROR(__xludf.DUMMYFUNCTION("""COMPUTED_VALUE"""),16.032)</f>
        <v>16.032</v>
      </c>
    </row>
    <row r="930">
      <c r="A930" s="8" t="str">
        <f>IFERROR(__xludf.DUMMYFUNCTION("""COMPUTED_VALUE"""),"CA-2015-110324")</f>
        <v>CA-2015-110324</v>
      </c>
      <c r="B930" s="9">
        <f>IFERROR(__xludf.DUMMYFUNCTION("""COMPUTED_VALUE"""),42339.0)</f>
        <v>42339</v>
      </c>
      <c r="C930" s="8" t="str">
        <f>IFERROR(__xludf.DUMMYFUNCTION("""COMPUTED_VALUE"""),"Matt Abelman")</f>
        <v>Matt Abelman</v>
      </c>
      <c r="D930" s="8" t="str">
        <f>IFERROR(__xludf.DUMMYFUNCTION("""COMPUTED_VALUE"""),"Home Office")</f>
        <v>Home Office</v>
      </c>
      <c r="E930" s="8" t="str">
        <f>IFERROR(__xludf.DUMMYFUNCTION("""COMPUTED_VALUE"""),"Central")</f>
        <v>Central</v>
      </c>
      <c r="F930" s="10">
        <f>IFERROR(__xludf.DUMMYFUNCTION("""COMPUTED_VALUE"""),19.44)</f>
        <v>19.44</v>
      </c>
      <c r="G930" s="11">
        <f>IFERROR(__xludf.DUMMYFUNCTION("""COMPUTED_VALUE"""),3.0)</f>
        <v>3</v>
      </c>
      <c r="H930" s="11">
        <f>IFERROR(__xludf.DUMMYFUNCTION("""COMPUTED_VALUE"""),9.3312)</f>
        <v>9.3312</v>
      </c>
    </row>
    <row r="931">
      <c r="A931" s="8" t="str">
        <f>IFERROR(__xludf.DUMMYFUNCTION("""COMPUTED_VALUE"""),"CA-2015-110345")</f>
        <v>CA-2015-110345</v>
      </c>
      <c r="B931" s="9">
        <f>IFERROR(__xludf.DUMMYFUNCTION("""COMPUTED_VALUE"""),42072.0)</f>
        <v>42072</v>
      </c>
      <c r="C931" s="8" t="str">
        <f>IFERROR(__xludf.DUMMYFUNCTION("""COMPUTED_VALUE"""),"Toby Gnade")</f>
        <v>Toby Gnade</v>
      </c>
      <c r="D931" s="8" t="str">
        <f>IFERROR(__xludf.DUMMYFUNCTION("""COMPUTED_VALUE"""),"Consumer")</f>
        <v>Consumer</v>
      </c>
      <c r="E931" s="8" t="str">
        <f>IFERROR(__xludf.DUMMYFUNCTION("""COMPUTED_VALUE"""),"South")</f>
        <v>South</v>
      </c>
      <c r="F931" s="10">
        <f>IFERROR(__xludf.DUMMYFUNCTION("""COMPUTED_VALUE"""),4.608)</f>
        <v>4.608</v>
      </c>
      <c r="G931" s="11">
        <f>IFERROR(__xludf.DUMMYFUNCTION("""COMPUTED_VALUE"""),2.0)</f>
        <v>2</v>
      </c>
      <c r="H931" s="11">
        <f>IFERROR(__xludf.DUMMYFUNCTION("""COMPUTED_VALUE"""),1.6704)</f>
        <v>1.6704</v>
      </c>
    </row>
    <row r="932">
      <c r="A932" s="8" t="str">
        <f>IFERROR(__xludf.DUMMYFUNCTION("""COMPUTED_VALUE"""),"CA-2015-110457")</f>
        <v>CA-2015-110457</v>
      </c>
      <c r="B932" s="9">
        <f>IFERROR(__xludf.DUMMYFUNCTION("""COMPUTED_VALUE"""),42065.0)</f>
        <v>42065</v>
      </c>
      <c r="C932" s="8" t="str">
        <f>IFERROR(__xludf.DUMMYFUNCTION("""COMPUTED_VALUE"""),"Dave Kipp")</f>
        <v>Dave Kipp</v>
      </c>
      <c r="D932" s="8" t="str">
        <f>IFERROR(__xludf.DUMMYFUNCTION("""COMPUTED_VALUE"""),"Consumer")</f>
        <v>Consumer</v>
      </c>
      <c r="E932" s="8" t="str">
        <f>IFERROR(__xludf.DUMMYFUNCTION("""COMPUTED_VALUE"""),"West")</f>
        <v>West</v>
      </c>
      <c r="F932" s="10">
        <f>IFERROR(__xludf.DUMMYFUNCTION("""COMPUTED_VALUE"""),787.53)</f>
        <v>787.53</v>
      </c>
      <c r="G932" s="11">
        <f>IFERROR(__xludf.DUMMYFUNCTION("""COMPUTED_VALUE"""),3.0)</f>
        <v>3</v>
      </c>
      <c r="H932" s="11">
        <f>IFERROR(__xludf.DUMMYFUNCTION("""COMPUTED_VALUE"""),165.3813)</f>
        <v>165.3813</v>
      </c>
    </row>
    <row r="933">
      <c r="A933" s="8" t="str">
        <f>IFERROR(__xludf.DUMMYFUNCTION("""COMPUTED_VALUE"""),"CA-2015-110548")</f>
        <v>CA-2015-110548</v>
      </c>
      <c r="B933" s="9">
        <f>IFERROR(__xludf.DUMMYFUNCTION("""COMPUTED_VALUE"""),42128.0)</f>
        <v>42128</v>
      </c>
      <c r="C933" s="8" t="str">
        <f>IFERROR(__xludf.DUMMYFUNCTION("""COMPUTED_VALUE"""),"Anna Häberlin")</f>
        <v>Anna Häberlin</v>
      </c>
      <c r="D933" s="8" t="str">
        <f>IFERROR(__xludf.DUMMYFUNCTION("""COMPUTED_VALUE"""),"Corporate")</f>
        <v>Corporate</v>
      </c>
      <c r="E933" s="8" t="str">
        <f>IFERROR(__xludf.DUMMYFUNCTION("""COMPUTED_VALUE"""),"Central")</f>
        <v>Central</v>
      </c>
      <c r="F933" s="10">
        <f>IFERROR(__xludf.DUMMYFUNCTION("""COMPUTED_VALUE"""),946.344)</f>
        <v>946.344</v>
      </c>
      <c r="G933" s="11">
        <f>IFERROR(__xludf.DUMMYFUNCTION("""COMPUTED_VALUE"""),7.0)</f>
        <v>7</v>
      </c>
      <c r="H933" s="11">
        <f>IFERROR(__xludf.DUMMYFUNCTION("""COMPUTED_VALUE"""),118.293)</f>
        <v>118.293</v>
      </c>
    </row>
    <row r="934">
      <c r="A934" s="8" t="str">
        <f>IFERROR(__xludf.DUMMYFUNCTION("""COMPUTED_VALUE"""),"CA-2015-110632")</f>
        <v>CA-2015-110632</v>
      </c>
      <c r="B934" s="9">
        <f>IFERROR(__xludf.DUMMYFUNCTION("""COMPUTED_VALUE"""),42080.0)</f>
        <v>42080</v>
      </c>
      <c r="C934" s="8" t="str">
        <f>IFERROR(__xludf.DUMMYFUNCTION("""COMPUTED_VALUE"""),"Harold Ryan")</f>
        <v>Harold Ryan</v>
      </c>
      <c r="D934" s="8" t="str">
        <f>IFERROR(__xludf.DUMMYFUNCTION("""COMPUTED_VALUE"""),"Corporate")</f>
        <v>Corporate</v>
      </c>
      <c r="E934" s="8" t="str">
        <f>IFERROR(__xludf.DUMMYFUNCTION("""COMPUTED_VALUE"""),"East")</f>
        <v>East</v>
      </c>
      <c r="F934" s="10">
        <f>IFERROR(__xludf.DUMMYFUNCTION("""COMPUTED_VALUE"""),15.02)</f>
        <v>15.02</v>
      </c>
      <c r="G934" s="11">
        <f>IFERROR(__xludf.DUMMYFUNCTION("""COMPUTED_VALUE"""),1.0)</f>
        <v>1</v>
      </c>
      <c r="H934" s="11">
        <f>IFERROR(__xludf.DUMMYFUNCTION("""COMPUTED_VALUE"""),2.7036)</f>
        <v>2.7036</v>
      </c>
    </row>
    <row r="935">
      <c r="A935" s="8" t="str">
        <f>IFERROR(__xludf.DUMMYFUNCTION("""COMPUTED_VALUE"""),"CA-2015-110667")</f>
        <v>CA-2015-110667</v>
      </c>
      <c r="B935" s="9">
        <f>IFERROR(__xludf.DUMMYFUNCTION("""COMPUTED_VALUE"""),42098.0)</f>
        <v>42098</v>
      </c>
      <c r="C935" s="8" t="str">
        <f>IFERROR(__xludf.DUMMYFUNCTION("""COMPUTED_VALUE"""),"Nicole Fjeld")</f>
        <v>Nicole Fjeld</v>
      </c>
      <c r="D935" s="8" t="str">
        <f>IFERROR(__xludf.DUMMYFUNCTION("""COMPUTED_VALUE"""),"Home Office")</f>
        <v>Home Office</v>
      </c>
      <c r="E935" s="8" t="str">
        <f>IFERROR(__xludf.DUMMYFUNCTION("""COMPUTED_VALUE"""),"East")</f>
        <v>East</v>
      </c>
      <c r="F935" s="10">
        <f>IFERROR(__xludf.DUMMYFUNCTION("""COMPUTED_VALUE"""),11.16)</f>
        <v>11.16</v>
      </c>
      <c r="G935" s="11">
        <f>IFERROR(__xludf.DUMMYFUNCTION("""COMPUTED_VALUE"""),2.0)</f>
        <v>2</v>
      </c>
      <c r="H935" s="11">
        <f>IFERROR(__xludf.DUMMYFUNCTION("""COMPUTED_VALUE"""),4.3524)</f>
        <v>4.3524</v>
      </c>
    </row>
    <row r="936">
      <c r="A936" s="8" t="str">
        <f>IFERROR(__xludf.DUMMYFUNCTION("""COMPUTED_VALUE"""),"CA-2015-110744")</f>
        <v>CA-2015-110744</v>
      </c>
      <c r="B936" s="9">
        <f>IFERROR(__xludf.DUMMYFUNCTION("""COMPUTED_VALUE"""),42254.0)</f>
        <v>42254</v>
      </c>
      <c r="C936" s="8" t="str">
        <f>IFERROR(__xludf.DUMMYFUNCTION("""COMPUTED_VALUE"""),"Helen Andreada")</f>
        <v>Helen Andreada</v>
      </c>
      <c r="D936" s="8" t="str">
        <f>IFERROR(__xludf.DUMMYFUNCTION("""COMPUTED_VALUE"""),"Consumer")</f>
        <v>Consumer</v>
      </c>
      <c r="E936" s="8" t="str">
        <f>IFERROR(__xludf.DUMMYFUNCTION("""COMPUTED_VALUE"""),"West")</f>
        <v>West</v>
      </c>
      <c r="F936" s="10">
        <f>IFERROR(__xludf.DUMMYFUNCTION("""COMPUTED_VALUE"""),671.93)</f>
        <v>671.93</v>
      </c>
      <c r="G936" s="11">
        <f>IFERROR(__xludf.DUMMYFUNCTION("""COMPUTED_VALUE"""),7.0)</f>
        <v>7</v>
      </c>
      <c r="H936" s="11">
        <f>IFERROR(__xludf.DUMMYFUNCTION("""COMPUTED_VALUE"""),20.1579)</f>
        <v>20.1579</v>
      </c>
    </row>
    <row r="937">
      <c r="A937" s="8" t="str">
        <f>IFERROR(__xludf.DUMMYFUNCTION("""COMPUTED_VALUE"""),"CA-2015-110765")</f>
        <v>CA-2015-110765</v>
      </c>
      <c r="B937" s="9">
        <f>IFERROR(__xludf.DUMMYFUNCTION("""COMPUTED_VALUE"""),42293.0)</f>
        <v>42293</v>
      </c>
      <c r="C937" s="8" t="str">
        <f>IFERROR(__xludf.DUMMYFUNCTION("""COMPUTED_VALUE"""),"Michael Paige")</f>
        <v>Michael Paige</v>
      </c>
      <c r="D937" s="8" t="str">
        <f>IFERROR(__xludf.DUMMYFUNCTION("""COMPUTED_VALUE"""),"Corporate")</f>
        <v>Corporate</v>
      </c>
      <c r="E937" s="8" t="str">
        <f>IFERROR(__xludf.DUMMYFUNCTION("""COMPUTED_VALUE"""),"East")</f>
        <v>East</v>
      </c>
      <c r="F937" s="10">
        <f>IFERROR(__xludf.DUMMYFUNCTION("""COMPUTED_VALUE"""),824.97)</f>
        <v>824.97</v>
      </c>
      <c r="G937" s="11">
        <f>IFERROR(__xludf.DUMMYFUNCTION("""COMPUTED_VALUE"""),3.0)</f>
        <v>3</v>
      </c>
      <c r="H937" s="11">
        <f>IFERROR(__xludf.DUMMYFUNCTION("""COMPUTED_VALUE"""),214.4922)</f>
        <v>214.4922</v>
      </c>
    </row>
    <row r="938">
      <c r="A938" s="8" t="str">
        <f>IFERROR(__xludf.DUMMYFUNCTION("""COMPUTED_VALUE"""),"CA-2015-110814")</f>
        <v>CA-2015-110814</v>
      </c>
      <c r="B938" s="9">
        <f>IFERROR(__xludf.DUMMYFUNCTION("""COMPUTED_VALUE"""),42343.0)</f>
        <v>42343</v>
      </c>
      <c r="C938" s="8" t="str">
        <f>IFERROR(__xludf.DUMMYFUNCTION("""COMPUTED_VALUE"""),"Brian Derr")</f>
        <v>Brian Derr</v>
      </c>
      <c r="D938" s="8" t="str">
        <f>IFERROR(__xludf.DUMMYFUNCTION("""COMPUTED_VALUE"""),"Consumer")</f>
        <v>Consumer</v>
      </c>
      <c r="E938" s="8" t="str">
        <f>IFERROR(__xludf.DUMMYFUNCTION("""COMPUTED_VALUE"""),"East")</f>
        <v>East</v>
      </c>
      <c r="F938" s="10">
        <f>IFERROR(__xludf.DUMMYFUNCTION("""COMPUTED_VALUE"""),232.4)</f>
        <v>232.4</v>
      </c>
      <c r="G938" s="11">
        <f>IFERROR(__xludf.DUMMYFUNCTION("""COMPUTED_VALUE"""),5.0)</f>
        <v>5</v>
      </c>
      <c r="H938" s="11">
        <f>IFERROR(__xludf.DUMMYFUNCTION("""COMPUTED_VALUE"""),78.435)</f>
        <v>78.435</v>
      </c>
    </row>
    <row r="939">
      <c r="A939" s="8" t="str">
        <f>IFERROR(__xludf.DUMMYFUNCTION("""COMPUTED_VALUE"""),"CA-2015-110863")</f>
        <v>CA-2015-110863</v>
      </c>
      <c r="B939" s="9">
        <f>IFERROR(__xludf.DUMMYFUNCTION("""COMPUTED_VALUE"""),42325.0)</f>
        <v>42325</v>
      </c>
      <c r="C939" s="8" t="str">
        <f>IFERROR(__xludf.DUMMYFUNCTION("""COMPUTED_VALUE"""),"Anna Andreadi")</f>
        <v>Anna Andreadi</v>
      </c>
      <c r="D939" s="8" t="str">
        <f>IFERROR(__xludf.DUMMYFUNCTION("""COMPUTED_VALUE"""),"Consumer")</f>
        <v>Consumer</v>
      </c>
      <c r="E939" s="8" t="str">
        <f>IFERROR(__xludf.DUMMYFUNCTION("""COMPUTED_VALUE"""),"Central")</f>
        <v>Central</v>
      </c>
      <c r="F939" s="10">
        <f>IFERROR(__xludf.DUMMYFUNCTION("""COMPUTED_VALUE"""),541.24)</f>
        <v>541.24</v>
      </c>
      <c r="G939" s="11">
        <f>IFERROR(__xludf.DUMMYFUNCTION("""COMPUTED_VALUE"""),4.0)</f>
        <v>4</v>
      </c>
      <c r="H939" s="11">
        <f>IFERROR(__xludf.DUMMYFUNCTION("""COMPUTED_VALUE"""),5.4124)</f>
        <v>5.4124</v>
      </c>
    </row>
    <row r="940">
      <c r="A940" s="8" t="str">
        <f>IFERROR(__xludf.DUMMYFUNCTION("""COMPUTED_VALUE"""),"CA-2015-110870")</f>
        <v>CA-2015-110870</v>
      </c>
      <c r="B940" s="9">
        <f>IFERROR(__xludf.DUMMYFUNCTION("""COMPUTED_VALUE"""),42350.0)</f>
        <v>42350</v>
      </c>
      <c r="C940" s="8" t="str">
        <f>IFERROR(__xludf.DUMMYFUNCTION("""COMPUTED_VALUE"""),"Karen Daniels")</f>
        <v>Karen Daniels</v>
      </c>
      <c r="D940" s="8" t="str">
        <f>IFERROR(__xludf.DUMMYFUNCTION("""COMPUTED_VALUE"""),"Consumer")</f>
        <v>Consumer</v>
      </c>
      <c r="E940" s="8" t="str">
        <f>IFERROR(__xludf.DUMMYFUNCTION("""COMPUTED_VALUE"""),"West")</f>
        <v>West</v>
      </c>
      <c r="F940" s="10">
        <f>IFERROR(__xludf.DUMMYFUNCTION("""COMPUTED_VALUE"""),299.94)</f>
        <v>299.94</v>
      </c>
      <c r="G940" s="11">
        <f>IFERROR(__xludf.DUMMYFUNCTION("""COMPUTED_VALUE"""),6.0)</f>
        <v>6</v>
      </c>
      <c r="H940" s="11">
        <f>IFERROR(__xludf.DUMMYFUNCTION("""COMPUTED_VALUE"""),128.9742)</f>
        <v>128.9742</v>
      </c>
    </row>
    <row r="941">
      <c r="A941" s="8" t="str">
        <f>IFERROR(__xludf.DUMMYFUNCTION("""COMPUTED_VALUE"""),"CA-2015-110877")</f>
        <v>CA-2015-110877</v>
      </c>
      <c r="B941" s="9">
        <f>IFERROR(__xludf.DUMMYFUNCTION("""COMPUTED_VALUE"""),42300.0)</f>
        <v>42300</v>
      </c>
      <c r="C941" s="8" t="str">
        <f>IFERROR(__xludf.DUMMYFUNCTION("""COMPUTED_VALUE"""),"Joe Elijah")</f>
        <v>Joe Elijah</v>
      </c>
      <c r="D941" s="8" t="str">
        <f>IFERROR(__xludf.DUMMYFUNCTION("""COMPUTED_VALUE"""),"Consumer")</f>
        <v>Consumer</v>
      </c>
      <c r="E941" s="8" t="str">
        <f>IFERROR(__xludf.DUMMYFUNCTION("""COMPUTED_VALUE"""),"Central")</f>
        <v>Central</v>
      </c>
      <c r="F941" s="10">
        <f>IFERROR(__xludf.DUMMYFUNCTION("""COMPUTED_VALUE"""),36.288)</f>
        <v>36.288</v>
      </c>
      <c r="G941" s="11">
        <f>IFERROR(__xludf.DUMMYFUNCTION("""COMPUTED_VALUE"""),7.0)</f>
        <v>7</v>
      </c>
      <c r="H941" s="11">
        <f>IFERROR(__xludf.DUMMYFUNCTION("""COMPUTED_VALUE"""),12.7008)</f>
        <v>12.7008</v>
      </c>
    </row>
    <row r="942">
      <c r="A942" s="8" t="str">
        <f>IFERROR(__xludf.DUMMYFUNCTION("""COMPUTED_VALUE"""),"CA-2015-110891")</f>
        <v>CA-2015-110891</v>
      </c>
      <c r="B942" s="9">
        <f>IFERROR(__xludf.DUMMYFUNCTION("""COMPUTED_VALUE"""),42328.0)</f>
        <v>42328</v>
      </c>
      <c r="C942" s="8" t="str">
        <f>IFERROR(__xludf.DUMMYFUNCTION("""COMPUTED_VALUE"""),"Phillina Ober")</f>
        <v>Phillina Ober</v>
      </c>
      <c r="D942" s="8" t="str">
        <f>IFERROR(__xludf.DUMMYFUNCTION("""COMPUTED_VALUE"""),"Home Office")</f>
        <v>Home Office</v>
      </c>
      <c r="E942" s="8" t="str">
        <f>IFERROR(__xludf.DUMMYFUNCTION("""COMPUTED_VALUE"""),"East")</f>
        <v>East</v>
      </c>
      <c r="F942" s="10">
        <f>IFERROR(__xludf.DUMMYFUNCTION("""COMPUTED_VALUE"""),344.372)</f>
        <v>344.372</v>
      </c>
      <c r="G942" s="11">
        <f>IFERROR(__xludf.DUMMYFUNCTION("""COMPUTED_VALUE"""),4.0)</f>
        <v>4</v>
      </c>
      <c r="H942" s="11">
        <f>IFERROR(__xludf.DUMMYFUNCTION("""COMPUTED_VALUE"""),-93.4724)</f>
        <v>-93.4724</v>
      </c>
    </row>
    <row r="943">
      <c r="A943" s="8" t="str">
        <f>IFERROR(__xludf.DUMMYFUNCTION("""COMPUTED_VALUE"""),"CA-2015-110947")</f>
        <v>CA-2015-110947</v>
      </c>
      <c r="B943" s="9">
        <f>IFERROR(__xludf.DUMMYFUNCTION("""COMPUTED_VALUE"""),42164.0)</f>
        <v>42164</v>
      </c>
      <c r="C943" s="8" t="str">
        <f>IFERROR(__xludf.DUMMYFUNCTION("""COMPUTED_VALUE"""),"Anthony Garverick")</f>
        <v>Anthony Garverick</v>
      </c>
      <c r="D943" s="8" t="str">
        <f>IFERROR(__xludf.DUMMYFUNCTION("""COMPUTED_VALUE"""),"Home Office")</f>
        <v>Home Office</v>
      </c>
      <c r="E943" s="8" t="str">
        <f>IFERROR(__xludf.DUMMYFUNCTION("""COMPUTED_VALUE"""),"South")</f>
        <v>South</v>
      </c>
      <c r="F943" s="10">
        <f>IFERROR(__xludf.DUMMYFUNCTION("""COMPUTED_VALUE"""),113.1)</f>
        <v>113.1</v>
      </c>
      <c r="G943" s="11">
        <f>IFERROR(__xludf.DUMMYFUNCTION("""COMPUTED_VALUE"""),3.0)</f>
        <v>3</v>
      </c>
      <c r="H943" s="11">
        <f>IFERROR(__xludf.DUMMYFUNCTION("""COMPUTED_VALUE"""),56.55)</f>
        <v>56.55</v>
      </c>
    </row>
    <row r="944">
      <c r="A944" s="8" t="str">
        <f>IFERROR(__xludf.DUMMYFUNCTION("""COMPUTED_VALUE"""),"CA-2015-111017")</f>
        <v>CA-2015-111017</v>
      </c>
      <c r="B944" s="9">
        <f>IFERROR(__xludf.DUMMYFUNCTION("""COMPUTED_VALUE"""),42216.0)</f>
        <v>42216</v>
      </c>
      <c r="C944" s="8" t="str">
        <f>IFERROR(__xludf.DUMMYFUNCTION("""COMPUTED_VALUE"""),"Steve Chapman")</f>
        <v>Steve Chapman</v>
      </c>
      <c r="D944" s="8" t="str">
        <f>IFERROR(__xludf.DUMMYFUNCTION("""COMPUTED_VALUE"""),"Corporate")</f>
        <v>Corporate</v>
      </c>
      <c r="E944" s="8" t="str">
        <f>IFERROR(__xludf.DUMMYFUNCTION("""COMPUTED_VALUE"""),"Central")</f>
        <v>Central</v>
      </c>
      <c r="F944" s="10">
        <f>IFERROR(__xludf.DUMMYFUNCTION("""COMPUTED_VALUE"""),52.59)</f>
        <v>52.59</v>
      </c>
      <c r="G944" s="11">
        <f>IFERROR(__xludf.DUMMYFUNCTION("""COMPUTED_VALUE"""),3.0)</f>
        <v>3</v>
      </c>
      <c r="H944" s="11">
        <f>IFERROR(__xludf.DUMMYFUNCTION("""COMPUTED_VALUE"""),15.777)</f>
        <v>15.777</v>
      </c>
    </row>
    <row r="945">
      <c r="A945" s="8" t="str">
        <f>IFERROR(__xludf.DUMMYFUNCTION("""COMPUTED_VALUE"""),"CA-2015-111038")</f>
        <v>CA-2015-111038</v>
      </c>
      <c r="B945" s="9">
        <f>IFERROR(__xludf.DUMMYFUNCTION("""COMPUTED_VALUE"""),42339.0)</f>
        <v>42339</v>
      </c>
      <c r="C945" s="8" t="str">
        <f>IFERROR(__xludf.DUMMYFUNCTION("""COMPUTED_VALUE"""),"Lindsay Castell")</f>
        <v>Lindsay Castell</v>
      </c>
      <c r="D945" s="8" t="str">
        <f>IFERROR(__xludf.DUMMYFUNCTION("""COMPUTED_VALUE"""),"Home Office")</f>
        <v>Home Office</v>
      </c>
      <c r="E945" s="8" t="str">
        <f>IFERROR(__xludf.DUMMYFUNCTION("""COMPUTED_VALUE"""),"West")</f>
        <v>West</v>
      </c>
      <c r="F945" s="10">
        <f>IFERROR(__xludf.DUMMYFUNCTION("""COMPUTED_VALUE"""),2676.672)</f>
        <v>2676.672</v>
      </c>
      <c r="G945" s="11">
        <f>IFERROR(__xludf.DUMMYFUNCTION("""COMPUTED_VALUE"""),9.0)</f>
        <v>9</v>
      </c>
      <c r="H945" s="11">
        <f>IFERROR(__xludf.DUMMYFUNCTION("""COMPUTED_VALUE"""),267.6672)</f>
        <v>267.6672</v>
      </c>
    </row>
    <row r="946">
      <c r="A946" s="8" t="str">
        <f>IFERROR(__xludf.DUMMYFUNCTION("""COMPUTED_VALUE"""),"CA-2015-111073")</f>
        <v>CA-2015-111073</v>
      </c>
      <c r="B946" s="9">
        <f>IFERROR(__xludf.DUMMYFUNCTION("""COMPUTED_VALUE"""),42364.0)</f>
        <v>42364</v>
      </c>
      <c r="C946" s="8" t="str">
        <f>IFERROR(__xludf.DUMMYFUNCTION("""COMPUTED_VALUE"""),"Mick Crebagga")</f>
        <v>Mick Crebagga</v>
      </c>
      <c r="D946" s="8" t="str">
        <f>IFERROR(__xludf.DUMMYFUNCTION("""COMPUTED_VALUE"""),"Consumer")</f>
        <v>Consumer</v>
      </c>
      <c r="E946" s="8" t="str">
        <f>IFERROR(__xludf.DUMMYFUNCTION("""COMPUTED_VALUE"""),"East")</f>
        <v>East</v>
      </c>
      <c r="F946" s="10">
        <f>IFERROR(__xludf.DUMMYFUNCTION("""COMPUTED_VALUE"""),51.588)</f>
        <v>51.588</v>
      </c>
      <c r="G946" s="11">
        <f>IFERROR(__xludf.DUMMYFUNCTION("""COMPUTED_VALUE"""),1.0)</f>
        <v>1</v>
      </c>
      <c r="H946" s="11">
        <f>IFERROR(__xludf.DUMMYFUNCTION("""COMPUTED_VALUE"""),-15.4764)</f>
        <v>-15.4764</v>
      </c>
    </row>
    <row r="947">
      <c r="A947" s="8" t="str">
        <f>IFERROR(__xludf.DUMMYFUNCTION("""COMPUTED_VALUE"""),"CA-2015-111094")</f>
        <v>CA-2015-111094</v>
      </c>
      <c r="B947" s="9">
        <f>IFERROR(__xludf.DUMMYFUNCTION("""COMPUTED_VALUE"""),42194.0)</f>
        <v>42194</v>
      </c>
      <c r="C947" s="8" t="str">
        <f>IFERROR(__xludf.DUMMYFUNCTION("""COMPUTED_VALUE"""),"Claudia Bergmann")</f>
        <v>Claudia Bergmann</v>
      </c>
      <c r="D947" s="8" t="str">
        <f>IFERROR(__xludf.DUMMYFUNCTION("""COMPUTED_VALUE"""),"Corporate")</f>
        <v>Corporate</v>
      </c>
      <c r="E947" s="8" t="str">
        <f>IFERROR(__xludf.DUMMYFUNCTION("""COMPUTED_VALUE"""),"East")</f>
        <v>East</v>
      </c>
      <c r="F947" s="10">
        <f>IFERROR(__xludf.DUMMYFUNCTION("""COMPUTED_VALUE"""),6.58)</f>
        <v>6.58</v>
      </c>
      <c r="G947" s="11">
        <f>IFERROR(__xludf.DUMMYFUNCTION("""COMPUTED_VALUE"""),2.0)</f>
        <v>2</v>
      </c>
      <c r="H947" s="11">
        <f>IFERROR(__xludf.DUMMYFUNCTION("""COMPUTED_VALUE"""),3.0268)</f>
        <v>3.0268</v>
      </c>
    </row>
    <row r="948">
      <c r="A948" s="8" t="str">
        <f>IFERROR(__xludf.DUMMYFUNCTION("""COMPUTED_VALUE"""),"CA-2015-111164")</f>
        <v>CA-2015-111164</v>
      </c>
      <c r="B948" s="9">
        <f>IFERROR(__xludf.DUMMYFUNCTION("""COMPUTED_VALUE"""),42105.0)</f>
        <v>42105</v>
      </c>
      <c r="C948" s="8" t="str">
        <f>IFERROR(__xludf.DUMMYFUNCTION("""COMPUTED_VALUE"""),"Sanjit Engle")</f>
        <v>Sanjit Engle</v>
      </c>
      <c r="D948" s="8" t="str">
        <f>IFERROR(__xludf.DUMMYFUNCTION("""COMPUTED_VALUE"""),"Consumer")</f>
        <v>Consumer</v>
      </c>
      <c r="E948" s="8" t="str">
        <f>IFERROR(__xludf.DUMMYFUNCTION("""COMPUTED_VALUE"""),"East")</f>
        <v>East</v>
      </c>
      <c r="F948" s="10">
        <f>IFERROR(__xludf.DUMMYFUNCTION("""COMPUTED_VALUE"""),85.14)</f>
        <v>85.14</v>
      </c>
      <c r="G948" s="11">
        <f>IFERROR(__xludf.DUMMYFUNCTION("""COMPUTED_VALUE"""),3.0)</f>
        <v>3</v>
      </c>
      <c r="H948" s="11">
        <f>IFERROR(__xludf.DUMMYFUNCTION("""COMPUTED_VALUE"""),34.9074)</f>
        <v>34.9074</v>
      </c>
    </row>
    <row r="949">
      <c r="A949" s="8" t="str">
        <f>IFERROR(__xludf.DUMMYFUNCTION("""COMPUTED_VALUE"""),"CA-2015-111199")</f>
        <v>CA-2015-111199</v>
      </c>
      <c r="B949" s="9">
        <f>IFERROR(__xludf.DUMMYFUNCTION("""COMPUTED_VALUE"""),42321.0)</f>
        <v>42321</v>
      </c>
      <c r="C949" s="8" t="str">
        <f>IFERROR(__xludf.DUMMYFUNCTION("""COMPUTED_VALUE"""),"Joe Kamberova")</f>
        <v>Joe Kamberova</v>
      </c>
      <c r="D949" s="8" t="str">
        <f>IFERROR(__xludf.DUMMYFUNCTION("""COMPUTED_VALUE"""),"Consumer")</f>
        <v>Consumer</v>
      </c>
      <c r="E949" s="8" t="str">
        <f>IFERROR(__xludf.DUMMYFUNCTION("""COMPUTED_VALUE"""),"South")</f>
        <v>South</v>
      </c>
      <c r="F949" s="10">
        <f>IFERROR(__xludf.DUMMYFUNCTION("""COMPUTED_VALUE"""),115.296)</f>
        <v>115.296</v>
      </c>
      <c r="G949" s="11">
        <f>IFERROR(__xludf.DUMMYFUNCTION("""COMPUTED_VALUE"""),3.0)</f>
        <v>3</v>
      </c>
      <c r="H949" s="11">
        <f>IFERROR(__xludf.DUMMYFUNCTION("""COMPUTED_VALUE"""),40.3536)</f>
        <v>40.3536</v>
      </c>
    </row>
    <row r="950">
      <c r="A950" s="8" t="str">
        <f>IFERROR(__xludf.DUMMYFUNCTION("""COMPUTED_VALUE"""),"CA-2015-111206")</f>
        <v>CA-2015-111206</v>
      </c>
      <c r="B950" s="9">
        <f>IFERROR(__xludf.DUMMYFUNCTION("""COMPUTED_VALUE"""),42203.0)</f>
        <v>42203</v>
      </c>
      <c r="C950" s="8" t="str">
        <f>IFERROR(__xludf.DUMMYFUNCTION("""COMPUTED_VALUE"""),"Roland Fjeld")</f>
        <v>Roland Fjeld</v>
      </c>
      <c r="D950" s="8" t="str">
        <f>IFERROR(__xludf.DUMMYFUNCTION("""COMPUTED_VALUE"""),"Consumer")</f>
        <v>Consumer</v>
      </c>
      <c r="E950" s="8" t="str">
        <f>IFERROR(__xludf.DUMMYFUNCTION("""COMPUTED_VALUE"""),"West")</f>
        <v>West</v>
      </c>
      <c r="F950" s="10">
        <f>IFERROR(__xludf.DUMMYFUNCTION("""COMPUTED_VALUE"""),519.96)</f>
        <v>519.96</v>
      </c>
      <c r="G950" s="11">
        <f>IFERROR(__xludf.DUMMYFUNCTION("""COMPUTED_VALUE"""),4.0)</f>
        <v>4</v>
      </c>
      <c r="H950" s="11">
        <f>IFERROR(__xludf.DUMMYFUNCTION("""COMPUTED_VALUE"""),176.7864)</f>
        <v>176.7864</v>
      </c>
    </row>
    <row r="951">
      <c r="A951" s="8" t="str">
        <f>IFERROR(__xludf.DUMMYFUNCTION("""COMPUTED_VALUE"""),"CA-2015-111234")</f>
        <v>CA-2015-111234</v>
      </c>
      <c r="B951" s="9">
        <f>IFERROR(__xludf.DUMMYFUNCTION("""COMPUTED_VALUE"""),42053.0)</f>
        <v>42053</v>
      </c>
      <c r="C951" s="8" t="str">
        <f>IFERROR(__xludf.DUMMYFUNCTION("""COMPUTED_VALUE"""),"Ann Blume")</f>
        <v>Ann Blume</v>
      </c>
      <c r="D951" s="8" t="str">
        <f>IFERROR(__xludf.DUMMYFUNCTION("""COMPUTED_VALUE"""),"Corporate")</f>
        <v>Corporate</v>
      </c>
      <c r="E951" s="8" t="str">
        <f>IFERROR(__xludf.DUMMYFUNCTION("""COMPUTED_VALUE"""),"West")</f>
        <v>West</v>
      </c>
      <c r="F951" s="10">
        <f>IFERROR(__xludf.DUMMYFUNCTION("""COMPUTED_VALUE"""),9.24)</f>
        <v>9.24</v>
      </c>
      <c r="G951" s="11">
        <f>IFERROR(__xludf.DUMMYFUNCTION("""COMPUTED_VALUE"""),3.0)</f>
        <v>3</v>
      </c>
      <c r="H951" s="11">
        <f>IFERROR(__xludf.DUMMYFUNCTION("""COMPUTED_VALUE"""),4.4352)</f>
        <v>4.4352</v>
      </c>
    </row>
    <row r="952">
      <c r="A952" s="8" t="str">
        <f>IFERROR(__xludf.DUMMYFUNCTION("""COMPUTED_VALUE"""),"CA-2015-111297")</f>
        <v>CA-2015-111297</v>
      </c>
      <c r="B952" s="9">
        <f>IFERROR(__xludf.DUMMYFUNCTION("""COMPUTED_VALUE"""),42233.0)</f>
        <v>42233</v>
      </c>
      <c r="C952" s="8" t="str">
        <f>IFERROR(__xludf.DUMMYFUNCTION("""COMPUTED_VALUE"""),"Shaun Chance")</f>
        <v>Shaun Chance</v>
      </c>
      <c r="D952" s="8" t="str">
        <f>IFERROR(__xludf.DUMMYFUNCTION("""COMPUTED_VALUE"""),"Corporate")</f>
        <v>Corporate</v>
      </c>
      <c r="E952" s="8" t="str">
        <f>IFERROR(__xludf.DUMMYFUNCTION("""COMPUTED_VALUE"""),"East")</f>
        <v>East</v>
      </c>
      <c r="F952" s="10">
        <f>IFERROR(__xludf.DUMMYFUNCTION("""COMPUTED_VALUE"""),52.2)</f>
        <v>52.2</v>
      </c>
      <c r="G952" s="11">
        <f>IFERROR(__xludf.DUMMYFUNCTION("""COMPUTED_VALUE"""),9.0)</f>
        <v>9</v>
      </c>
      <c r="H952" s="11">
        <f>IFERROR(__xludf.DUMMYFUNCTION("""COMPUTED_VALUE"""),23.49)</f>
        <v>23.49</v>
      </c>
    </row>
    <row r="953">
      <c r="A953" s="8" t="str">
        <f>IFERROR(__xludf.DUMMYFUNCTION("""COMPUTED_VALUE"""),"CA-2015-111325")</f>
        <v>CA-2015-111325</v>
      </c>
      <c r="B953" s="9">
        <f>IFERROR(__xludf.DUMMYFUNCTION("""COMPUTED_VALUE"""),42062.0)</f>
        <v>42062</v>
      </c>
      <c r="C953" s="8" t="str">
        <f>IFERROR(__xludf.DUMMYFUNCTION("""COMPUTED_VALUE"""),"Bill Tyler")</f>
        <v>Bill Tyler</v>
      </c>
      <c r="D953" s="8" t="str">
        <f>IFERROR(__xludf.DUMMYFUNCTION("""COMPUTED_VALUE"""),"Corporate")</f>
        <v>Corporate</v>
      </c>
      <c r="E953" s="8" t="str">
        <f>IFERROR(__xludf.DUMMYFUNCTION("""COMPUTED_VALUE"""),"East")</f>
        <v>East</v>
      </c>
      <c r="F953" s="10">
        <f>IFERROR(__xludf.DUMMYFUNCTION("""COMPUTED_VALUE"""),4.419)</f>
        <v>4.419</v>
      </c>
      <c r="G953" s="11">
        <f>IFERROR(__xludf.DUMMYFUNCTION("""COMPUTED_VALUE"""),3.0)</f>
        <v>3</v>
      </c>
      <c r="H953" s="11">
        <f>IFERROR(__xludf.DUMMYFUNCTION("""COMPUTED_VALUE"""),-3.3879)</f>
        <v>-3.3879</v>
      </c>
    </row>
    <row r="954">
      <c r="A954" s="8" t="str">
        <f>IFERROR(__xludf.DUMMYFUNCTION("""COMPUTED_VALUE"""),"CA-2015-111339")</f>
        <v>CA-2015-111339</v>
      </c>
      <c r="B954" s="9">
        <f>IFERROR(__xludf.DUMMYFUNCTION("""COMPUTED_VALUE"""),42153.0)</f>
        <v>42153</v>
      </c>
      <c r="C954" s="8" t="str">
        <f>IFERROR(__xludf.DUMMYFUNCTION("""COMPUTED_VALUE"""),"Victoria Pisteka")</f>
        <v>Victoria Pisteka</v>
      </c>
      <c r="D954" s="8" t="str">
        <f>IFERROR(__xludf.DUMMYFUNCTION("""COMPUTED_VALUE"""),"Corporate")</f>
        <v>Corporate</v>
      </c>
      <c r="E954" s="8" t="str">
        <f>IFERROR(__xludf.DUMMYFUNCTION("""COMPUTED_VALUE"""),"East")</f>
        <v>East</v>
      </c>
      <c r="F954" s="10">
        <f>IFERROR(__xludf.DUMMYFUNCTION("""COMPUTED_VALUE"""),41.568)</f>
        <v>41.568</v>
      </c>
      <c r="G954" s="11">
        <f>IFERROR(__xludf.DUMMYFUNCTION("""COMPUTED_VALUE"""),4.0)</f>
        <v>4</v>
      </c>
      <c r="H954" s="11">
        <f>IFERROR(__xludf.DUMMYFUNCTION("""COMPUTED_VALUE"""),-4.1568)</f>
        <v>-4.1568</v>
      </c>
    </row>
    <row r="955">
      <c r="A955" s="8" t="str">
        <f>IFERROR(__xludf.DUMMYFUNCTION("""COMPUTED_VALUE"""),"CA-2015-111395")</f>
        <v>CA-2015-111395</v>
      </c>
      <c r="B955" s="9">
        <f>IFERROR(__xludf.DUMMYFUNCTION("""COMPUTED_VALUE"""),42331.0)</f>
        <v>42331</v>
      </c>
      <c r="C955" s="8" t="str">
        <f>IFERROR(__xludf.DUMMYFUNCTION("""COMPUTED_VALUE"""),"Victoria Brennan")</f>
        <v>Victoria Brennan</v>
      </c>
      <c r="D955" s="8" t="str">
        <f>IFERROR(__xludf.DUMMYFUNCTION("""COMPUTED_VALUE"""),"Corporate")</f>
        <v>Corporate</v>
      </c>
      <c r="E955" s="8" t="str">
        <f>IFERROR(__xludf.DUMMYFUNCTION("""COMPUTED_VALUE"""),"Central")</f>
        <v>Central</v>
      </c>
      <c r="F955" s="10">
        <f>IFERROR(__xludf.DUMMYFUNCTION("""COMPUTED_VALUE"""),335.52)</f>
        <v>335.52</v>
      </c>
      <c r="G955" s="11">
        <f>IFERROR(__xludf.DUMMYFUNCTION("""COMPUTED_VALUE"""),4.0)</f>
        <v>4</v>
      </c>
      <c r="H955" s="11">
        <f>IFERROR(__xludf.DUMMYFUNCTION("""COMPUTED_VALUE"""),117.432)</f>
        <v>117.432</v>
      </c>
    </row>
    <row r="956">
      <c r="A956" s="8" t="str">
        <f>IFERROR(__xludf.DUMMYFUNCTION("""COMPUTED_VALUE"""),"CA-2015-111458")</f>
        <v>CA-2015-111458</v>
      </c>
      <c r="B956" s="9">
        <f>IFERROR(__xludf.DUMMYFUNCTION("""COMPUTED_VALUE"""),42273.0)</f>
        <v>42273</v>
      </c>
      <c r="C956" s="8" t="str">
        <f>IFERROR(__xludf.DUMMYFUNCTION("""COMPUTED_VALUE"""),"Philip Fox")</f>
        <v>Philip Fox</v>
      </c>
      <c r="D956" s="8" t="str">
        <f>IFERROR(__xludf.DUMMYFUNCTION("""COMPUTED_VALUE"""),"Consumer")</f>
        <v>Consumer</v>
      </c>
      <c r="E956" s="8" t="str">
        <f>IFERROR(__xludf.DUMMYFUNCTION("""COMPUTED_VALUE"""),"East")</f>
        <v>East</v>
      </c>
      <c r="F956" s="10">
        <f>IFERROR(__xludf.DUMMYFUNCTION("""COMPUTED_VALUE"""),50.0)</f>
        <v>50</v>
      </c>
      <c r="G956" s="11">
        <f>IFERROR(__xludf.DUMMYFUNCTION("""COMPUTED_VALUE"""),2.0)</f>
        <v>2</v>
      </c>
      <c r="H956" s="11">
        <f>IFERROR(__xludf.DUMMYFUNCTION("""COMPUTED_VALUE"""),12.0)</f>
        <v>12</v>
      </c>
    </row>
    <row r="957">
      <c r="A957" s="8" t="str">
        <f>IFERROR(__xludf.DUMMYFUNCTION("""COMPUTED_VALUE"""),"CA-2015-111507")</f>
        <v>CA-2015-111507</v>
      </c>
      <c r="B957" s="9">
        <f>IFERROR(__xludf.DUMMYFUNCTION("""COMPUTED_VALUE"""),42041.0)</f>
        <v>42041</v>
      </c>
      <c r="C957" s="8" t="str">
        <f>IFERROR(__xludf.DUMMYFUNCTION("""COMPUTED_VALUE"""),"Victoria Wilson")</f>
        <v>Victoria Wilson</v>
      </c>
      <c r="D957" s="8" t="str">
        <f>IFERROR(__xludf.DUMMYFUNCTION("""COMPUTED_VALUE"""),"Corporate")</f>
        <v>Corporate</v>
      </c>
      <c r="E957" s="8" t="str">
        <f>IFERROR(__xludf.DUMMYFUNCTION("""COMPUTED_VALUE"""),"West")</f>
        <v>West</v>
      </c>
      <c r="F957" s="10">
        <f>IFERROR(__xludf.DUMMYFUNCTION("""COMPUTED_VALUE"""),5.28)</f>
        <v>5.28</v>
      </c>
      <c r="G957" s="11">
        <f>IFERROR(__xludf.DUMMYFUNCTION("""COMPUTED_VALUE"""),3.0)</f>
        <v>3</v>
      </c>
      <c r="H957" s="11">
        <f>IFERROR(__xludf.DUMMYFUNCTION("""COMPUTED_VALUE"""),1.5312)</f>
        <v>1.5312</v>
      </c>
    </row>
    <row r="958">
      <c r="A958" s="8" t="str">
        <f>IFERROR(__xludf.DUMMYFUNCTION("""COMPUTED_VALUE"""),"CA-2015-111514")</f>
        <v>CA-2015-111514</v>
      </c>
      <c r="B958" s="9">
        <f>IFERROR(__xludf.DUMMYFUNCTION("""COMPUTED_VALUE"""),42247.0)</f>
        <v>42247</v>
      </c>
      <c r="C958" s="8" t="str">
        <f>IFERROR(__xludf.DUMMYFUNCTION("""COMPUTED_VALUE"""),"Scott Cohen")</f>
        <v>Scott Cohen</v>
      </c>
      <c r="D958" s="8" t="str">
        <f>IFERROR(__xludf.DUMMYFUNCTION("""COMPUTED_VALUE"""),"Corporate")</f>
        <v>Corporate</v>
      </c>
      <c r="E958" s="8" t="str">
        <f>IFERROR(__xludf.DUMMYFUNCTION("""COMPUTED_VALUE"""),"West")</f>
        <v>West</v>
      </c>
      <c r="F958" s="10">
        <f>IFERROR(__xludf.DUMMYFUNCTION("""COMPUTED_VALUE"""),1552.831)</f>
        <v>1552.831</v>
      </c>
      <c r="G958" s="11">
        <f>IFERROR(__xludf.DUMMYFUNCTION("""COMPUTED_VALUE"""),7.0)</f>
        <v>7</v>
      </c>
      <c r="H958" s="11">
        <f>IFERROR(__xludf.DUMMYFUNCTION("""COMPUTED_VALUE"""),200.9546)</f>
        <v>200.9546</v>
      </c>
    </row>
    <row r="959">
      <c r="A959" s="8" t="str">
        <f>IFERROR(__xludf.DUMMYFUNCTION("""COMPUTED_VALUE"""),"CA-2015-111612")</f>
        <v>CA-2015-111612</v>
      </c>
      <c r="B959" s="9">
        <f>IFERROR(__xludf.DUMMYFUNCTION("""COMPUTED_VALUE"""),42336.0)</f>
        <v>42336</v>
      </c>
      <c r="C959" s="8" t="str">
        <f>IFERROR(__xludf.DUMMYFUNCTION("""COMPUTED_VALUE"""),"Eugene Barchas")</f>
        <v>Eugene Barchas</v>
      </c>
      <c r="D959" s="8" t="str">
        <f>IFERROR(__xludf.DUMMYFUNCTION("""COMPUTED_VALUE"""),"Consumer")</f>
        <v>Consumer</v>
      </c>
      <c r="E959" s="8" t="str">
        <f>IFERROR(__xludf.DUMMYFUNCTION("""COMPUTED_VALUE"""),"East")</f>
        <v>East</v>
      </c>
      <c r="F959" s="10">
        <f>IFERROR(__xludf.DUMMYFUNCTION("""COMPUTED_VALUE"""),71.12)</f>
        <v>71.12</v>
      </c>
      <c r="G959" s="11">
        <f>IFERROR(__xludf.DUMMYFUNCTION("""COMPUTED_VALUE"""),5.0)</f>
        <v>5</v>
      </c>
      <c r="H959" s="11">
        <f>IFERROR(__xludf.DUMMYFUNCTION("""COMPUTED_VALUE"""),9.779)</f>
        <v>9.779</v>
      </c>
    </row>
    <row r="960">
      <c r="A960" s="8" t="str">
        <f>IFERROR(__xludf.DUMMYFUNCTION("""COMPUTED_VALUE"""),"CA-2015-111703")</f>
        <v>CA-2015-111703</v>
      </c>
      <c r="B960" s="9">
        <f>IFERROR(__xludf.DUMMYFUNCTION("""COMPUTED_VALUE"""),42187.0)</f>
        <v>42187</v>
      </c>
      <c r="C960" s="8" t="str">
        <f>IFERROR(__xludf.DUMMYFUNCTION("""COMPUTED_VALUE"""),"Karl Braun")</f>
        <v>Karl Braun</v>
      </c>
      <c r="D960" s="8" t="str">
        <f>IFERROR(__xludf.DUMMYFUNCTION("""COMPUTED_VALUE"""),"Consumer")</f>
        <v>Consumer</v>
      </c>
      <c r="E960" s="8" t="str">
        <f>IFERROR(__xludf.DUMMYFUNCTION("""COMPUTED_VALUE"""),"South")</f>
        <v>South</v>
      </c>
      <c r="F960" s="10">
        <f>IFERROR(__xludf.DUMMYFUNCTION("""COMPUTED_VALUE"""),11.952)</f>
        <v>11.952</v>
      </c>
      <c r="G960" s="11">
        <f>IFERROR(__xludf.DUMMYFUNCTION("""COMPUTED_VALUE"""),3.0)</f>
        <v>3</v>
      </c>
      <c r="H960" s="11">
        <f>IFERROR(__xludf.DUMMYFUNCTION("""COMPUTED_VALUE"""),4.0338)</f>
        <v>4.0338</v>
      </c>
    </row>
    <row r="961">
      <c r="A961" s="8" t="str">
        <f>IFERROR(__xludf.DUMMYFUNCTION("""COMPUTED_VALUE"""),"CA-2015-111780")</f>
        <v>CA-2015-111780</v>
      </c>
      <c r="B961" s="9">
        <f>IFERROR(__xludf.DUMMYFUNCTION("""COMPUTED_VALUE"""),42363.0)</f>
        <v>42363</v>
      </c>
      <c r="C961" s="8" t="str">
        <f>IFERROR(__xludf.DUMMYFUNCTION("""COMPUTED_VALUE"""),"Ralph Arnett")</f>
        <v>Ralph Arnett</v>
      </c>
      <c r="D961" s="8" t="str">
        <f>IFERROR(__xludf.DUMMYFUNCTION("""COMPUTED_VALUE"""),"Consumer")</f>
        <v>Consumer</v>
      </c>
      <c r="E961" s="8" t="str">
        <f>IFERROR(__xludf.DUMMYFUNCTION("""COMPUTED_VALUE"""),"West")</f>
        <v>West</v>
      </c>
      <c r="F961" s="10">
        <f>IFERROR(__xludf.DUMMYFUNCTION("""COMPUTED_VALUE"""),1199.96)</f>
        <v>1199.96</v>
      </c>
      <c r="G961" s="11">
        <f>IFERROR(__xludf.DUMMYFUNCTION("""COMPUTED_VALUE"""),5.0)</f>
        <v>5</v>
      </c>
      <c r="H961" s="11">
        <f>IFERROR(__xludf.DUMMYFUNCTION("""COMPUTED_VALUE"""),224.9925)</f>
        <v>224.9925</v>
      </c>
    </row>
    <row r="962">
      <c r="A962" s="8" t="str">
        <f>IFERROR(__xludf.DUMMYFUNCTION("""COMPUTED_VALUE"""),"CA-2015-111829")</f>
        <v>CA-2015-111829</v>
      </c>
      <c r="B962" s="9">
        <f>IFERROR(__xludf.DUMMYFUNCTION("""COMPUTED_VALUE"""),42082.0)</f>
        <v>42082</v>
      </c>
      <c r="C962" s="8" t="str">
        <f>IFERROR(__xludf.DUMMYFUNCTION("""COMPUTED_VALUE"""),"Fred Hopkins")</f>
        <v>Fred Hopkins</v>
      </c>
      <c r="D962" s="8" t="str">
        <f>IFERROR(__xludf.DUMMYFUNCTION("""COMPUTED_VALUE"""),"Corporate")</f>
        <v>Corporate</v>
      </c>
      <c r="E962" s="8" t="str">
        <f>IFERROR(__xludf.DUMMYFUNCTION("""COMPUTED_VALUE"""),"West")</f>
        <v>West</v>
      </c>
      <c r="F962" s="10">
        <f>IFERROR(__xludf.DUMMYFUNCTION("""COMPUTED_VALUE"""),1247.64)</f>
        <v>1247.64</v>
      </c>
      <c r="G962" s="11">
        <f>IFERROR(__xludf.DUMMYFUNCTION("""COMPUTED_VALUE"""),3.0)</f>
        <v>3</v>
      </c>
      <c r="H962" s="11">
        <f>IFERROR(__xludf.DUMMYFUNCTION("""COMPUTED_VALUE"""),349.3392)</f>
        <v>349.3392</v>
      </c>
    </row>
    <row r="963">
      <c r="A963" s="8" t="str">
        <f>IFERROR(__xludf.DUMMYFUNCTION("""COMPUTED_VALUE"""),"CA-2015-111864")</f>
        <v>CA-2015-111864</v>
      </c>
      <c r="B963" s="9">
        <f>IFERROR(__xludf.DUMMYFUNCTION("""COMPUTED_VALUE"""),42174.0)</f>
        <v>42174</v>
      </c>
      <c r="C963" s="8" t="str">
        <f>IFERROR(__xludf.DUMMYFUNCTION("""COMPUTED_VALUE"""),"Paul Prost")</f>
        <v>Paul Prost</v>
      </c>
      <c r="D963" s="8" t="str">
        <f>IFERROR(__xludf.DUMMYFUNCTION("""COMPUTED_VALUE"""),"Home Office")</f>
        <v>Home Office</v>
      </c>
      <c r="E963" s="8" t="str">
        <f>IFERROR(__xludf.DUMMYFUNCTION("""COMPUTED_VALUE"""),"East")</f>
        <v>East</v>
      </c>
      <c r="F963" s="10">
        <f>IFERROR(__xludf.DUMMYFUNCTION("""COMPUTED_VALUE"""),5.904)</f>
        <v>5.904</v>
      </c>
      <c r="G963" s="11">
        <f>IFERROR(__xludf.DUMMYFUNCTION("""COMPUTED_VALUE"""),2.0)</f>
        <v>2</v>
      </c>
      <c r="H963" s="11">
        <f>IFERROR(__xludf.DUMMYFUNCTION("""COMPUTED_VALUE"""),1.9926)</f>
        <v>1.9926</v>
      </c>
    </row>
    <row r="964">
      <c r="A964" s="8" t="str">
        <f>IFERROR(__xludf.DUMMYFUNCTION("""COMPUTED_VALUE"""),"CA-2015-111948")</f>
        <v>CA-2015-111948</v>
      </c>
      <c r="B964" s="9">
        <f>IFERROR(__xludf.DUMMYFUNCTION("""COMPUTED_VALUE"""),42319.0)</f>
        <v>42319</v>
      </c>
      <c r="C964" s="8" t="str">
        <f>IFERROR(__xludf.DUMMYFUNCTION("""COMPUTED_VALUE"""),"Andrew Gjertsen")</f>
        <v>Andrew Gjertsen</v>
      </c>
      <c r="D964" s="8" t="str">
        <f>IFERROR(__xludf.DUMMYFUNCTION("""COMPUTED_VALUE"""),"Corporate")</f>
        <v>Corporate</v>
      </c>
      <c r="E964" s="8" t="str">
        <f>IFERROR(__xludf.DUMMYFUNCTION("""COMPUTED_VALUE"""),"Central")</f>
        <v>Central</v>
      </c>
      <c r="F964" s="10">
        <f>IFERROR(__xludf.DUMMYFUNCTION("""COMPUTED_VALUE"""),418.32)</f>
        <v>418.32</v>
      </c>
      <c r="G964" s="11">
        <f>IFERROR(__xludf.DUMMYFUNCTION("""COMPUTED_VALUE"""),7.0)</f>
        <v>7</v>
      </c>
      <c r="H964" s="11">
        <f>IFERROR(__xludf.DUMMYFUNCTION("""COMPUTED_VALUE"""),117.1296)</f>
        <v>117.1296</v>
      </c>
    </row>
    <row r="965">
      <c r="A965" s="8" t="str">
        <f>IFERROR(__xludf.DUMMYFUNCTION("""COMPUTED_VALUE"""),"CA-2015-111990")</f>
        <v>CA-2015-111990</v>
      </c>
      <c r="B965" s="9">
        <f>IFERROR(__xludf.DUMMYFUNCTION("""COMPUTED_VALUE"""),42316.0)</f>
        <v>42316</v>
      </c>
      <c r="C965" s="8" t="str">
        <f>IFERROR(__xludf.DUMMYFUNCTION("""COMPUTED_VALUE"""),"Duane Benoit")</f>
        <v>Duane Benoit</v>
      </c>
      <c r="D965" s="8" t="str">
        <f>IFERROR(__xludf.DUMMYFUNCTION("""COMPUTED_VALUE"""),"Consumer")</f>
        <v>Consumer</v>
      </c>
      <c r="E965" s="8" t="str">
        <f>IFERROR(__xludf.DUMMYFUNCTION("""COMPUTED_VALUE"""),"Central")</f>
        <v>Central</v>
      </c>
      <c r="F965" s="10">
        <f>IFERROR(__xludf.DUMMYFUNCTION("""COMPUTED_VALUE"""),10.476)</f>
        <v>10.476</v>
      </c>
      <c r="G965" s="11">
        <f>IFERROR(__xludf.DUMMYFUNCTION("""COMPUTED_VALUE"""),6.0)</f>
        <v>6</v>
      </c>
      <c r="H965" s="11">
        <f>IFERROR(__xludf.DUMMYFUNCTION("""COMPUTED_VALUE"""),-17.2854)</f>
        <v>-17.2854</v>
      </c>
    </row>
    <row r="966">
      <c r="A966" s="8" t="str">
        <f>IFERROR(__xludf.DUMMYFUNCTION("""COMPUTED_VALUE"""),"CA-2015-112014")</f>
        <v>CA-2015-112014</v>
      </c>
      <c r="B966" s="9">
        <f>IFERROR(__xludf.DUMMYFUNCTION("""COMPUTED_VALUE"""),42229.0)</f>
        <v>42229</v>
      </c>
      <c r="C966" s="8" t="str">
        <f>IFERROR(__xludf.DUMMYFUNCTION("""COMPUTED_VALUE"""),"Odella Nelson")</f>
        <v>Odella Nelson</v>
      </c>
      <c r="D966" s="8" t="str">
        <f>IFERROR(__xludf.DUMMYFUNCTION("""COMPUTED_VALUE"""),"Corporate")</f>
        <v>Corporate</v>
      </c>
      <c r="E966" s="8" t="str">
        <f>IFERROR(__xludf.DUMMYFUNCTION("""COMPUTED_VALUE"""),"West")</f>
        <v>West</v>
      </c>
      <c r="F966" s="10">
        <f>IFERROR(__xludf.DUMMYFUNCTION("""COMPUTED_VALUE"""),50.8)</f>
        <v>50.8</v>
      </c>
      <c r="G966" s="11">
        <f>IFERROR(__xludf.DUMMYFUNCTION("""COMPUTED_VALUE"""),5.0)</f>
        <v>5</v>
      </c>
      <c r="H966" s="11">
        <f>IFERROR(__xludf.DUMMYFUNCTION("""COMPUTED_VALUE"""),13.208)</f>
        <v>13.208</v>
      </c>
    </row>
    <row r="967">
      <c r="A967" s="8" t="str">
        <f>IFERROR(__xludf.DUMMYFUNCTION("""COMPUTED_VALUE"""),"CA-2015-112053")</f>
        <v>CA-2015-112053</v>
      </c>
      <c r="B967" s="9">
        <f>IFERROR(__xludf.DUMMYFUNCTION("""COMPUTED_VALUE"""),42288.0)</f>
        <v>42288</v>
      </c>
      <c r="C967" s="8" t="str">
        <f>IFERROR(__xludf.DUMMYFUNCTION("""COMPUTED_VALUE"""),"Shahid Hopkins")</f>
        <v>Shahid Hopkins</v>
      </c>
      <c r="D967" s="8" t="str">
        <f>IFERROR(__xludf.DUMMYFUNCTION("""COMPUTED_VALUE"""),"Consumer")</f>
        <v>Consumer</v>
      </c>
      <c r="E967" s="8" t="str">
        <f>IFERROR(__xludf.DUMMYFUNCTION("""COMPUTED_VALUE"""),"East")</f>
        <v>East</v>
      </c>
      <c r="F967" s="10">
        <f>IFERROR(__xludf.DUMMYFUNCTION("""COMPUTED_VALUE"""),31.95)</f>
        <v>31.95</v>
      </c>
      <c r="G967" s="11">
        <f>IFERROR(__xludf.DUMMYFUNCTION("""COMPUTED_VALUE"""),1.0)</f>
        <v>1</v>
      </c>
      <c r="H967" s="11">
        <f>IFERROR(__xludf.DUMMYFUNCTION("""COMPUTED_VALUE"""),2.2365)</f>
        <v>2.2365</v>
      </c>
    </row>
    <row r="968">
      <c r="A968" s="8" t="str">
        <f>IFERROR(__xludf.DUMMYFUNCTION("""COMPUTED_VALUE"""),"CA-2015-112116")</f>
        <v>CA-2015-112116</v>
      </c>
      <c r="B968" s="9">
        <f>IFERROR(__xludf.DUMMYFUNCTION("""COMPUTED_VALUE"""),42079.0)</f>
        <v>42079</v>
      </c>
      <c r="C968" s="8" t="str">
        <f>IFERROR(__xludf.DUMMYFUNCTION("""COMPUTED_VALUE"""),"Jeremy Ellison")</f>
        <v>Jeremy Ellison</v>
      </c>
      <c r="D968" s="8" t="str">
        <f>IFERROR(__xludf.DUMMYFUNCTION("""COMPUTED_VALUE"""),"Consumer")</f>
        <v>Consumer</v>
      </c>
      <c r="E968" s="8" t="str">
        <f>IFERROR(__xludf.DUMMYFUNCTION("""COMPUTED_VALUE"""),"West")</f>
        <v>West</v>
      </c>
      <c r="F968" s="10">
        <f>IFERROR(__xludf.DUMMYFUNCTION("""COMPUTED_VALUE"""),171.96)</f>
        <v>171.96</v>
      </c>
      <c r="G968" s="11">
        <f>IFERROR(__xludf.DUMMYFUNCTION("""COMPUTED_VALUE"""),2.0)</f>
        <v>2</v>
      </c>
      <c r="H968" s="11">
        <f>IFERROR(__xludf.DUMMYFUNCTION("""COMPUTED_VALUE"""),44.7096)</f>
        <v>44.7096</v>
      </c>
    </row>
    <row r="969">
      <c r="A969" s="8" t="str">
        <f>IFERROR(__xludf.DUMMYFUNCTION("""COMPUTED_VALUE"""),"CA-2015-112130")</f>
        <v>CA-2015-112130</v>
      </c>
      <c r="B969" s="9">
        <f>IFERROR(__xludf.DUMMYFUNCTION("""COMPUTED_VALUE"""),42127.0)</f>
        <v>42127</v>
      </c>
      <c r="C969" s="8" t="str">
        <f>IFERROR(__xludf.DUMMYFUNCTION("""COMPUTED_VALUE"""),"Stewart Visinsky")</f>
        <v>Stewart Visinsky</v>
      </c>
      <c r="D969" s="8" t="str">
        <f>IFERROR(__xludf.DUMMYFUNCTION("""COMPUTED_VALUE"""),"Consumer")</f>
        <v>Consumer</v>
      </c>
      <c r="E969" s="8" t="str">
        <f>IFERROR(__xludf.DUMMYFUNCTION("""COMPUTED_VALUE"""),"East")</f>
        <v>East</v>
      </c>
      <c r="F969" s="10">
        <f>IFERROR(__xludf.DUMMYFUNCTION("""COMPUTED_VALUE"""),59.904)</f>
        <v>59.904</v>
      </c>
      <c r="G969" s="11">
        <f>IFERROR(__xludf.DUMMYFUNCTION("""COMPUTED_VALUE"""),2.0)</f>
        <v>2</v>
      </c>
      <c r="H969" s="11">
        <f>IFERROR(__xludf.DUMMYFUNCTION("""COMPUTED_VALUE"""),14.2272)</f>
        <v>14.2272</v>
      </c>
    </row>
    <row r="970">
      <c r="A970" s="8" t="str">
        <f>IFERROR(__xludf.DUMMYFUNCTION("""COMPUTED_VALUE"""),"CA-2015-112144")</f>
        <v>CA-2015-112144</v>
      </c>
      <c r="B970" s="9">
        <f>IFERROR(__xludf.DUMMYFUNCTION("""COMPUTED_VALUE"""),42183.0)</f>
        <v>42183</v>
      </c>
      <c r="C970" s="8" t="str">
        <f>IFERROR(__xludf.DUMMYFUNCTION("""COMPUTED_VALUE"""),"Craig Yedwab")</f>
        <v>Craig Yedwab</v>
      </c>
      <c r="D970" s="8" t="str">
        <f>IFERROR(__xludf.DUMMYFUNCTION("""COMPUTED_VALUE"""),"Corporate")</f>
        <v>Corporate</v>
      </c>
      <c r="E970" s="8" t="str">
        <f>IFERROR(__xludf.DUMMYFUNCTION("""COMPUTED_VALUE"""),"West")</f>
        <v>West</v>
      </c>
      <c r="F970" s="10">
        <f>IFERROR(__xludf.DUMMYFUNCTION("""COMPUTED_VALUE"""),5.904)</f>
        <v>5.904</v>
      </c>
      <c r="G970" s="11">
        <f>IFERROR(__xludf.DUMMYFUNCTION("""COMPUTED_VALUE"""),2.0)</f>
        <v>2</v>
      </c>
      <c r="H970" s="11">
        <f>IFERROR(__xludf.DUMMYFUNCTION("""COMPUTED_VALUE"""),1.9926)</f>
        <v>1.9926</v>
      </c>
    </row>
    <row r="971">
      <c r="A971" s="8" t="str">
        <f>IFERROR(__xludf.DUMMYFUNCTION("""COMPUTED_VALUE"""),"CA-2015-112214")</f>
        <v>CA-2015-112214</v>
      </c>
      <c r="B971" s="9">
        <f>IFERROR(__xludf.DUMMYFUNCTION("""COMPUTED_VALUE"""),42221.0)</f>
        <v>42221</v>
      </c>
      <c r="C971" s="8" t="str">
        <f>IFERROR(__xludf.DUMMYFUNCTION("""COMPUTED_VALUE"""),"Anna Häberlin")</f>
        <v>Anna Häberlin</v>
      </c>
      <c r="D971" s="8" t="str">
        <f>IFERROR(__xludf.DUMMYFUNCTION("""COMPUTED_VALUE"""),"Corporate")</f>
        <v>Corporate</v>
      </c>
      <c r="E971" s="8" t="str">
        <f>IFERROR(__xludf.DUMMYFUNCTION("""COMPUTED_VALUE"""),"Central")</f>
        <v>Central</v>
      </c>
      <c r="F971" s="10">
        <f>IFERROR(__xludf.DUMMYFUNCTION("""COMPUTED_VALUE"""),33.488)</f>
        <v>33.488</v>
      </c>
      <c r="G971" s="11">
        <f>IFERROR(__xludf.DUMMYFUNCTION("""COMPUTED_VALUE"""),7.0)</f>
        <v>7</v>
      </c>
      <c r="H971" s="11">
        <f>IFERROR(__xludf.DUMMYFUNCTION("""COMPUTED_VALUE"""),-1.2558)</f>
        <v>-1.2558</v>
      </c>
    </row>
    <row r="972">
      <c r="A972" s="8" t="str">
        <f>IFERROR(__xludf.DUMMYFUNCTION("""COMPUTED_VALUE"""),"CA-2015-112305")</f>
        <v>CA-2015-112305</v>
      </c>
      <c r="B972" s="9">
        <f>IFERROR(__xludf.DUMMYFUNCTION("""COMPUTED_VALUE"""),42328.0)</f>
        <v>42328</v>
      </c>
      <c r="C972" s="8" t="str">
        <f>IFERROR(__xludf.DUMMYFUNCTION("""COMPUTED_VALUE"""),"Katrina Bavinger")</f>
        <v>Katrina Bavinger</v>
      </c>
      <c r="D972" s="8" t="str">
        <f>IFERROR(__xludf.DUMMYFUNCTION("""COMPUTED_VALUE"""),"Home Office")</f>
        <v>Home Office</v>
      </c>
      <c r="E972" s="8" t="str">
        <f>IFERROR(__xludf.DUMMYFUNCTION("""COMPUTED_VALUE"""),"West")</f>
        <v>West</v>
      </c>
      <c r="F972" s="10">
        <f>IFERROR(__xludf.DUMMYFUNCTION("""COMPUTED_VALUE"""),119.04)</f>
        <v>119.04</v>
      </c>
      <c r="G972" s="11">
        <f>IFERROR(__xludf.DUMMYFUNCTION("""COMPUTED_VALUE"""),6.0)</f>
        <v>6</v>
      </c>
      <c r="H972" s="11">
        <f>IFERROR(__xludf.DUMMYFUNCTION("""COMPUTED_VALUE"""),30.9504)</f>
        <v>30.9504</v>
      </c>
    </row>
    <row r="973">
      <c r="A973" s="8" t="str">
        <f>IFERROR(__xludf.DUMMYFUNCTION("""COMPUTED_VALUE"""),"CA-2015-112319")</f>
        <v>CA-2015-112319</v>
      </c>
      <c r="B973" s="9">
        <f>IFERROR(__xludf.DUMMYFUNCTION("""COMPUTED_VALUE"""),42247.0)</f>
        <v>42247</v>
      </c>
      <c r="C973" s="8" t="str">
        <f>IFERROR(__xludf.DUMMYFUNCTION("""COMPUTED_VALUE"""),"Andrew Roberts")</f>
        <v>Andrew Roberts</v>
      </c>
      <c r="D973" s="8" t="str">
        <f>IFERROR(__xludf.DUMMYFUNCTION("""COMPUTED_VALUE"""),"Consumer")</f>
        <v>Consumer</v>
      </c>
      <c r="E973" s="8" t="str">
        <f>IFERROR(__xludf.DUMMYFUNCTION("""COMPUTED_VALUE"""),"West")</f>
        <v>West</v>
      </c>
      <c r="F973" s="10">
        <f>IFERROR(__xludf.DUMMYFUNCTION("""COMPUTED_VALUE"""),58.32)</f>
        <v>58.32</v>
      </c>
      <c r="G973" s="11">
        <f>IFERROR(__xludf.DUMMYFUNCTION("""COMPUTED_VALUE"""),9.0)</f>
        <v>9</v>
      </c>
      <c r="H973" s="11">
        <f>IFERROR(__xludf.DUMMYFUNCTION("""COMPUTED_VALUE"""),27.9936)</f>
        <v>27.9936</v>
      </c>
    </row>
    <row r="974">
      <c r="A974" s="8" t="str">
        <f>IFERROR(__xludf.DUMMYFUNCTION("""COMPUTED_VALUE"""),"CA-2015-112375")</f>
        <v>CA-2015-112375</v>
      </c>
      <c r="B974" s="9">
        <f>IFERROR(__xludf.DUMMYFUNCTION("""COMPUTED_VALUE"""),42359.0)</f>
        <v>42359</v>
      </c>
      <c r="C974" s="8" t="str">
        <f>IFERROR(__xludf.DUMMYFUNCTION("""COMPUTED_VALUE"""),"Roger Demir")</f>
        <v>Roger Demir</v>
      </c>
      <c r="D974" s="8" t="str">
        <f>IFERROR(__xludf.DUMMYFUNCTION("""COMPUTED_VALUE"""),"Consumer")</f>
        <v>Consumer</v>
      </c>
      <c r="E974" s="8" t="str">
        <f>IFERROR(__xludf.DUMMYFUNCTION("""COMPUTED_VALUE"""),"South")</f>
        <v>South</v>
      </c>
      <c r="F974" s="10">
        <f>IFERROR(__xludf.DUMMYFUNCTION("""COMPUTED_VALUE"""),50.88)</f>
        <v>50.88</v>
      </c>
      <c r="G974" s="11">
        <f>IFERROR(__xludf.DUMMYFUNCTION("""COMPUTED_VALUE"""),6.0)</f>
        <v>6</v>
      </c>
      <c r="H974" s="11">
        <f>IFERROR(__xludf.DUMMYFUNCTION("""COMPUTED_VALUE"""),14.628)</f>
        <v>14.628</v>
      </c>
    </row>
    <row r="975">
      <c r="A975" s="8" t="str">
        <f>IFERROR(__xludf.DUMMYFUNCTION("""COMPUTED_VALUE"""),"CA-2015-112452")</f>
        <v>CA-2015-112452</v>
      </c>
      <c r="B975" s="9">
        <f>IFERROR(__xludf.DUMMYFUNCTION("""COMPUTED_VALUE"""),42098.0)</f>
        <v>42098</v>
      </c>
      <c r="C975" s="8" t="str">
        <f>IFERROR(__xludf.DUMMYFUNCTION("""COMPUTED_VALUE"""),"Nat Carroll")</f>
        <v>Nat Carroll</v>
      </c>
      <c r="D975" s="8" t="str">
        <f>IFERROR(__xludf.DUMMYFUNCTION("""COMPUTED_VALUE"""),"Consumer")</f>
        <v>Consumer</v>
      </c>
      <c r="E975" s="8" t="str">
        <f>IFERROR(__xludf.DUMMYFUNCTION("""COMPUTED_VALUE"""),"Central")</f>
        <v>Central</v>
      </c>
      <c r="F975" s="10">
        <f>IFERROR(__xludf.DUMMYFUNCTION("""COMPUTED_VALUE"""),644.076)</f>
        <v>644.076</v>
      </c>
      <c r="G975" s="11">
        <f>IFERROR(__xludf.DUMMYFUNCTION("""COMPUTED_VALUE"""),2.0)</f>
        <v>2</v>
      </c>
      <c r="H975" s="11">
        <f>IFERROR(__xludf.DUMMYFUNCTION("""COMPUTED_VALUE"""),107.346)</f>
        <v>107.346</v>
      </c>
    </row>
    <row r="976">
      <c r="A976" s="8" t="str">
        <f>IFERROR(__xludf.DUMMYFUNCTION("""COMPUTED_VALUE"""),"CA-2015-112522")</f>
        <v>CA-2015-112522</v>
      </c>
      <c r="B976" s="9">
        <f>IFERROR(__xludf.DUMMYFUNCTION("""COMPUTED_VALUE"""),42287.0)</f>
        <v>42287</v>
      </c>
      <c r="C976" s="8" t="str">
        <f>IFERROR(__xludf.DUMMYFUNCTION("""COMPUTED_VALUE"""),"David Philippe")</f>
        <v>David Philippe</v>
      </c>
      <c r="D976" s="8" t="str">
        <f>IFERROR(__xludf.DUMMYFUNCTION("""COMPUTED_VALUE"""),"Consumer")</f>
        <v>Consumer</v>
      </c>
      <c r="E976" s="8" t="str">
        <f>IFERROR(__xludf.DUMMYFUNCTION("""COMPUTED_VALUE"""),"Central")</f>
        <v>Central</v>
      </c>
      <c r="F976" s="10">
        <f>IFERROR(__xludf.DUMMYFUNCTION("""COMPUTED_VALUE"""),8.016)</f>
        <v>8.016</v>
      </c>
      <c r="G976" s="11">
        <f>IFERROR(__xludf.DUMMYFUNCTION("""COMPUTED_VALUE"""),3.0)</f>
        <v>3</v>
      </c>
      <c r="H976" s="11">
        <f>IFERROR(__xludf.DUMMYFUNCTION("""COMPUTED_VALUE"""),1.002)</f>
        <v>1.002</v>
      </c>
    </row>
    <row r="977">
      <c r="A977" s="8" t="str">
        <f>IFERROR(__xludf.DUMMYFUNCTION("""COMPUTED_VALUE"""),"CA-2015-112557")</f>
        <v>CA-2015-112557</v>
      </c>
      <c r="B977" s="9">
        <f>IFERROR(__xludf.DUMMYFUNCTION("""COMPUTED_VALUE"""),42119.0)</f>
        <v>42119</v>
      </c>
      <c r="C977" s="8" t="str">
        <f>IFERROR(__xludf.DUMMYFUNCTION("""COMPUTED_VALUE"""),"John Lucas")</f>
        <v>John Lucas</v>
      </c>
      <c r="D977" s="8" t="str">
        <f>IFERROR(__xludf.DUMMYFUNCTION("""COMPUTED_VALUE"""),"Consumer")</f>
        <v>Consumer</v>
      </c>
      <c r="E977" s="8" t="str">
        <f>IFERROR(__xludf.DUMMYFUNCTION("""COMPUTED_VALUE"""),"East")</f>
        <v>East</v>
      </c>
      <c r="F977" s="10">
        <f>IFERROR(__xludf.DUMMYFUNCTION("""COMPUTED_VALUE"""),206.43)</f>
        <v>206.43</v>
      </c>
      <c r="G977" s="11">
        <f>IFERROR(__xludf.DUMMYFUNCTION("""COMPUTED_VALUE"""),3.0)</f>
        <v>3</v>
      </c>
      <c r="H977" s="11">
        <f>IFERROR(__xludf.DUMMYFUNCTION("""COMPUTED_VALUE"""),90.8292)</f>
        <v>90.8292</v>
      </c>
    </row>
    <row r="978">
      <c r="A978" s="8" t="str">
        <f>IFERROR(__xludf.DUMMYFUNCTION("""COMPUTED_VALUE"""),"CA-2015-112571")</f>
        <v>CA-2015-112571</v>
      </c>
      <c r="B978" s="9">
        <f>IFERROR(__xludf.DUMMYFUNCTION("""COMPUTED_VALUE"""),42269.0)</f>
        <v>42269</v>
      </c>
      <c r="C978" s="8" t="str">
        <f>IFERROR(__xludf.DUMMYFUNCTION("""COMPUTED_VALUE"""),"Daniel Lacy")</f>
        <v>Daniel Lacy</v>
      </c>
      <c r="D978" s="8" t="str">
        <f>IFERROR(__xludf.DUMMYFUNCTION("""COMPUTED_VALUE"""),"Consumer")</f>
        <v>Consumer</v>
      </c>
      <c r="E978" s="8" t="str">
        <f>IFERROR(__xludf.DUMMYFUNCTION("""COMPUTED_VALUE"""),"West")</f>
        <v>West</v>
      </c>
      <c r="F978" s="10">
        <f>IFERROR(__xludf.DUMMYFUNCTION("""COMPUTED_VALUE"""),204.6)</f>
        <v>204.6</v>
      </c>
      <c r="G978" s="11">
        <f>IFERROR(__xludf.DUMMYFUNCTION("""COMPUTED_VALUE"""),2.0)</f>
        <v>2</v>
      </c>
      <c r="H978" s="11">
        <f>IFERROR(__xludf.DUMMYFUNCTION("""COMPUTED_VALUE"""),53.196)</f>
        <v>53.196</v>
      </c>
    </row>
    <row r="979">
      <c r="A979" s="8" t="str">
        <f>IFERROR(__xludf.DUMMYFUNCTION("""COMPUTED_VALUE"""),"CA-2015-112711")</f>
        <v>CA-2015-112711</v>
      </c>
      <c r="B979" s="9">
        <f>IFERROR(__xludf.DUMMYFUNCTION("""COMPUTED_VALUE"""),42197.0)</f>
        <v>42197</v>
      </c>
      <c r="C979" s="8" t="str">
        <f>IFERROR(__xludf.DUMMYFUNCTION("""COMPUTED_VALUE"""),"Fred McMath")</f>
        <v>Fred McMath</v>
      </c>
      <c r="D979" s="8" t="str">
        <f>IFERROR(__xludf.DUMMYFUNCTION("""COMPUTED_VALUE"""),"Consumer")</f>
        <v>Consumer</v>
      </c>
      <c r="E979" s="8" t="str">
        <f>IFERROR(__xludf.DUMMYFUNCTION("""COMPUTED_VALUE"""),"Central")</f>
        <v>Central</v>
      </c>
      <c r="F979" s="10">
        <f>IFERROR(__xludf.DUMMYFUNCTION("""COMPUTED_VALUE"""),307.168)</f>
        <v>307.168</v>
      </c>
      <c r="G979" s="11">
        <f>IFERROR(__xludf.DUMMYFUNCTION("""COMPUTED_VALUE"""),4.0)</f>
        <v>4</v>
      </c>
      <c r="H979" s="11">
        <f>IFERROR(__xludf.DUMMYFUNCTION("""COMPUTED_VALUE"""),30.7168)</f>
        <v>30.7168</v>
      </c>
    </row>
    <row r="980">
      <c r="A980" s="8" t="str">
        <f>IFERROR(__xludf.DUMMYFUNCTION("""COMPUTED_VALUE"""),"CA-2015-112767")</f>
        <v>CA-2015-112767</v>
      </c>
      <c r="B980" s="9">
        <f>IFERROR(__xludf.DUMMYFUNCTION("""COMPUTED_VALUE"""),42218.0)</f>
        <v>42218</v>
      </c>
      <c r="C980" s="8" t="str">
        <f>IFERROR(__xludf.DUMMYFUNCTION("""COMPUTED_VALUE"""),"Darren Koutras")</f>
        <v>Darren Koutras</v>
      </c>
      <c r="D980" s="8" t="str">
        <f>IFERROR(__xludf.DUMMYFUNCTION("""COMPUTED_VALUE"""),"Consumer")</f>
        <v>Consumer</v>
      </c>
      <c r="E980" s="8" t="str">
        <f>IFERROR(__xludf.DUMMYFUNCTION("""COMPUTED_VALUE"""),"West")</f>
        <v>West</v>
      </c>
      <c r="F980" s="10">
        <f>IFERROR(__xludf.DUMMYFUNCTION("""COMPUTED_VALUE"""),277.5)</f>
        <v>277.5</v>
      </c>
      <c r="G980" s="11">
        <f>IFERROR(__xludf.DUMMYFUNCTION("""COMPUTED_VALUE"""),4.0)</f>
        <v>4</v>
      </c>
      <c r="H980" s="11">
        <f>IFERROR(__xludf.DUMMYFUNCTION("""COMPUTED_VALUE"""),-188.7)</f>
        <v>-188.7</v>
      </c>
    </row>
    <row r="981">
      <c r="A981" s="8" t="str">
        <f>IFERROR(__xludf.DUMMYFUNCTION("""COMPUTED_VALUE"""),"CA-2015-112823")</f>
        <v>CA-2015-112823</v>
      </c>
      <c r="B981" s="9">
        <f>IFERROR(__xludf.DUMMYFUNCTION("""COMPUTED_VALUE"""),42348.0)</f>
        <v>42348</v>
      </c>
      <c r="C981" s="8" t="str">
        <f>IFERROR(__xludf.DUMMYFUNCTION("""COMPUTED_VALUE"""),"Ryan Akin")</f>
        <v>Ryan Akin</v>
      </c>
      <c r="D981" s="8" t="str">
        <f>IFERROR(__xludf.DUMMYFUNCTION("""COMPUTED_VALUE"""),"Consumer")</f>
        <v>Consumer</v>
      </c>
      <c r="E981" s="8" t="str">
        <f>IFERROR(__xludf.DUMMYFUNCTION("""COMPUTED_VALUE"""),"East")</f>
        <v>East</v>
      </c>
      <c r="F981" s="10">
        <f>IFERROR(__xludf.DUMMYFUNCTION("""COMPUTED_VALUE"""),25.488)</f>
        <v>25.488</v>
      </c>
      <c r="G981" s="11">
        <f>IFERROR(__xludf.DUMMYFUNCTION("""COMPUTED_VALUE"""),2.0)</f>
        <v>2</v>
      </c>
      <c r="H981" s="11">
        <f>IFERROR(__xludf.DUMMYFUNCTION("""COMPUTED_VALUE"""),4.4604)</f>
        <v>4.4604</v>
      </c>
    </row>
    <row r="982">
      <c r="A982" s="8" t="str">
        <f>IFERROR(__xludf.DUMMYFUNCTION("""COMPUTED_VALUE"""),"CA-2015-113040")</f>
        <v>CA-2015-113040</v>
      </c>
      <c r="B982" s="9">
        <f>IFERROR(__xludf.DUMMYFUNCTION("""COMPUTED_VALUE"""),42243.0)</f>
        <v>42243</v>
      </c>
      <c r="C982" s="8" t="str">
        <f>IFERROR(__xludf.DUMMYFUNCTION("""COMPUTED_VALUE"""),"Chad Cunningham")</f>
        <v>Chad Cunningham</v>
      </c>
      <c r="D982" s="8" t="str">
        <f>IFERROR(__xludf.DUMMYFUNCTION("""COMPUTED_VALUE"""),"Home Office")</f>
        <v>Home Office</v>
      </c>
      <c r="E982" s="8" t="str">
        <f>IFERROR(__xludf.DUMMYFUNCTION("""COMPUTED_VALUE"""),"West")</f>
        <v>West</v>
      </c>
      <c r="F982" s="10">
        <f>IFERROR(__xludf.DUMMYFUNCTION("""COMPUTED_VALUE"""),5.104)</f>
        <v>5.104</v>
      </c>
      <c r="G982" s="11">
        <f>IFERROR(__xludf.DUMMYFUNCTION("""COMPUTED_VALUE"""),1.0)</f>
        <v>1</v>
      </c>
      <c r="H982" s="11">
        <f>IFERROR(__xludf.DUMMYFUNCTION("""COMPUTED_VALUE"""),1.6588)</f>
        <v>1.6588</v>
      </c>
    </row>
    <row r="983">
      <c r="A983" s="8" t="str">
        <f>IFERROR(__xludf.DUMMYFUNCTION("""COMPUTED_VALUE"""),"CA-2015-113110")</f>
        <v>CA-2015-113110</v>
      </c>
      <c r="B983" s="9">
        <f>IFERROR(__xludf.DUMMYFUNCTION("""COMPUTED_VALUE"""),42082.0)</f>
        <v>42082</v>
      </c>
      <c r="C983" s="8" t="str">
        <f>IFERROR(__xludf.DUMMYFUNCTION("""COMPUTED_VALUE"""),"Berenike Kampe")</f>
        <v>Berenike Kampe</v>
      </c>
      <c r="D983" s="8" t="str">
        <f>IFERROR(__xludf.DUMMYFUNCTION("""COMPUTED_VALUE"""),"Consumer")</f>
        <v>Consumer</v>
      </c>
      <c r="E983" s="8" t="str">
        <f>IFERROR(__xludf.DUMMYFUNCTION("""COMPUTED_VALUE"""),"West")</f>
        <v>West</v>
      </c>
      <c r="F983" s="10">
        <f>IFERROR(__xludf.DUMMYFUNCTION("""COMPUTED_VALUE"""),17.568)</f>
        <v>17.568</v>
      </c>
      <c r="G983" s="11">
        <f>IFERROR(__xludf.DUMMYFUNCTION("""COMPUTED_VALUE"""),2.0)</f>
        <v>2</v>
      </c>
      <c r="H983" s="11">
        <f>IFERROR(__xludf.DUMMYFUNCTION("""COMPUTED_VALUE"""),6.3684)</f>
        <v>6.3684</v>
      </c>
    </row>
    <row r="984">
      <c r="A984" s="8" t="str">
        <f>IFERROR(__xludf.DUMMYFUNCTION("""COMPUTED_VALUE"""),"CA-2015-113131")</f>
        <v>CA-2015-113131</v>
      </c>
      <c r="B984" s="9">
        <f>IFERROR(__xludf.DUMMYFUNCTION("""COMPUTED_VALUE"""),42271.0)</f>
        <v>42271</v>
      </c>
      <c r="C984" s="8" t="str">
        <f>IFERROR(__xludf.DUMMYFUNCTION("""COMPUTED_VALUE"""),"Maria Bertelson")</f>
        <v>Maria Bertelson</v>
      </c>
      <c r="D984" s="8" t="str">
        <f>IFERROR(__xludf.DUMMYFUNCTION("""COMPUTED_VALUE"""),"Consumer")</f>
        <v>Consumer</v>
      </c>
      <c r="E984" s="8" t="str">
        <f>IFERROR(__xludf.DUMMYFUNCTION("""COMPUTED_VALUE"""),"East")</f>
        <v>East</v>
      </c>
      <c r="F984" s="10">
        <f>IFERROR(__xludf.DUMMYFUNCTION("""COMPUTED_VALUE"""),6.732)</f>
        <v>6.732</v>
      </c>
      <c r="G984" s="11">
        <f>IFERROR(__xludf.DUMMYFUNCTION("""COMPUTED_VALUE"""),6.0)</f>
        <v>6</v>
      </c>
      <c r="H984" s="11">
        <f>IFERROR(__xludf.DUMMYFUNCTION("""COMPUTED_VALUE"""),-4.488)</f>
        <v>-4.488</v>
      </c>
    </row>
    <row r="985">
      <c r="A985" s="8" t="str">
        <f>IFERROR(__xludf.DUMMYFUNCTION("""COMPUTED_VALUE"""),"CA-2015-113145")</f>
        <v>CA-2015-113145</v>
      </c>
      <c r="B985" s="9">
        <f>IFERROR(__xludf.DUMMYFUNCTION("""COMPUTED_VALUE"""),42309.0)</f>
        <v>42309</v>
      </c>
      <c r="C985" s="8" t="str">
        <f>IFERROR(__xludf.DUMMYFUNCTION("""COMPUTED_VALUE"""),"Valerie Dominguez")</f>
        <v>Valerie Dominguez</v>
      </c>
      <c r="D985" s="8" t="str">
        <f>IFERROR(__xludf.DUMMYFUNCTION("""COMPUTED_VALUE"""),"Consumer")</f>
        <v>Consumer</v>
      </c>
      <c r="E985" s="8" t="str">
        <f>IFERROR(__xludf.DUMMYFUNCTION("""COMPUTED_VALUE"""),"East")</f>
        <v>East</v>
      </c>
      <c r="F985" s="10">
        <f>IFERROR(__xludf.DUMMYFUNCTION("""COMPUTED_VALUE"""),13.52)</f>
        <v>13.52</v>
      </c>
      <c r="G985" s="11">
        <f>IFERROR(__xludf.DUMMYFUNCTION("""COMPUTED_VALUE"""),4.0)</f>
        <v>4</v>
      </c>
      <c r="H985" s="11">
        <f>IFERROR(__xludf.DUMMYFUNCTION("""COMPUTED_VALUE"""),6.2192)</f>
        <v>6.2192</v>
      </c>
    </row>
    <row r="986">
      <c r="A986" s="8" t="str">
        <f>IFERROR(__xludf.DUMMYFUNCTION("""COMPUTED_VALUE"""),"CA-2015-113152")</f>
        <v>CA-2015-113152</v>
      </c>
      <c r="B986" s="9">
        <f>IFERROR(__xludf.DUMMYFUNCTION("""COMPUTED_VALUE"""),42363.0)</f>
        <v>42363</v>
      </c>
      <c r="C986" s="8" t="str">
        <f>IFERROR(__xludf.DUMMYFUNCTION("""COMPUTED_VALUE"""),"Jim Karlsson")</f>
        <v>Jim Karlsson</v>
      </c>
      <c r="D986" s="8" t="str">
        <f>IFERROR(__xludf.DUMMYFUNCTION("""COMPUTED_VALUE"""),"Consumer")</f>
        <v>Consumer</v>
      </c>
      <c r="E986" s="8" t="str">
        <f>IFERROR(__xludf.DUMMYFUNCTION("""COMPUTED_VALUE"""),"East")</f>
        <v>East</v>
      </c>
      <c r="F986" s="10">
        <f>IFERROR(__xludf.DUMMYFUNCTION("""COMPUTED_VALUE"""),843.9)</f>
        <v>843.9</v>
      </c>
      <c r="G986" s="11">
        <f>IFERROR(__xludf.DUMMYFUNCTION("""COMPUTED_VALUE"""),2.0)</f>
        <v>2</v>
      </c>
      <c r="H986" s="11">
        <f>IFERROR(__xludf.DUMMYFUNCTION("""COMPUTED_VALUE"""),371.316)</f>
        <v>371.316</v>
      </c>
    </row>
    <row r="987">
      <c r="A987" s="8" t="str">
        <f>IFERROR(__xludf.DUMMYFUNCTION("""COMPUTED_VALUE"""),"CA-2015-113173")</f>
        <v>CA-2015-113173</v>
      </c>
      <c r="B987" s="9">
        <f>IFERROR(__xludf.DUMMYFUNCTION("""COMPUTED_VALUE"""),42323.0)</f>
        <v>42323</v>
      </c>
      <c r="C987" s="8" t="str">
        <f>IFERROR(__xludf.DUMMYFUNCTION("""COMPUTED_VALUE"""),"Dean Katz")</f>
        <v>Dean Katz</v>
      </c>
      <c r="D987" s="8" t="str">
        <f>IFERROR(__xludf.DUMMYFUNCTION("""COMPUTED_VALUE"""),"Corporate")</f>
        <v>Corporate</v>
      </c>
      <c r="E987" s="8" t="str">
        <f>IFERROR(__xludf.DUMMYFUNCTION("""COMPUTED_VALUE"""),"Central")</f>
        <v>Central</v>
      </c>
      <c r="F987" s="10">
        <f>IFERROR(__xludf.DUMMYFUNCTION("""COMPUTED_VALUE"""),250.272)</f>
        <v>250.272</v>
      </c>
      <c r="G987" s="11">
        <f>IFERROR(__xludf.DUMMYFUNCTION("""COMPUTED_VALUE"""),9.0)</f>
        <v>9</v>
      </c>
      <c r="H987" s="11">
        <f>IFERROR(__xludf.DUMMYFUNCTION("""COMPUTED_VALUE"""),15.642)</f>
        <v>15.642</v>
      </c>
    </row>
    <row r="988">
      <c r="A988" s="8" t="str">
        <f>IFERROR(__xludf.DUMMYFUNCTION("""COMPUTED_VALUE"""),"CA-2015-113215")</f>
        <v>CA-2015-113215</v>
      </c>
      <c r="B988" s="9">
        <f>IFERROR(__xludf.DUMMYFUNCTION("""COMPUTED_VALUE"""),42250.0)</f>
        <v>42250</v>
      </c>
      <c r="C988" s="8" t="str">
        <f>IFERROR(__xludf.DUMMYFUNCTION("""COMPUTED_VALUE"""),"Cathy Prescott")</f>
        <v>Cathy Prescott</v>
      </c>
      <c r="D988" s="8" t="str">
        <f>IFERROR(__xludf.DUMMYFUNCTION("""COMPUTED_VALUE"""),"Corporate")</f>
        <v>Corporate</v>
      </c>
      <c r="E988" s="8" t="str">
        <f>IFERROR(__xludf.DUMMYFUNCTION("""COMPUTED_VALUE"""),"West")</f>
        <v>West</v>
      </c>
      <c r="F988" s="10">
        <f>IFERROR(__xludf.DUMMYFUNCTION("""COMPUTED_VALUE"""),238.152)</f>
        <v>238.152</v>
      </c>
      <c r="G988" s="11">
        <f>IFERROR(__xludf.DUMMYFUNCTION("""COMPUTED_VALUE"""),3.0)</f>
        <v>3</v>
      </c>
      <c r="H988" s="11">
        <f>IFERROR(__xludf.DUMMYFUNCTION("""COMPUTED_VALUE"""),89.307)</f>
        <v>89.307</v>
      </c>
    </row>
    <row r="989">
      <c r="A989" s="8" t="str">
        <f>IFERROR(__xludf.DUMMYFUNCTION("""COMPUTED_VALUE"""),"CA-2015-113222")</f>
        <v>CA-2015-113222</v>
      </c>
      <c r="B989" s="9">
        <f>IFERROR(__xludf.DUMMYFUNCTION("""COMPUTED_VALUE"""),42317.0)</f>
        <v>42317</v>
      </c>
      <c r="C989" s="8" t="str">
        <f>IFERROR(__xludf.DUMMYFUNCTION("""COMPUTED_VALUE"""),"Anthony Garverick")</f>
        <v>Anthony Garverick</v>
      </c>
      <c r="D989" s="8" t="str">
        <f>IFERROR(__xludf.DUMMYFUNCTION("""COMPUTED_VALUE"""),"Home Office")</f>
        <v>Home Office</v>
      </c>
      <c r="E989" s="8" t="str">
        <f>IFERROR(__xludf.DUMMYFUNCTION("""COMPUTED_VALUE"""),"Central")</f>
        <v>Central</v>
      </c>
      <c r="F989" s="10">
        <f>IFERROR(__xludf.DUMMYFUNCTION("""COMPUTED_VALUE"""),10.74)</f>
        <v>10.74</v>
      </c>
      <c r="G989" s="11">
        <f>IFERROR(__xludf.DUMMYFUNCTION("""COMPUTED_VALUE"""),3.0)</f>
        <v>3</v>
      </c>
      <c r="H989" s="11">
        <f>IFERROR(__xludf.DUMMYFUNCTION("""COMPUTED_VALUE"""),5.1552)</f>
        <v>5.1552</v>
      </c>
    </row>
    <row r="990">
      <c r="A990" s="8" t="str">
        <f>IFERROR(__xludf.DUMMYFUNCTION("""COMPUTED_VALUE"""),"CA-2015-113404")</f>
        <v>CA-2015-113404</v>
      </c>
      <c r="B990" s="9">
        <f>IFERROR(__xludf.DUMMYFUNCTION("""COMPUTED_VALUE"""),42201.0)</f>
        <v>42201</v>
      </c>
      <c r="C990" s="8" t="str">
        <f>IFERROR(__xludf.DUMMYFUNCTION("""COMPUTED_VALUE"""),"Eleni McCrary")</f>
        <v>Eleni McCrary</v>
      </c>
      <c r="D990" s="8" t="str">
        <f>IFERROR(__xludf.DUMMYFUNCTION("""COMPUTED_VALUE"""),"Corporate")</f>
        <v>Corporate</v>
      </c>
      <c r="E990" s="8" t="str">
        <f>IFERROR(__xludf.DUMMYFUNCTION("""COMPUTED_VALUE"""),"West")</f>
        <v>West</v>
      </c>
      <c r="F990" s="10">
        <f>IFERROR(__xludf.DUMMYFUNCTION("""COMPUTED_VALUE"""),1348.704)</f>
        <v>1348.704</v>
      </c>
      <c r="G990" s="11">
        <f>IFERROR(__xludf.DUMMYFUNCTION("""COMPUTED_VALUE"""),6.0)</f>
        <v>6</v>
      </c>
      <c r="H990" s="11">
        <f>IFERROR(__xludf.DUMMYFUNCTION("""COMPUTED_VALUE"""),-219.1644)</f>
        <v>-219.1644</v>
      </c>
    </row>
    <row r="991">
      <c r="A991" s="8" t="str">
        <f>IFERROR(__xludf.DUMMYFUNCTION("""COMPUTED_VALUE"""),"CA-2015-113523")</f>
        <v>CA-2015-113523</v>
      </c>
      <c r="B991" s="9">
        <f>IFERROR(__xludf.DUMMYFUNCTION("""COMPUTED_VALUE"""),42251.0)</f>
        <v>42251</v>
      </c>
      <c r="C991" s="8" t="str">
        <f>IFERROR(__xludf.DUMMYFUNCTION("""COMPUTED_VALUE"""),"Shaun Chance")</f>
        <v>Shaun Chance</v>
      </c>
      <c r="D991" s="8" t="str">
        <f>IFERROR(__xludf.DUMMYFUNCTION("""COMPUTED_VALUE"""),"Corporate")</f>
        <v>Corporate</v>
      </c>
      <c r="E991" s="8" t="str">
        <f>IFERROR(__xludf.DUMMYFUNCTION("""COMPUTED_VALUE"""),"East")</f>
        <v>East</v>
      </c>
      <c r="F991" s="10">
        <f>IFERROR(__xludf.DUMMYFUNCTION("""COMPUTED_VALUE"""),7.656)</f>
        <v>7.656</v>
      </c>
      <c r="G991" s="11">
        <f>IFERROR(__xludf.DUMMYFUNCTION("""COMPUTED_VALUE"""),4.0)</f>
        <v>4</v>
      </c>
      <c r="H991" s="11">
        <f>IFERROR(__xludf.DUMMYFUNCTION("""COMPUTED_VALUE"""),-6.1248)</f>
        <v>-6.1248</v>
      </c>
    </row>
    <row r="992">
      <c r="A992" s="8" t="str">
        <f>IFERROR(__xludf.DUMMYFUNCTION("""COMPUTED_VALUE"""),"CA-2015-113628")</f>
        <v>CA-2015-113628</v>
      </c>
      <c r="B992" s="9">
        <f>IFERROR(__xludf.DUMMYFUNCTION("""COMPUTED_VALUE"""),42320.0)</f>
        <v>42320</v>
      </c>
      <c r="C992" s="8" t="str">
        <f>IFERROR(__xludf.DUMMYFUNCTION("""COMPUTED_VALUE"""),"Anna Häberlin")</f>
        <v>Anna Häberlin</v>
      </c>
      <c r="D992" s="8" t="str">
        <f>IFERROR(__xludf.DUMMYFUNCTION("""COMPUTED_VALUE"""),"Corporate")</f>
        <v>Corporate</v>
      </c>
      <c r="E992" s="8" t="str">
        <f>IFERROR(__xludf.DUMMYFUNCTION("""COMPUTED_VALUE"""),"South")</f>
        <v>South</v>
      </c>
      <c r="F992" s="10">
        <f>IFERROR(__xludf.DUMMYFUNCTION("""COMPUTED_VALUE"""),11.76)</f>
        <v>11.76</v>
      </c>
      <c r="G992" s="11">
        <f>IFERROR(__xludf.DUMMYFUNCTION("""COMPUTED_VALUE"""),5.0)</f>
        <v>5</v>
      </c>
      <c r="H992" s="11">
        <f>IFERROR(__xludf.DUMMYFUNCTION("""COMPUTED_VALUE"""),1.323)</f>
        <v>1.323</v>
      </c>
    </row>
    <row r="993">
      <c r="A993" s="8" t="str">
        <f>IFERROR(__xludf.DUMMYFUNCTION("""COMPUTED_VALUE"""),"CA-2015-113740")</f>
        <v>CA-2015-113740</v>
      </c>
      <c r="B993" s="9">
        <f>IFERROR(__xludf.DUMMYFUNCTION("""COMPUTED_VALUE"""),42240.0)</f>
        <v>42240</v>
      </c>
      <c r="C993" s="8" t="str">
        <f>IFERROR(__xludf.DUMMYFUNCTION("""COMPUTED_VALUE"""),"Shahid Collister")</f>
        <v>Shahid Collister</v>
      </c>
      <c r="D993" s="8" t="str">
        <f>IFERROR(__xludf.DUMMYFUNCTION("""COMPUTED_VALUE"""),"Consumer")</f>
        <v>Consumer</v>
      </c>
      <c r="E993" s="8" t="str">
        <f>IFERROR(__xludf.DUMMYFUNCTION("""COMPUTED_VALUE"""),"East")</f>
        <v>East</v>
      </c>
      <c r="F993" s="10">
        <f>IFERROR(__xludf.DUMMYFUNCTION("""COMPUTED_VALUE"""),14.91)</f>
        <v>14.91</v>
      </c>
      <c r="G993" s="11">
        <f>IFERROR(__xludf.DUMMYFUNCTION("""COMPUTED_VALUE"""),3.0)</f>
        <v>3</v>
      </c>
      <c r="H993" s="11">
        <f>IFERROR(__xludf.DUMMYFUNCTION("""COMPUTED_VALUE"""),4.6221)</f>
        <v>4.6221</v>
      </c>
    </row>
    <row r="994">
      <c r="A994" s="8" t="str">
        <f>IFERROR(__xludf.DUMMYFUNCTION("""COMPUTED_VALUE"""),"CA-2015-113901")</f>
        <v>CA-2015-113901</v>
      </c>
      <c r="B994" s="9">
        <f>IFERROR(__xludf.DUMMYFUNCTION("""COMPUTED_VALUE"""),42296.0)</f>
        <v>42296</v>
      </c>
      <c r="C994" s="8" t="str">
        <f>IFERROR(__xludf.DUMMYFUNCTION("""COMPUTED_VALUE"""),"Nicole Hansen")</f>
        <v>Nicole Hansen</v>
      </c>
      <c r="D994" s="8" t="str">
        <f>IFERROR(__xludf.DUMMYFUNCTION("""COMPUTED_VALUE"""),"Corporate")</f>
        <v>Corporate</v>
      </c>
      <c r="E994" s="8" t="str">
        <f>IFERROR(__xludf.DUMMYFUNCTION("""COMPUTED_VALUE"""),"Central")</f>
        <v>Central</v>
      </c>
      <c r="F994" s="10">
        <f>IFERROR(__xludf.DUMMYFUNCTION("""COMPUTED_VALUE"""),38.28)</f>
        <v>38.28</v>
      </c>
      <c r="G994" s="11">
        <f>IFERROR(__xludf.DUMMYFUNCTION("""COMPUTED_VALUE"""),6.0)</f>
        <v>6</v>
      </c>
      <c r="H994" s="11">
        <f>IFERROR(__xludf.DUMMYFUNCTION("""COMPUTED_VALUE"""),17.6088)</f>
        <v>17.6088</v>
      </c>
    </row>
    <row r="995">
      <c r="A995" s="8" t="str">
        <f>IFERROR(__xludf.DUMMYFUNCTION("""COMPUTED_VALUE"""),"CA-2015-113971")</f>
        <v>CA-2015-113971</v>
      </c>
      <c r="B995" s="9">
        <f>IFERROR(__xludf.DUMMYFUNCTION("""COMPUTED_VALUE"""),42132.0)</f>
        <v>42132</v>
      </c>
      <c r="C995" s="8" t="str">
        <f>IFERROR(__xludf.DUMMYFUNCTION("""COMPUTED_VALUE"""),"Claudia Bergmann")</f>
        <v>Claudia Bergmann</v>
      </c>
      <c r="D995" s="8" t="str">
        <f>IFERROR(__xludf.DUMMYFUNCTION("""COMPUTED_VALUE"""),"Corporate")</f>
        <v>Corporate</v>
      </c>
      <c r="E995" s="8" t="str">
        <f>IFERROR(__xludf.DUMMYFUNCTION("""COMPUTED_VALUE"""),"East")</f>
        <v>East</v>
      </c>
      <c r="F995" s="10">
        <f>IFERROR(__xludf.DUMMYFUNCTION("""COMPUTED_VALUE"""),8.352)</f>
        <v>8.352</v>
      </c>
      <c r="G995" s="11">
        <f>IFERROR(__xludf.DUMMYFUNCTION("""COMPUTED_VALUE"""),6.0)</f>
        <v>6</v>
      </c>
      <c r="H995" s="11">
        <f>IFERROR(__xludf.DUMMYFUNCTION("""COMPUTED_VALUE"""),1.2528)</f>
        <v>1.2528</v>
      </c>
    </row>
    <row r="996">
      <c r="A996" s="8" t="str">
        <f>IFERROR(__xludf.DUMMYFUNCTION("""COMPUTED_VALUE"""),"CA-2015-114048")</f>
        <v>CA-2015-114048</v>
      </c>
      <c r="B996" s="9">
        <f>IFERROR(__xludf.DUMMYFUNCTION("""COMPUTED_VALUE"""),42352.0)</f>
        <v>42352</v>
      </c>
      <c r="C996" s="8" t="str">
        <f>IFERROR(__xludf.DUMMYFUNCTION("""COMPUTED_VALUE"""),"Eric Hoffmann")</f>
        <v>Eric Hoffmann</v>
      </c>
      <c r="D996" s="8" t="str">
        <f>IFERROR(__xludf.DUMMYFUNCTION("""COMPUTED_VALUE"""),"Consumer")</f>
        <v>Consumer</v>
      </c>
      <c r="E996" s="8" t="str">
        <f>IFERROR(__xludf.DUMMYFUNCTION("""COMPUTED_VALUE"""),"West")</f>
        <v>West</v>
      </c>
      <c r="F996" s="10">
        <f>IFERROR(__xludf.DUMMYFUNCTION("""COMPUTED_VALUE"""),29.22)</f>
        <v>29.22</v>
      </c>
      <c r="G996" s="11">
        <f>IFERROR(__xludf.DUMMYFUNCTION("""COMPUTED_VALUE"""),3.0)</f>
        <v>3</v>
      </c>
      <c r="H996" s="11">
        <f>IFERROR(__xludf.DUMMYFUNCTION("""COMPUTED_VALUE"""),12.8568)</f>
        <v>12.8568</v>
      </c>
    </row>
    <row r="997">
      <c r="A997" s="8" t="str">
        <f>IFERROR(__xludf.DUMMYFUNCTION("""COMPUTED_VALUE"""),"CA-2015-114069")</f>
        <v>CA-2015-114069</v>
      </c>
      <c r="B997" s="9">
        <f>IFERROR(__xludf.DUMMYFUNCTION("""COMPUTED_VALUE"""),42198.0)</f>
        <v>42198</v>
      </c>
      <c r="C997" s="8" t="str">
        <f>IFERROR(__xludf.DUMMYFUNCTION("""COMPUTED_VALUE"""),"Natalie DeCherney")</f>
        <v>Natalie DeCherney</v>
      </c>
      <c r="D997" s="8" t="str">
        <f>IFERROR(__xludf.DUMMYFUNCTION("""COMPUTED_VALUE"""),"Consumer")</f>
        <v>Consumer</v>
      </c>
      <c r="E997" s="8" t="str">
        <f>IFERROR(__xludf.DUMMYFUNCTION("""COMPUTED_VALUE"""),"East")</f>
        <v>East</v>
      </c>
      <c r="F997" s="10">
        <f>IFERROR(__xludf.DUMMYFUNCTION("""COMPUTED_VALUE"""),11.808)</f>
        <v>11.808</v>
      </c>
      <c r="G997" s="11">
        <f>IFERROR(__xludf.DUMMYFUNCTION("""COMPUTED_VALUE"""),2.0)</f>
        <v>2</v>
      </c>
      <c r="H997" s="11">
        <f>IFERROR(__xludf.DUMMYFUNCTION("""COMPUTED_VALUE"""),4.2804)</f>
        <v>4.2804</v>
      </c>
    </row>
    <row r="998">
      <c r="A998" s="8" t="str">
        <f>IFERROR(__xludf.DUMMYFUNCTION("""COMPUTED_VALUE"""),"CA-2015-114237")</f>
        <v>CA-2015-114237</v>
      </c>
      <c r="B998" s="9">
        <f>IFERROR(__xludf.DUMMYFUNCTION("""COMPUTED_VALUE"""),42076.0)</f>
        <v>42076</v>
      </c>
      <c r="C998" s="8" t="str">
        <f>IFERROR(__xludf.DUMMYFUNCTION("""COMPUTED_VALUE"""),"Marc Crier")</f>
        <v>Marc Crier</v>
      </c>
      <c r="D998" s="8" t="str">
        <f>IFERROR(__xludf.DUMMYFUNCTION("""COMPUTED_VALUE"""),"Consumer")</f>
        <v>Consumer</v>
      </c>
      <c r="E998" s="8" t="str">
        <f>IFERROR(__xludf.DUMMYFUNCTION("""COMPUTED_VALUE"""),"West")</f>
        <v>West</v>
      </c>
      <c r="F998" s="10">
        <f>IFERROR(__xludf.DUMMYFUNCTION("""COMPUTED_VALUE"""),141.96)</f>
        <v>141.96</v>
      </c>
      <c r="G998" s="11">
        <f>IFERROR(__xludf.DUMMYFUNCTION("""COMPUTED_VALUE"""),2.0)</f>
        <v>2</v>
      </c>
      <c r="H998" s="11">
        <f>IFERROR(__xludf.DUMMYFUNCTION("""COMPUTED_VALUE"""),39.7488)</f>
        <v>39.7488</v>
      </c>
    </row>
    <row r="999">
      <c r="A999" s="8" t="str">
        <f>IFERROR(__xludf.DUMMYFUNCTION("""COMPUTED_VALUE"""),"CA-2015-114300")</f>
        <v>CA-2015-114300</v>
      </c>
      <c r="B999" s="9">
        <f>IFERROR(__xludf.DUMMYFUNCTION("""COMPUTED_VALUE"""),42290.0)</f>
        <v>42290</v>
      </c>
      <c r="C999" s="8" t="str">
        <f>IFERROR(__xludf.DUMMYFUNCTION("""COMPUTED_VALUE"""),"Art Foster")</f>
        <v>Art Foster</v>
      </c>
      <c r="D999" s="8" t="str">
        <f>IFERROR(__xludf.DUMMYFUNCTION("""COMPUTED_VALUE"""),"Consumer")</f>
        <v>Consumer</v>
      </c>
      <c r="E999" s="8" t="str">
        <f>IFERROR(__xludf.DUMMYFUNCTION("""COMPUTED_VALUE"""),"South")</f>
        <v>South</v>
      </c>
      <c r="F999" s="10">
        <f>IFERROR(__xludf.DUMMYFUNCTION("""COMPUTED_VALUE"""),83.72)</f>
        <v>83.72</v>
      </c>
      <c r="G999" s="11">
        <f>IFERROR(__xludf.DUMMYFUNCTION("""COMPUTED_VALUE"""),7.0)</f>
        <v>7</v>
      </c>
      <c r="H999" s="11">
        <f>IFERROR(__xludf.DUMMYFUNCTION("""COMPUTED_VALUE"""),23.4416)</f>
        <v>23.4416</v>
      </c>
    </row>
    <row r="1000">
      <c r="A1000" s="8" t="str">
        <f>IFERROR(__xludf.DUMMYFUNCTION("""COMPUTED_VALUE"""),"CA-2015-114468")</f>
        <v>CA-2015-114468</v>
      </c>
      <c r="B1000" s="9">
        <f>IFERROR(__xludf.DUMMYFUNCTION("""COMPUTED_VALUE"""),42239.0)</f>
        <v>42239</v>
      </c>
      <c r="C1000" s="8" t="str">
        <f>IFERROR(__xludf.DUMMYFUNCTION("""COMPUTED_VALUE"""),"Tamara Dahlen")</f>
        <v>Tamara Dahlen</v>
      </c>
      <c r="D1000" s="8" t="str">
        <f>IFERROR(__xludf.DUMMYFUNCTION("""COMPUTED_VALUE"""),"Consumer")</f>
        <v>Consumer</v>
      </c>
      <c r="E1000" s="8" t="str">
        <f>IFERROR(__xludf.DUMMYFUNCTION("""COMPUTED_VALUE"""),"Central")</f>
        <v>Central</v>
      </c>
      <c r="F1000" s="10">
        <f>IFERROR(__xludf.DUMMYFUNCTION("""COMPUTED_VALUE"""),31.68)</f>
        <v>31.68</v>
      </c>
      <c r="G1000" s="11">
        <f>IFERROR(__xludf.DUMMYFUNCTION("""COMPUTED_VALUE"""),4.0)</f>
        <v>4</v>
      </c>
      <c r="H1000" s="11">
        <f>IFERROR(__xludf.DUMMYFUNCTION("""COMPUTED_VALUE"""),2.772)</f>
        <v>2.772</v>
      </c>
    </row>
    <row r="1001">
      <c r="A1001" s="8" t="str">
        <f>IFERROR(__xludf.DUMMYFUNCTION("""COMPUTED_VALUE"""),"CA-2015-114503")</f>
        <v>CA-2015-114503</v>
      </c>
      <c r="B1001" s="9">
        <f>IFERROR(__xludf.DUMMYFUNCTION("""COMPUTED_VALUE"""),42321.0)</f>
        <v>42321</v>
      </c>
      <c r="C1001" s="8" t="str">
        <f>IFERROR(__xludf.DUMMYFUNCTION("""COMPUTED_VALUE"""),"Allen Armold")</f>
        <v>Allen Armold</v>
      </c>
      <c r="D1001" s="8" t="str">
        <f>IFERROR(__xludf.DUMMYFUNCTION("""COMPUTED_VALUE"""),"Consumer")</f>
        <v>Consumer</v>
      </c>
      <c r="E1001" s="8" t="str">
        <f>IFERROR(__xludf.DUMMYFUNCTION("""COMPUTED_VALUE"""),"South")</f>
        <v>South</v>
      </c>
      <c r="F1001" s="10">
        <f>IFERROR(__xludf.DUMMYFUNCTION("""COMPUTED_VALUE"""),84.96)</f>
        <v>84.96</v>
      </c>
      <c r="G1001" s="11">
        <f>IFERROR(__xludf.DUMMYFUNCTION("""COMPUTED_VALUE"""),6.0)</f>
        <v>6</v>
      </c>
      <c r="H1001" s="11">
        <f>IFERROR(__xludf.DUMMYFUNCTION("""COMPUTED_VALUE"""),6.372)</f>
        <v>6.372</v>
      </c>
    </row>
    <row r="1002">
      <c r="A1002" s="8" t="str">
        <f>IFERROR(__xludf.DUMMYFUNCTION("""COMPUTED_VALUE"""),"CA-2015-114811")</f>
        <v>CA-2015-114811</v>
      </c>
      <c r="B1002" s="9">
        <f>IFERROR(__xludf.DUMMYFUNCTION("""COMPUTED_VALUE"""),42316.0)</f>
        <v>42316</v>
      </c>
      <c r="C1002" s="8" t="str">
        <f>IFERROR(__xludf.DUMMYFUNCTION("""COMPUTED_VALUE"""),"Keith Dawkins")</f>
        <v>Keith Dawkins</v>
      </c>
      <c r="D1002" s="8" t="str">
        <f>IFERROR(__xludf.DUMMYFUNCTION("""COMPUTED_VALUE"""),"Corporate")</f>
        <v>Corporate</v>
      </c>
      <c r="E1002" s="8" t="str">
        <f>IFERROR(__xludf.DUMMYFUNCTION("""COMPUTED_VALUE"""),"East")</f>
        <v>East</v>
      </c>
      <c r="F1002" s="10">
        <f>IFERROR(__xludf.DUMMYFUNCTION("""COMPUTED_VALUE"""),67.15)</f>
        <v>67.15</v>
      </c>
      <c r="G1002" s="11">
        <f>IFERROR(__xludf.DUMMYFUNCTION("""COMPUTED_VALUE"""),5.0)</f>
        <v>5</v>
      </c>
      <c r="H1002" s="11">
        <f>IFERROR(__xludf.DUMMYFUNCTION("""COMPUTED_VALUE"""),16.7875)</f>
        <v>16.7875</v>
      </c>
    </row>
    <row r="1003">
      <c r="A1003" s="8" t="str">
        <f>IFERROR(__xludf.DUMMYFUNCTION("""COMPUTED_VALUE"""),"CA-2015-114923")</f>
        <v>CA-2015-114923</v>
      </c>
      <c r="B1003" s="9">
        <f>IFERROR(__xludf.DUMMYFUNCTION("""COMPUTED_VALUE"""),42043.0)</f>
        <v>42043</v>
      </c>
      <c r="C1003" s="8" t="str">
        <f>IFERROR(__xludf.DUMMYFUNCTION("""COMPUTED_VALUE"""),"Lisa Hazard")</f>
        <v>Lisa Hazard</v>
      </c>
      <c r="D1003" s="8" t="str">
        <f>IFERROR(__xludf.DUMMYFUNCTION("""COMPUTED_VALUE"""),"Consumer")</f>
        <v>Consumer</v>
      </c>
      <c r="E1003" s="8" t="str">
        <f>IFERROR(__xludf.DUMMYFUNCTION("""COMPUTED_VALUE"""),"East")</f>
        <v>East</v>
      </c>
      <c r="F1003" s="10">
        <f>IFERROR(__xludf.DUMMYFUNCTION("""COMPUTED_VALUE"""),107.982)</f>
        <v>107.982</v>
      </c>
      <c r="G1003" s="11">
        <f>IFERROR(__xludf.DUMMYFUNCTION("""COMPUTED_VALUE"""),3.0)</f>
        <v>3</v>
      </c>
      <c r="H1003" s="11">
        <f>IFERROR(__xludf.DUMMYFUNCTION("""COMPUTED_VALUE"""),-26.9955)</f>
        <v>-26.9955</v>
      </c>
    </row>
    <row r="1004">
      <c r="A1004" s="8" t="str">
        <f>IFERROR(__xludf.DUMMYFUNCTION("""COMPUTED_VALUE"""),"CA-2015-115091")</f>
        <v>CA-2015-115091</v>
      </c>
      <c r="B1004" s="9">
        <f>IFERROR(__xludf.DUMMYFUNCTION("""COMPUTED_VALUE"""),42282.0)</f>
        <v>42282</v>
      </c>
      <c r="C1004" s="8" t="str">
        <f>IFERROR(__xludf.DUMMYFUNCTION("""COMPUTED_VALUE"""),"Joel Jenkins")</f>
        <v>Joel Jenkins</v>
      </c>
      <c r="D1004" s="8" t="str">
        <f>IFERROR(__xludf.DUMMYFUNCTION("""COMPUTED_VALUE"""),"Home Office")</f>
        <v>Home Office</v>
      </c>
      <c r="E1004" s="8" t="str">
        <f>IFERROR(__xludf.DUMMYFUNCTION("""COMPUTED_VALUE"""),"South")</f>
        <v>South</v>
      </c>
      <c r="F1004" s="10">
        <f>IFERROR(__xludf.DUMMYFUNCTION("""COMPUTED_VALUE"""),46.2)</f>
        <v>46.2</v>
      </c>
      <c r="G1004" s="11">
        <f>IFERROR(__xludf.DUMMYFUNCTION("""COMPUTED_VALUE"""),4.0)</f>
        <v>4</v>
      </c>
      <c r="H1004" s="11">
        <f>IFERROR(__xludf.DUMMYFUNCTION("""COMPUTED_VALUE"""),12.936)</f>
        <v>12.936</v>
      </c>
    </row>
    <row r="1005">
      <c r="A1005" s="8" t="str">
        <f>IFERROR(__xludf.DUMMYFUNCTION("""COMPUTED_VALUE"""),"CA-2015-115168")</f>
        <v>CA-2015-115168</v>
      </c>
      <c r="B1005" s="9">
        <f>IFERROR(__xludf.DUMMYFUNCTION("""COMPUTED_VALUE"""),42160.0)</f>
        <v>42160</v>
      </c>
      <c r="C1005" s="8" t="str">
        <f>IFERROR(__xludf.DUMMYFUNCTION("""COMPUTED_VALUE"""),"Brenda Bowman")</f>
        <v>Brenda Bowman</v>
      </c>
      <c r="D1005" s="8" t="str">
        <f>IFERROR(__xludf.DUMMYFUNCTION("""COMPUTED_VALUE"""),"Corporate")</f>
        <v>Corporate</v>
      </c>
      <c r="E1005" s="8" t="str">
        <f>IFERROR(__xludf.DUMMYFUNCTION("""COMPUTED_VALUE"""),"Central")</f>
        <v>Central</v>
      </c>
      <c r="F1005" s="10">
        <f>IFERROR(__xludf.DUMMYFUNCTION("""COMPUTED_VALUE"""),10.56)</f>
        <v>10.56</v>
      </c>
      <c r="G1005" s="11">
        <f>IFERROR(__xludf.DUMMYFUNCTION("""COMPUTED_VALUE"""),2.0)</f>
        <v>2</v>
      </c>
      <c r="H1005" s="11">
        <f>IFERROR(__xludf.DUMMYFUNCTION("""COMPUTED_VALUE"""),4.752)</f>
        <v>4.752</v>
      </c>
    </row>
    <row r="1006">
      <c r="A1006" s="8" t="str">
        <f>IFERROR(__xludf.DUMMYFUNCTION("""COMPUTED_VALUE"""),"CA-2015-115392")</f>
        <v>CA-2015-115392</v>
      </c>
      <c r="B1006" s="9">
        <f>IFERROR(__xludf.DUMMYFUNCTION("""COMPUTED_VALUE"""),42278.0)</f>
        <v>42278</v>
      </c>
      <c r="C1006" s="8" t="str">
        <f>IFERROR(__xludf.DUMMYFUNCTION("""COMPUTED_VALUE"""),"Robert Marley")</f>
        <v>Robert Marley</v>
      </c>
      <c r="D1006" s="8" t="str">
        <f>IFERROR(__xludf.DUMMYFUNCTION("""COMPUTED_VALUE"""),"Home Office")</f>
        <v>Home Office</v>
      </c>
      <c r="E1006" s="8" t="str">
        <f>IFERROR(__xludf.DUMMYFUNCTION("""COMPUTED_VALUE"""),"East")</f>
        <v>East</v>
      </c>
      <c r="F1006" s="10">
        <f>IFERROR(__xludf.DUMMYFUNCTION("""COMPUTED_VALUE"""),311.98)</f>
        <v>311.98</v>
      </c>
      <c r="G1006" s="11">
        <f>IFERROR(__xludf.DUMMYFUNCTION("""COMPUTED_VALUE"""),2.0)</f>
        <v>2</v>
      </c>
      <c r="H1006" s="11">
        <f>IFERROR(__xludf.DUMMYFUNCTION("""COMPUTED_VALUE"""),93.594)</f>
        <v>93.594</v>
      </c>
    </row>
    <row r="1007">
      <c r="A1007" s="8" t="str">
        <f>IFERROR(__xludf.DUMMYFUNCTION("""COMPUTED_VALUE"""),"CA-2015-115399")</f>
        <v>CA-2015-115399</v>
      </c>
      <c r="B1007" s="9">
        <f>IFERROR(__xludf.DUMMYFUNCTION("""COMPUTED_VALUE"""),42357.0)</f>
        <v>42357</v>
      </c>
      <c r="C1007" s="8" t="str">
        <f>IFERROR(__xludf.DUMMYFUNCTION("""COMPUTED_VALUE"""),"Arthur Gainer")</f>
        <v>Arthur Gainer</v>
      </c>
      <c r="D1007" s="8" t="str">
        <f>IFERROR(__xludf.DUMMYFUNCTION("""COMPUTED_VALUE"""),"Consumer")</f>
        <v>Consumer</v>
      </c>
      <c r="E1007" s="8" t="str">
        <f>IFERROR(__xludf.DUMMYFUNCTION("""COMPUTED_VALUE"""),"East")</f>
        <v>East</v>
      </c>
      <c r="F1007" s="10">
        <f>IFERROR(__xludf.DUMMYFUNCTION("""COMPUTED_VALUE"""),6.912)</f>
        <v>6.912</v>
      </c>
      <c r="G1007" s="11">
        <f>IFERROR(__xludf.DUMMYFUNCTION("""COMPUTED_VALUE"""),3.0)</f>
        <v>3</v>
      </c>
      <c r="H1007" s="11">
        <f>IFERROR(__xludf.DUMMYFUNCTION("""COMPUTED_VALUE"""),2.5056)</f>
        <v>2.5056</v>
      </c>
    </row>
    <row r="1008">
      <c r="A1008" s="8" t="str">
        <f>IFERROR(__xludf.DUMMYFUNCTION("""COMPUTED_VALUE"""),"CA-2015-115420")</f>
        <v>CA-2015-115420</v>
      </c>
      <c r="B1008" s="9">
        <f>IFERROR(__xludf.DUMMYFUNCTION("""COMPUTED_VALUE"""),42119.0)</f>
        <v>42119</v>
      </c>
      <c r="C1008" s="8" t="str">
        <f>IFERROR(__xludf.DUMMYFUNCTION("""COMPUTED_VALUE"""),"Linda Southworth")</f>
        <v>Linda Southworth</v>
      </c>
      <c r="D1008" s="8" t="str">
        <f>IFERROR(__xludf.DUMMYFUNCTION("""COMPUTED_VALUE"""),"Corporate")</f>
        <v>Corporate</v>
      </c>
      <c r="E1008" s="8" t="str">
        <f>IFERROR(__xludf.DUMMYFUNCTION("""COMPUTED_VALUE"""),"West")</f>
        <v>West</v>
      </c>
      <c r="F1008" s="10">
        <f>IFERROR(__xludf.DUMMYFUNCTION("""COMPUTED_VALUE"""),21.34)</f>
        <v>21.34</v>
      </c>
      <c r="G1008" s="11">
        <f>IFERROR(__xludf.DUMMYFUNCTION("""COMPUTED_VALUE"""),2.0)</f>
        <v>2</v>
      </c>
      <c r="H1008" s="11">
        <f>IFERROR(__xludf.DUMMYFUNCTION("""COMPUTED_VALUE"""),9.8164)</f>
        <v>9.8164</v>
      </c>
    </row>
    <row r="1009">
      <c r="A1009" s="8" t="str">
        <f>IFERROR(__xludf.DUMMYFUNCTION("""COMPUTED_VALUE"""),"CA-2015-115511")</f>
        <v>CA-2015-115511</v>
      </c>
      <c r="B1009" s="9">
        <f>IFERROR(__xludf.DUMMYFUNCTION("""COMPUTED_VALUE"""),42329.0)</f>
        <v>42329</v>
      </c>
      <c r="C1009" s="8" t="str">
        <f>IFERROR(__xludf.DUMMYFUNCTION("""COMPUTED_VALUE"""),"Natalie Webber")</f>
        <v>Natalie Webber</v>
      </c>
      <c r="D1009" s="8" t="str">
        <f>IFERROR(__xludf.DUMMYFUNCTION("""COMPUTED_VALUE"""),"Consumer")</f>
        <v>Consumer</v>
      </c>
      <c r="E1009" s="8" t="str">
        <f>IFERROR(__xludf.DUMMYFUNCTION("""COMPUTED_VALUE"""),"West")</f>
        <v>West</v>
      </c>
      <c r="F1009" s="10">
        <f>IFERROR(__xludf.DUMMYFUNCTION("""COMPUTED_VALUE"""),141.96)</f>
        <v>141.96</v>
      </c>
      <c r="G1009" s="11">
        <f>IFERROR(__xludf.DUMMYFUNCTION("""COMPUTED_VALUE"""),2.0)</f>
        <v>2</v>
      </c>
      <c r="H1009" s="11">
        <f>IFERROR(__xludf.DUMMYFUNCTION("""COMPUTED_VALUE"""),41.1684)</f>
        <v>41.1684</v>
      </c>
    </row>
    <row r="1010">
      <c r="A1010" s="8" t="str">
        <f>IFERROR(__xludf.DUMMYFUNCTION("""COMPUTED_VALUE"""),"CA-2015-115567")</f>
        <v>CA-2015-115567</v>
      </c>
      <c r="B1010" s="9">
        <f>IFERROR(__xludf.DUMMYFUNCTION("""COMPUTED_VALUE"""),42260.0)</f>
        <v>42260</v>
      </c>
      <c r="C1010" s="8" t="str">
        <f>IFERROR(__xludf.DUMMYFUNCTION("""COMPUTED_VALUE"""),"Zuschuss Carroll")</f>
        <v>Zuschuss Carroll</v>
      </c>
      <c r="D1010" s="8" t="str">
        <f>IFERROR(__xludf.DUMMYFUNCTION("""COMPUTED_VALUE"""),"Consumer")</f>
        <v>Consumer</v>
      </c>
      <c r="E1010" s="8" t="str">
        <f>IFERROR(__xludf.DUMMYFUNCTION("""COMPUTED_VALUE"""),"Central")</f>
        <v>Central</v>
      </c>
      <c r="F1010" s="10">
        <f>IFERROR(__xludf.DUMMYFUNCTION("""COMPUTED_VALUE"""),199.96)</f>
        <v>199.96</v>
      </c>
      <c r="G1010" s="11">
        <f>IFERROR(__xludf.DUMMYFUNCTION("""COMPUTED_VALUE"""),4.0)</f>
        <v>4</v>
      </c>
      <c r="H1010" s="11">
        <f>IFERROR(__xludf.DUMMYFUNCTION("""COMPUTED_VALUE"""),15.9968)</f>
        <v>15.9968</v>
      </c>
    </row>
    <row r="1011">
      <c r="A1011" s="8" t="str">
        <f>IFERROR(__xludf.DUMMYFUNCTION("""COMPUTED_VALUE"""),"CA-2015-115693")</f>
        <v>CA-2015-115693</v>
      </c>
      <c r="B1011" s="9">
        <f>IFERROR(__xludf.DUMMYFUNCTION("""COMPUTED_VALUE"""),42348.0)</f>
        <v>42348</v>
      </c>
      <c r="C1011" s="8" t="str">
        <f>IFERROR(__xludf.DUMMYFUNCTION("""COMPUTED_VALUE"""),"Frank Carlisle")</f>
        <v>Frank Carlisle</v>
      </c>
      <c r="D1011" s="8" t="str">
        <f>IFERROR(__xludf.DUMMYFUNCTION("""COMPUTED_VALUE"""),"Home Office")</f>
        <v>Home Office</v>
      </c>
      <c r="E1011" s="8" t="str">
        <f>IFERROR(__xludf.DUMMYFUNCTION("""COMPUTED_VALUE"""),"West")</f>
        <v>West</v>
      </c>
      <c r="F1011" s="10">
        <f>IFERROR(__xludf.DUMMYFUNCTION("""COMPUTED_VALUE"""),56.3)</f>
        <v>56.3</v>
      </c>
      <c r="G1011" s="11">
        <f>IFERROR(__xludf.DUMMYFUNCTION("""COMPUTED_VALUE"""),2.0)</f>
        <v>2</v>
      </c>
      <c r="H1011" s="11">
        <f>IFERROR(__xludf.DUMMYFUNCTION("""COMPUTED_VALUE"""),15.764)</f>
        <v>15.764</v>
      </c>
    </row>
    <row r="1012">
      <c r="A1012" s="8" t="str">
        <f>IFERROR(__xludf.DUMMYFUNCTION("""COMPUTED_VALUE"""),"CA-2015-115742")</f>
        <v>CA-2015-115742</v>
      </c>
      <c r="B1012" s="9">
        <f>IFERROR(__xludf.DUMMYFUNCTION("""COMPUTED_VALUE"""),42112.0)</f>
        <v>42112</v>
      </c>
      <c r="C1012" s="8" t="str">
        <f>IFERROR(__xludf.DUMMYFUNCTION("""COMPUTED_VALUE"""),"Darren Powers")</f>
        <v>Darren Powers</v>
      </c>
      <c r="D1012" s="8" t="str">
        <f>IFERROR(__xludf.DUMMYFUNCTION("""COMPUTED_VALUE"""),"Consumer")</f>
        <v>Consumer</v>
      </c>
      <c r="E1012" s="8" t="str">
        <f>IFERROR(__xludf.DUMMYFUNCTION("""COMPUTED_VALUE"""),"Central")</f>
        <v>Central</v>
      </c>
      <c r="F1012" s="10">
        <f>IFERROR(__xludf.DUMMYFUNCTION("""COMPUTED_VALUE"""),38.22)</f>
        <v>38.22</v>
      </c>
      <c r="G1012" s="11">
        <f>IFERROR(__xludf.DUMMYFUNCTION("""COMPUTED_VALUE"""),6.0)</f>
        <v>6</v>
      </c>
      <c r="H1012" s="11">
        <f>IFERROR(__xludf.DUMMYFUNCTION("""COMPUTED_VALUE"""),17.9634)</f>
        <v>17.9634</v>
      </c>
    </row>
    <row r="1013">
      <c r="A1013" s="8" t="str">
        <f>IFERROR(__xludf.DUMMYFUNCTION("""COMPUTED_VALUE"""),"CA-2015-115798")</f>
        <v>CA-2015-115798</v>
      </c>
      <c r="B1013" s="9">
        <f>IFERROR(__xludf.DUMMYFUNCTION("""COMPUTED_VALUE"""),42321.0)</f>
        <v>42321</v>
      </c>
      <c r="C1013" s="8" t="str">
        <f>IFERROR(__xludf.DUMMYFUNCTION("""COMPUTED_VALUE"""),"Ken Lonsdale")</f>
        <v>Ken Lonsdale</v>
      </c>
      <c r="D1013" s="8" t="str">
        <f>IFERROR(__xludf.DUMMYFUNCTION("""COMPUTED_VALUE"""),"Consumer")</f>
        <v>Consumer</v>
      </c>
      <c r="E1013" s="8" t="str">
        <f>IFERROR(__xludf.DUMMYFUNCTION("""COMPUTED_VALUE"""),"East")</f>
        <v>East</v>
      </c>
      <c r="F1013" s="10">
        <f>IFERROR(__xludf.DUMMYFUNCTION("""COMPUTED_VALUE"""),377.97)</f>
        <v>377.97</v>
      </c>
      <c r="G1013" s="11">
        <f>IFERROR(__xludf.DUMMYFUNCTION("""COMPUTED_VALUE"""),3.0)</f>
        <v>3</v>
      </c>
      <c r="H1013" s="11">
        <f>IFERROR(__xludf.DUMMYFUNCTION("""COMPUTED_VALUE"""),94.4925)</f>
        <v>94.4925</v>
      </c>
    </row>
    <row r="1014">
      <c r="A1014" s="8" t="str">
        <f>IFERROR(__xludf.DUMMYFUNCTION("""COMPUTED_VALUE"""),"CA-2015-115847")</f>
        <v>CA-2015-115847</v>
      </c>
      <c r="B1014" s="9">
        <f>IFERROR(__xludf.DUMMYFUNCTION("""COMPUTED_VALUE"""),42266.0)</f>
        <v>42266</v>
      </c>
      <c r="C1014" s="8" t="str">
        <f>IFERROR(__xludf.DUMMYFUNCTION("""COMPUTED_VALUE"""),"Tracy Collins")</f>
        <v>Tracy Collins</v>
      </c>
      <c r="D1014" s="8" t="str">
        <f>IFERROR(__xludf.DUMMYFUNCTION("""COMPUTED_VALUE"""),"Home Office")</f>
        <v>Home Office</v>
      </c>
      <c r="E1014" s="8" t="str">
        <f>IFERROR(__xludf.DUMMYFUNCTION("""COMPUTED_VALUE"""),"South")</f>
        <v>South</v>
      </c>
      <c r="F1014" s="10">
        <f>IFERROR(__xludf.DUMMYFUNCTION("""COMPUTED_VALUE"""),61.96)</f>
        <v>61.96</v>
      </c>
      <c r="G1014" s="11">
        <f>IFERROR(__xludf.DUMMYFUNCTION("""COMPUTED_VALUE"""),2.0)</f>
        <v>2</v>
      </c>
      <c r="H1014" s="11">
        <f>IFERROR(__xludf.DUMMYFUNCTION("""COMPUTED_VALUE"""),4.3372)</f>
        <v>4.3372</v>
      </c>
    </row>
    <row r="1015">
      <c r="A1015" s="8" t="str">
        <f>IFERROR(__xludf.DUMMYFUNCTION("""COMPUTED_VALUE"""),"CA-2015-115924")</f>
        <v>CA-2015-115924</v>
      </c>
      <c r="B1015" s="9">
        <f>IFERROR(__xludf.DUMMYFUNCTION("""COMPUTED_VALUE"""),42261.0)</f>
        <v>42261</v>
      </c>
      <c r="C1015" s="8" t="str">
        <f>IFERROR(__xludf.DUMMYFUNCTION("""COMPUTED_VALUE"""),"Brad Eason")</f>
        <v>Brad Eason</v>
      </c>
      <c r="D1015" s="8" t="str">
        <f>IFERROR(__xludf.DUMMYFUNCTION("""COMPUTED_VALUE"""),"Home Office")</f>
        <v>Home Office</v>
      </c>
      <c r="E1015" s="8" t="str">
        <f>IFERROR(__xludf.DUMMYFUNCTION("""COMPUTED_VALUE"""),"Central")</f>
        <v>Central</v>
      </c>
      <c r="F1015" s="10">
        <f>IFERROR(__xludf.DUMMYFUNCTION("""COMPUTED_VALUE"""),25.9)</f>
        <v>25.9</v>
      </c>
      <c r="G1015" s="11">
        <f>IFERROR(__xludf.DUMMYFUNCTION("""COMPUTED_VALUE"""),5.0)</f>
        <v>5</v>
      </c>
      <c r="H1015" s="11">
        <f>IFERROR(__xludf.DUMMYFUNCTION("""COMPUTED_VALUE"""),12.691)</f>
        <v>12.691</v>
      </c>
    </row>
    <row r="1016">
      <c r="A1016" s="8" t="str">
        <f>IFERROR(__xludf.DUMMYFUNCTION("""COMPUTED_VALUE"""),"CA-2015-115938")</f>
        <v>CA-2015-115938</v>
      </c>
      <c r="B1016" s="9">
        <f>IFERROR(__xludf.DUMMYFUNCTION("""COMPUTED_VALUE"""),42181.0)</f>
        <v>42181</v>
      </c>
      <c r="C1016" s="8" t="str">
        <f>IFERROR(__xludf.DUMMYFUNCTION("""COMPUTED_VALUE"""),"Sue Ann Reed")</f>
        <v>Sue Ann Reed</v>
      </c>
      <c r="D1016" s="8" t="str">
        <f>IFERROR(__xludf.DUMMYFUNCTION("""COMPUTED_VALUE"""),"Consumer")</f>
        <v>Consumer</v>
      </c>
      <c r="E1016" s="8" t="str">
        <f>IFERROR(__xludf.DUMMYFUNCTION("""COMPUTED_VALUE"""),"South")</f>
        <v>South</v>
      </c>
      <c r="F1016" s="10">
        <f>IFERROR(__xludf.DUMMYFUNCTION("""COMPUTED_VALUE"""),143.96)</f>
        <v>143.96</v>
      </c>
      <c r="G1016" s="11">
        <f>IFERROR(__xludf.DUMMYFUNCTION("""COMPUTED_VALUE"""),4.0)</f>
        <v>4</v>
      </c>
      <c r="H1016" s="11">
        <f>IFERROR(__xludf.DUMMYFUNCTION("""COMPUTED_VALUE"""),69.1008)</f>
        <v>69.1008</v>
      </c>
    </row>
    <row r="1017">
      <c r="A1017" s="8" t="str">
        <f>IFERROR(__xludf.DUMMYFUNCTION("""COMPUTED_VALUE"""),"CA-2015-115945")</f>
        <v>CA-2015-115945</v>
      </c>
      <c r="B1017" s="9">
        <f>IFERROR(__xludf.DUMMYFUNCTION("""COMPUTED_VALUE"""),42180.0)</f>
        <v>42180</v>
      </c>
      <c r="C1017" s="8" t="str">
        <f>IFERROR(__xludf.DUMMYFUNCTION("""COMPUTED_VALUE"""),"Alan Barnes")</f>
        <v>Alan Barnes</v>
      </c>
      <c r="D1017" s="8" t="str">
        <f>IFERROR(__xludf.DUMMYFUNCTION("""COMPUTED_VALUE"""),"Consumer")</f>
        <v>Consumer</v>
      </c>
      <c r="E1017" s="8" t="str">
        <f>IFERROR(__xludf.DUMMYFUNCTION("""COMPUTED_VALUE"""),"West")</f>
        <v>West</v>
      </c>
      <c r="F1017" s="10">
        <f>IFERROR(__xludf.DUMMYFUNCTION("""COMPUTED_VALUE"""),20.96)</f>
        <v>20.96</v>
      </c>
      <c r="G1017" s="11">
        <f>IFERROR(__xludf.DUMMYFUNCTION("""COMPUTED_VALUE"""),2.0)</f>
        <v>2</v>
      </c>
      <c r="H1017" s="11">
        <f>IFERROR(__xludf.DUMMYFUNCTION("""COMPUTED_VALUE"""),5.24)</f>
        <v>5.24</v>
      </c>
    </row>
    <row r="1018">
      <c r="A1018" s="8" t="str">
        <f>IFERROR(__xludf.DUMMYFUNCTION("""COMPUTED_VALUE"""),"CA-2015-116092")</f>
        <v>CA-2015-116092</v>
      </c>
      <c r="B1018" s="9">
        <f>IFERROR(__xludf.DUMMYFUNCTION("""COMPUTED_VALUE"""),42050.0)</f>
        <v>42050</v>
      </c>
      <c r="C1018" s="8" t="str">
        <f>IFERROR(__xludf.DUMMYFUNCTION("""COMPUTED_VALUE"""),"Justin MacKendrick")</f>
        <v>Justin MacKendrick</v>
      </c>
      <c r="D1018" s="8" t="str">
        <f>IFERROR(__xludf.DUMMYFUNCTION("""COMPUTED_VALUE"""),"Consumer")</f>
        <v>Consumer</v>
      </c>
      <c r="E1018" s="8" t="str">
        <f>IFERROR(__xludf.DUMMYFUNCTION("""COMPUTED_VALUE"""),"West")</f>
        <v>West</v>
      </c>
      <c r="F1018" s="10">
        <f>IFERROR(__xludf.DUMMYFUNCTION("""COMPUTED_VALUE"""),13.36)</f>
        <v>13.36</v>
      </c>
      <c r="G1018" s="11">
        <f>IFERROR(__xludf.DUMMYFUNCTION("""COMPUTED_VALUE"""),2.0)</f>
        <v>2</v>
      </c>
      <c r="H1018" s="11">
        <f>IFERROR(__xludf.DUMMYFUNCTION("""COMPUTED_VALUE"""),6.4128)</f>
        <v>6.4128</v>
      </c>
    </row>
    <row r="1019">
      <c r="A1019" s="8" t="str">
        <f>IFERROR(__xludf.DUMMYFUNCTION("""COMPUTED_VALUE"""),"CA-2015-116260")</f>
        <v>CA-2015-116260</v>
      </c>
      <c r="B1019" s="9">
        <f>IFERROR(__xludf.DUMMYFUNCTION("""COMPUTED_VALUE"""),42191.0)</f>
        <v>42191</v>
      </c>
      <c r="C1019" s="8" t="str">
        <f>IFERROR(__xludf.DUMMYFUNCTION("""COMPUTED_VALUE"""),"Barbara Fisher")</f>
        <v>Barbara Fisher</v>
      </c>
      <c r="D1019" s="8" t="str">
        <f>IFERROR(__xludf.DUMMYFUNCTION("""COMPUTED_VALUE"""),"Corporate")</f>
        <v>Corporate</v>
      </c>
      <c r="E1019" s="8" t="str">
        <f>IFERROR(__xludf.DUMMYFUNCTION("""COMPUTED_VALUE"""),"East")</f>
        <v>East</v>
      </c>
      <c r="F1019" s="10">
        <f>IFERROR(__xludf.DUMMYFUNCTION("""COMPUTED_VALUE"""),11.12)</f>
        <v>11.12</v>
      </c>
      <c r="G1019" s="11">
        <f>IFERROR(__xludf.DUMMYFUNCTION("""COMPUTED_VALUE"""),4.0)</f>
        <v>4</v>
      </c>
      <c r="H1019" s="11">
        <f>IFERROR(__xludf.DUMMYFUNCTION("""COMPUTED_VALUE"""),2.8912)</f>
        <v>2.8912</v>
      </c>
    </row>
    <row r="1020">
      <c r="A1020" s="8" t="str">
        <f>IFERROR(__xludf.DUMMYFUNCTION("""COMPUTED_VALUE"""),"CA-2015-116484")</f>
        <v>CA-2015-116484</v>
      </c>
      <c r="B1020" s="9">
        <f>IFERROR(__xludf.DUMMYFUNCTION("""COMPUTED_VALUE"""),42328.0)</f>
        <v>42328</v>
      </c>
      <c r="C1020" s="8" t="str">
        <f>IFERROR(__xludf.DUMMYFUNCTION("""COMPUTED_VALUE"""),"Jamie Kunitz")</f>
        <v>Jamie Kunitz</v>
      </c>
      <c r="D1020" s="8" t="str">
        <f>IFERROR(__xludf.DUMMYFUNCTION("""COMPUTED_VALUE"""),"Consumer")</f>
        <v>Consumer</v>
      </c>
      <c r="E1020" s="8" t="str">
        <f>IFERROR(__xludf.DUMMYFUNCTION("""COMPUTED_VALUE"""),"East")</f>
        <v>East</v>
      </c>
      <c r="F1020" s="10">
        <f>IFERROR(__xludf.DUMMYFUNCTION("""COMPUTED_VALUE"""),63.824)</f>
        <v>63.824</v>
      </c>
      <c r="G1020" s="11">
        <f>IFERROR(__xludf.DUMMYFUNCTION("""COMPUTED_VALUE"""),2.0)</f>
        <v>2</v>
      </c>
      <c r="H1020" s="11">
        <f>IFERROR(__xludf.DUMMYFUNCTION("""COMPUTED_VALUE"""),9.5736)</f>
        <v>9.5736</v>
      </c>
    </row>
    <row r="1021">
      <c r="A1021" s="8" t="str">
        <f>IFERROR(__xludf.DUMMYFUNCTION("""COMPUTED_VALUE"""),"CA-2015-116512")</f>
        <v>CA-2015-116512</v>
      </c>
      <c r="B1021" s="9">
        <f>IFERROR(__xludf.DUMMYFUNCTION("""COMPUTED_VALUE"""),42103.0)</f>
        <v>42103</v>
      </c>
      <c r="C1021" s="8" t="str">
        <f>IFERROR(__xludf.DUMMYFUNCTION("""COMPUTED_VALUE"""),"Mick Crebagga")</f>
        <v>Mick Crebagga</v>
      </c>
      <c r="D1021" s="8" t="str">
        <f>IFERROR(__xludf.DUMMYFUNCTION("""COMPUTED_VALUE"""),"Consumer")</f>
        <v>Consumer</v>
      </c>
      <c r="E1021" s="8" t="str">
        <f>IFERROR(__xludf.DUMMYFUNCTION("""COMPUTED_VALUE"""),"East")</f>
        <v>East</v>
      </c>
      <c r="F1021" s="10">
        <f>IFERROR(__xludf.DUMMYFUNCTION("""COMPUTED_VALUE"""),17.94)</f>
        <v>17.94</v>
      </c>
      <c r="G1021" s="11">
        <f>IFERROR(__xludf.DUMMYFUNCTION("""COMPUTED_VALUE"""),3.0)</f>
        <v>3</v>
      </c>
      <c r="H1021" s="11">
        <f>IFERROR(__xludf.DUMMYFUNCTION("""COMPUTED_VALUE"""),3.0498)</f>
        <v>3.0498</v>
      </c>
    </row>
    <row r="1022">
      <c r="A1022" s="8" t="str">
        <f>IFERROR(__xludf.DUMMYFUNCTION("""COMPUTED_VALUE"""),"CA-2015-116638")</f>
        <v>CA-2015-116638</v>
      </c>
      <c r="B1022" s="9">
        <f>IFERROR(__xludf.DUMMYFUNCTION("""COMPUTED_VALUE"""),42032.0)</f>
        <v>42032</v>
      </c>
      <c r="C1022" s="8" t="str">
        <f>IFERROR(__xludf.DUMMYFUNCTION("""COMPUTED_VALUE"""),"Joseph Holt")</f>
        <v>Joseph Holt</v>
      </c>
      <c r="D1022" s="8" t="str">
        <f>IFERROR(__xludf.DUMMYFUNCTION("""COMPUTED_VALUE"""),"Consumer")</f>
        <v>Consumer</v>
      </c>
      <c r="E1022" s="8" t="str">
        <f>IFERROR(__xludf.DUMMYFUNCTION("""COMPUTED_VALUE"""),"South")</f>
        <v>South</v>
      </c>
      <c r="F1022" s="10">
        <f>IFERROR(__xludf.DUMMYFUNCTION("""COMPUTED_VALUE"""),4297.644)</f>
        <v>4297.644</v>
      </c>
      <c r="G1022" s="11">
        <f>IFERROR(__xludf.DUMMYFUNCTION("""COMPUTED_VALUE"""),13.0)</f>
        <v>13</v>
      </c>
      <c r="H1022" s="11">
        <f>IFERROR(__xludf.DUMMYFUNCTION("""COMPUTED_VALUE"""),-1862.3124)</f>
        <v>-1862.3124</v>
      </c>
    </row>
    <row r="1023">
      <c r="A1023" s="8" t="str">
        <f>IFERROR(__xludf.DUMMYFUNCTION("""COMPUTED_VALUE"""),"CA-2015-116687")</f>
        <v>CA-2015-116687</v>
      </c>
      <c r="B1023" s="9">
        <f>IFERROR(__xludf.DUMMYFUNCTION("""COMPUTED_VALUE"""),42126.0)</f>
        <v>42126</v>
      </c>
      <c r="C1023" s="8" t="str">
        <f>IFERROR(__xludf.DUMMYFUNCTION("""COMPUTED_VALUE"""),"Noah Childs")</f>
        <v>Noah Childs</v>
      </c>
      <c r="D1023" s="8" t="str">
        <f>IFERROR(__xludf.DUMMYFUNCTION("""COMPUTED_VALUE"""),"Corporate")</f>
        <v>Corporate</v>
      </c>
      <c r="E1023" s="8" t="str">
        <f>IFERROR(__xludf.DUMMYFUNCTION("""COMPUTED_VALUE"""),"Central")</f>
        <v>Central</v>
      </c>
      <c r="F1023" s="10">
        <f>IFERROR(__xludf.DUMMYFUNCTION("""COMPUTED_VALUE"""),8.856)</f>
        <v>8.856</v>
      </c>
      <c r="G1023" s="11">
        <f>IFERROR(__xludf.DUMMYFUNCTION("""COMPUTED_VALUE"""),3.0)</f>
        <v>3</v>
      </c>
      <c r="H1023" s="11">
        <f>IFERROR(__xludf.DUMMYFUNCTION("""COMPUTED_VALUE"""),2.9889)</f>
        <v>2.9889</v>
      </c>
    </row>
    <row r="1024">
      <c r="A1024" s="8" t="str">
        <f>IFERROR(__xludf.DUMMYFUNCTION("""COMPUTED_VALUE"""),"CA-2015-116750")</f>
        <v>CA-2015-116750</v>
      </c>
      <c r="B1024" s="9">
        <f>IFERROR(__xludf.DUMMYFUNCTION("""COMPUTED_VALUE"""),42190.0)</f>
        <v>42190</v>
      </c>
      <c r="C1024" s="8" t="str">
        <f>IFERROR(__xludf.DUMMYFUNCTION("""COMPUTED_VALUE"""),"Barbara Fisher")</f>
        <v>Barbara Fisher</v>
      </c>
      <c r="D1024" s="8" t="str">
        <f>IFERROR(__xludf.DUMMYFUNCTION("""COMPUTED_VALUE"""),"Corporate")</f>
        <v>Corporate</v>
      </c>
      <c r="E1024" s="8" t="str">
        <f>IFERROR(__xludf.DUMMYFUNCTION("""COMPUTED_VALUE"""),"South")</f>
        <v>South</v>
      </c>
      <c r="F1024" s="10">
        <f>IFERROR(__xludf.DUMMYFUNCTION("""COMPUTED_VALUE"""),4.928)</f>
        <v>4.928</v>
      </c>
      <c r="G1024" s="11">
        <f>IFERROR(__xludf.DUMMYFUNCTION("""COMPUTED_VALUE"""),2.0)</f>
        <v>2</v>
      </c>
      <c r="H1024" s="11">
        <f>IFERROR(__xludf.DUMMYFUNCTION("""COMPUTED_VALUE"""),0.7392)</f>
        <v>0.7392</v>
      </c>
    </row>
    <row r="1025">
      <c r="A1025" s="8" t="str">
        <f>IFERROR(__xludf.DUMMYFUNCTION("""COMPUTED_VALUE"""),"CA-2015-116841")</f>
        <v>CA-2015-116841</v>
      </c>
      <c r="B1025" s="9">
        <f>IFERROR(__xludf.DUMMYFUNCTION("""COMPUTED_VALUE"""),42108.0)</f>
        <v>42108</v>
      </c>
      <c r="C1025" s="8" t="str">
        <f>IFERROR(__xludf.DUMMYFUNCTION("""COMPUTED_VALUE"""),"Theone Pippenger")</f>
        <v>Theone Pippenger</v>
      </c>
      <c r="D1025" s="8" t="str">
        <f>IFERROR(__xludf.DUMMYFUNCTION("""COMPUTED_VALUE"""),"Consumer")</f>
        <v>Consumer</v>
      </c>
      <c r="E1025" s="8" t="str">
        <f>IFERROR(__xludf.DUMMYFUNCTION("""COMPUTED_VALUE"""),"West")</f>
        <v>West</v>
      </c>
      <c r="F1025" s="10">
        <f>IFERROR(__xludf.DUMMYFUNCTION("""COMPUTED_VALUE"""),35.208)</f>
        <v>35.208</v>
      </c>
      <c r="G1025" s="11">
        <f>IFERROR(__xludf.DUMMYFUNCTION("""COMPUTED_VALUE"""),1.0)</f>
        <v>1</v>
      </c>
      <c r="H1025" s="11">
        <f>IFERROR(__xludf.DUMMYFUNCTION("""COMPUTED_VALUE"""),2.6406)</f>
        <v>2.6406</v>
      </c>
    </row>
    <row r="1026">
      <c r="A1026" s="8" t="str">
        <f>IFERROR(__xludf.DUMMYFUNCTION("""COMPUTED_VALUE"""),"CA-2015-116876")</f>
        <v>CA-2015-116876</v>
      </c>
      <c r="B1026" s="9">
        <f>IFERROR(__xludf.DUMMYFUNCTION("""COMPUTED_VALUE"""),42049.0)</f>
        <v>42049</v>
      </c>
      <c r="C1026" s="8" t="str">
        <f>IFERROR(__xludf.DUMMYFUNCTION("""COMPUTED_VALUE"""),"Ted Trevino")</f>
        <v>Ted Trevino</v>
      </c>
      <c r="D1026" s="8" t="str">
        <f>IFERROR(__xludf.DUMMYFUNCTION("""COMPUTED_VALUE"""),"Consumer")</f>
        <v>Consumer</v>
      </c>
      <c r="E1026" s="8" t="str">
        <f>IFERROR(__xludf.DUMMYFUNCTION("""COMPUTED_VALUE"""),"East")</f>
        <v>East</v>
      </c>
      <c r="F1026" s="10">
        <f>IFERROR(__xludf.DUMMYFUNCTION("""COMPUTED_VALUE"""),26.424)</f>
        <v>26.424</v>
      </c>
      <c r="G1026" s="11">
        <f>IFERROR(__xludf.DUMMYFUNCTION("""COMPUTED_VALUE"""),9.0)</f>
        <v>9</v>
      </c>
      <c r="H1026" s="11">
        <f>IFERROR(__xludf.DUMMYFUNCTION("""COMPUTED_VALUE"""),9.5787)</f>
        <v>9.5787</v>
      </c>
    </row>
    <row r="1027">
      <c r="A1027" s="8" t="str">
        <f>IFERROR(__xludf.DUMMYFUNCTION("""COMPUTED_VALUE"""),"CA-2015-117086")</f>
        <v>CA-2015-117086</v>
      </c>
      <c r="B1027" s="9">
        <f>IFERROR(__xludf.DUMMYFUNCTION("""COMPUTED_VALUE"""),42316.0)</f>
        <v>42316</v>
      </c>
      <c r="C1027" s="8" t="str">
        <f>IFERROR(__xludf.DUMMYFUNCTION("""COMPUTED_VALUE"""),"Quincy Jones")</f>
        <v>Quincy Jones</v>
      </c>
      <c r="D1027" s="8" t="str">
        <f>IFERROR(__xludf.DUMMYFUNCTION("""COMPUTED_VALUE"""),"Corporate")</f>
        <v>Corporate</v>
      </c>
      <c r="E1027" s="8" t="str">
        <f>IFERROR(__xludf.DUMMYFUNCTION("""COMPUTED_VALUE"""),"East")</f>
        <v>East</v>
      </c>
      <c r="F1027" s="10">
        <f>IFERROR(__xludf.DUMMYFUNCTION("""COMPUTED_VALUE"""),4404.9)</f>
        <v>4404.9</v>
      </c>
      <c r="G1027" s="11">
        <f>IFERROR(__xludf.DUMMYFUNCTION("""COMPUTED_VALUE"""),5.0)</f>
        <v>5</v>
      </c>
      <c r="H1027" s="11">
        <f>IFERROR(__xludf.DUMMYFUNCTION("""COMPUTED_VALUE"""),1013.127)</f>
        <v>1013.127</v>
      </c>
    </row>
    <row r="1028">
      <c r="A1028" s="8" t="str">
        <f>IFERROR(__xludf.DUMMYFUNCTION("""COMPUTED_VALUE"""),"CA-2015-117415")</f>
        <v>CA-2015-117415</v>
      </c>
      <c r="B1028" s="9">
        <f>IFERROR(__xludf.DUMMYFUNCTION("""COMPUTED_VALUE"""),42365.0)</f>
        <v>42365</v>
      </c>
      <c r="C1028" s="8" t="str">
        <f>IFERROR(__xludf.DUMMYFUNCTION("""COMPUTED_VALUE"""),"Steve Nguyen")</f>
        <v>Steve Nguyen</v>
      </c>
      <c r="D1028" s="8" t="str">
        <f>IFERROR(__xludf.DUMMYFUNCTION("""COMPUTED_VALUE"""),"Home Office")</f>
        <v>Home Office</v>
      </c>
      <c r="E1028" s="8" t="str">
        <f>IFERROR(__xludf.DUMMYFUNCTION("""COMPUTED_VALUE"""),"Central")</f>
        <v>Central</v>
      </c>
      <c r="F1028" s="10">
        <f>IFERROR(__xludf.DUMMYFUNCTION("""COMPUTED_VALUE"""),113.328)</f>
        <v>113.328</v>
      </c>
      <c r="G1028" s="11">
        <f>IFERROR(__xludf.DUMMYFUNCTION("""COMPUTED_VALUE"""),9.0)</f>
        <v>9</v>
      </c>
      <c r="H1028" s="11">
        <f>IFERROR(__xludf.DUMMYFUNCTION("""COMPUTED_VALUE"""),35.415)</f>
        <v>35.415</v>
      </c>
    </row>
    <row r="1029">
      <c r="A1029" s="8" t="str">
        <f>IFERROR(__xludf.DUMMYFUNCTION("""COMPUTED_VALUE"""),"CA-2015-117611")</f>
        <v>CA-2015-117611</v>
      </c>
      <c r="B1029" s="9">
        <f>IFERROR(__xludf.DUMMYFUNCTION("""COMPUTED_VALUE"""),42316.0)</f>
        <v>42316</v>
      </c>
      <c r="C1029" s="8" t="str">
        <f>IFERROR(__xludf.DUMMYFUNCTION("""COMPUTED_VALUE"""),"Maria Zettner")</f>
        <v>Maria Zettner</v>
      </c>
      <c r="D1029" s="8" t="str">
        <f>IFERROR(__xludf.DUMMYFUNCTION("""COMPUTED_VALUE"""),"Home Office")</f>
        <v>Home Office</v>
      </c>
      <c r="E1029" s="8" t="str">
        <f>IFERROR(__xludf.DUMMYFUNCTION("""COMPUTED_VALUE"""),"West")</f>
        <v>West</v>
      </c>
      <c r="F1029" s="10">
        <f>IFERROR(__xludf.DUMMYFUNCTION("""COMPUTED_VALUE"""),5.0)</f>
        <v>5</v>
      </c>
      <c r="G1029" s="11">
        <f>IFERROR(__xludf.DUMMYFUNCTION("""COMPUTED_VALUE"""),1.0)</f>
        <v>1</v>
      </c>
      <c r="H1029" s="11">
        <f>IFERROR(__xludf.DUMMYFUNCTION("""COMPUTED_VALUE"""),2.4)</f>
        <v>2.4</v>
      </c>
    </row>
    <row r="1030">
      <c r="A1030" s="8" t="str">
        <f>IFERROR(__xludf.DUMMYFUNCTION("""COMPUTED_VALUE"""),"CA-2015-117772")</f>
        <v>CA-2015-117772</v>
      </c>
      <c r="B1030" s="9">
        <f>IFERROR(__xludf.DUMMYFUNCTION("""COMPUTED_VALUE"""),42257.0)</f>
        <v>42257</v>
      </c>
      <c r="C1030" s="8" t="str">
        <f>IFERROR(__xludf.DUMMYFUNCTION("""COMPUTED_VALUE"""),"Matt Collins")</f>
        <v>Matt Collins</v>
      </c>
      <c r="D1030" s="8" t="str">
        <f>IFERROR(__xludf.DUMMYFUNCTION("""COMPUTED_VALUE"""),"Consumer")</f>
        <v>Consumer</v>
      </c>
      <c r="E1030" s="8" t="str">
        <f>IFERROR(__xludf.DUMMYFUNCTION("""COMPUTED_VALUE"""),"West")</f>
        <v>West</v>
      </c>
      <c r="F1030" s="10">
        <f>IFERROR(__xludf.DUMMYFUNCTION("""COMPUTED_VALUE"""),353.88)</f>
        <v>353.88</v>
      </c>
      <c r="G1030" s="11">
        <f>IFERROR(__xludf.DUMMYFUNCTION("""COMPUTED_VALUE"""),6.0)</f>
        <v>6</v>
      </c>
      <c r="H1030" s="11">
        <f>IFERROR(__xludf.DUMMYFUNCTION("""COMPUTED_VALUE"""),17.694)</f>
        <v>17.694</v>
      </c>
    </row>
    <row r="1031">
      <c r="A1031" s="8" t="str">
        <f>IFERROR(__xludf.DUMMYFUNCTION("""COMPUTED_VALUE"""),"CA-2015-117800")</f>
        <v>CA-2015-117800</v>
      </c>
      <c r="B1031" s="9">
        <f>IFERROR(__xludf.DUMMYFUNCTION("""COMPUTED_VALUE"""),42268.0)</f>
        <v>42268</v>
      </c>
      <c r="C1031" s="8" t="str">
        <f>IFERROR(__xludf.DUMMYFUNCTION("""COMPUTED_VALUE"""),"Tracy Hopkins")</f>
        <v>Tracy Hopkins</v>
      </c>
      <c r="D1031" s="8" t="str">
        <f>IFERROR(__xludf.DUMMYFUNCTION("""COMPUTED_VALUE"""),"Home Office")</f>
        <v>Home Office</v>
      </c>
      <c r="E1031" s="8" t="str">
        <f>IFERROR(__xludf.DUMMYFUNCTION("""COMPUTED_VALUE"""),"East")</f>
        <v>East</v>
      </c>
      <c r="F1031" s="10">
        <f>IFERROR(__xludf.DUMMYFUNCTION("""COMPUTED_VALUE"""),589.9)</f>
        <v>589.9</v>
      </c>
      <c r="G1031" s="11">
        <f>IFERROR(__xludf.DUMMYFUNCTION("""COMPUTED_VALUE"""),2.0)</f>
        <v>2</v>
      </c>
      <c r="H1031" s="11">
        <f>IFERROR(__xludf.DUMMYFUNCTION("""COMPUTED_VALUE"""),147.475)</f>
        <v>147.475</v>
      </c>
    </row>
    <row r="1032">
      <c r="A1032" s="8" t="str">
        <f>IFERROR(__xludf.DUMMYFUNCTION("""COMPUTED_VALUE"""),"CA-2015-117828")</f>
        <v>CA-2015-117828</v>
      </c>
      <c r="B1032" s="9">
        <f>IFERROR(__xludf.DUMMYFUNCTION("""COMPUTED_VALUE"""),42361.0)</f>
        <v>42361</v>
      </c>
      <c r="C1032" s="8" t="str">
        <f>IFERROR(__xludf.DUMMYFUNCTION("""COMPUTED_VALUE"""),"Bradley Drucker")</f>
        <v>Bradley Drucker</v>
      </c>
      <c r="D1032" s="8" t="str">
        <f>IFERROR(__xludf.DUMMYFUNCTION("""COMPUTED_VALUE"""),"Consumer")</f>
        <v>Consumer</v>
      </c>
      <c r="E1032" s="8" t="str">
        <f>IFERROR(__xludf.DUMMYFUNCTION("""COMPUTED_VALUE"""),"South")</f>
        <v>South</v>
      </c>
      <c r="F1032" s="10">
        <f>IFERROR(__xludf.DUMMYFUNCTION("""COMPUTED_VALUE"""),194.32)</f>
        <v>194.32</v>
      </c>
      <c r="G1032" s="11">
        <f>IFERROR(__xludf.DUMMYFUNCTION("""COMPUTED_VALUE"""),4.0)</f>
        <v>4</v>
      </c>
      <c r="H1032" s="11">
        <f>IFERROR(__xludf.DUMMYFUNCTION("""COMPUTED_VALUE"""),56.3528)</f>
        <v>56.3528</v>
      </c>
    </row>
    <row r="1033">
      <c r="A1033" s="8" t="str">
        <f>IFERROR(__xludf.DUMMYFUNCTION("""COMPUTED_VALUE"""),"CA-2015-117884")</f>
        <v>CA-2015-117884</v>
      </c>
      <c r="B1033" s="9">
        <f>IFERROR(__xludf.DUMMYFUNCTION("""COMPUTED_VALUE"""),42085.0)</f>
        <v>42085</v>
      </c>
      <c r="C1033" s="8" t="str">
        <f>IFERROR(__xludf.DUMMYFUNCTION("""COMPUTED_VALUE"""),"Debra Catini")</f>
        <v>Debra Catini</v>
      </c>
      <c r="D1033" s="8" t="str">
        <f>IFERROR(__xludf.DUMMYFUNCTION("""COMPUTED_VALUE"""),"Consumer")</f>
        <v>Consumer</v>
      </c>
      <c r="E1033" s="8" t="str">
        <f>IFERROR(__xludf.DUMMYFUNCTION("""COMPUTED_VALUE"""),"South")</f>
        <v>South</v>
      </c>
      <c r="F1033" s="10">
        <f>IFERROR(__xludf.DUMMYFUNCTION("""COMPUTED_VALUE"""),447.944)</f>
        <v>447.944</v>
      </c>
      <c r="G1033" s="11">
        <f>IFERROR(__xludf.DUMMYFUNCTION("""COMPUTED_VALUE"""),7.0)</f>
        <v>7</v>
      </c>
      <c r="H1033" s="11">
        <f>IFERROR(__xludf.DUMMYFUNCTION("""COMPUTED_VALUE"""),89.5888)</f>
        <v>89.5888</v>
      </c>
    </row>
    <row r="1034">
      <c r="A1034" s="8" t="str">
        <f>IFERROR(__xludf.DUMMYFUNCTION("""COMPUTED_VALUE"""),"CA-2015-117898")</f>
        <v>CA-2015-117898</v>
      </c>
      <c r="B1034" s="9">
        <f>IFERROR(__xludf.DUMMYFUNCTION("""COMPUTED_VALUE"""),42343.0)</f>
        <v>42343</v>
      </c>
      <c r="C1034" s="8" t="str">
        <f>IFERROR(__xludf.DUMMYFUNCTION("""COMPUTED_VALUE"""),"Tim Brockman")</f>
        <v>Tim Brockman</v>
      </c>
      <c r="D1034" s="8" t="str">
        <f>IFERROR(__xludf.DUMMYFUNCTION("""COMPUTED_VALUE"""),"Consumer")</f>
        <v>Consumer</v>
      </c>
      <c r="E1034" s="8" t="str">
        <f>IFERROR(__xludf.DUMMYFUNCTION("""COMPUTED_VALUE"""),"Central")</f>
        <v>Central</v>
      </c>
      <c r="F1034" s="10">
        <f>IFERROR(__xludf.DUMMYFUNCTION("""COMPUTED_VALUE"""),12.224)</f>
        <v>12.224</v>
      </c>
      <c r="G1034" s="11">
        <f>IFERROR(__xludf.DUMMYFUNCTION("""COMPUTED_VALUE"""),2.0)</f>
        <v>2</v>
      </c>
      <c r="H1034" s="11">
        <f>IFERROR(__xludf.DUMMYFUNCTION("""COMPUTED_VALUE"""),4.4312)</f>
        <v>4.4312</v>
      </c>
    </row>
    <row r="1035">
      <c r="A1035" s="8" t="str">
        <f>IFERROR(__xludf.DUMMYFUNCTION("""COMPUTED_VALUE"""),"CA-2015-117961")</f>
        <v>CA-2015-117961</v>
      </c>
      <c r="B1035" s="9">
        <f>IFERROR(__xludf.DUMMYFUNCTION("""COMPUTED_VALUE"""),42334.0)</f>
        <v>42334</v>
      </c>
      <c r="C1035" s="8" t="str">
        <f>IFERROR(__xludf.DUMMYFUNCTION("""COMPUTED_VALUE"""),"Guy Phonely")</f>
        <v>Guy Phonely</v>
      </c>
      <c r="D1035" s="8" t="str">
        <f>IFERROR(__xludf.DUMMYFUNCTION("""COMPUTED_VALUE"""),"Corporate")</f>
        <v>Corporate</v>
      </c>
      <c r="E1035" s="8" t="str">
        <f>IFERROR(__xludf.DUMMYFUNCTION("""COMPUTED_VALUE"""),"East")</f>
        <v>East</v>
      </c>
      <c r="F1035" s="10">
        <f>IFERROR(__xludf.DUMMYFUNCTION("""COMPUTED_VALUE"""),14.73)</f>
        <v>14.73</v>
      </c>
      <c r="G1035" s="11">
        <f>IFERROR(__xludf.DUMMYFUNCTION("""COMPUTED_VALUE"""),3.0)</f>
        <v>3</v>
      </c>
      <c r="H1035" s="11">
        <f>IFERROR(__xludf.DUMMYFUNCTION("""COMPUTED_VALUE"""),6.9231)</f>
        <v>6.9231</v>
      </c>
    </row>
    <row r="1036">
      <c r="A1036" s="8" t="str">
        <f>IFERROR(__xludf.DUMMYFUNCTION("""COMPUTED_VALUE"""),"CA-2015-118227")</f>
        <v>CA-2015-118227</v>
      </c>
      <c r="B1036" s="9">
        <f>IFERROR(__xludf.DUMMYFUNCTION("""COMPUTED_VALUE"""),42118.0)</f>
        <v>42118</v>
      </c>
      <c r="C1036" s="8" t="str">
        <f>IFERROR(__xludf.DUMMYFUNCTION("""COMPUTED_VALUE"""),"Deborah Brumfield")</f>
        <v>Deborah Brumfield</v>
      </c>
      <c r="D1036" s="8" t="str">
        <f>IFERROR(__xludf.DUMMYFUNCTION("""COMPUTED_VALUE"""),"Home Office")</f>
        <v>Home Office</v>
      </c>
      <c r="E1036" s="8" t="str">
        <f>IFERROR(__xludf.DUMMYFUNCTION("""COMPUTED_VALUE"""),"East")</f>
        <v>East</v>
      </c>
      <c r="F1036" s="10">
        <f>IFERROR(__xludf.DUMMYFUNCTION("""COMPUTED_VALUE"""),25.99)</f>
        <v>25.99</v>
      </c>
      <c r="G1036" s="11">
        <f>IFERROR(__xludf.DUMMYFUNCTION("""COMPUTED_VALUE"""),1.0)</f>
        <v>1</v>
      </c>
      <c r="H1036" s="11">
        <f>IFERROR(__xludf.DUMMYFUNCTION("""COMPUTED_VALUE"""),7.5371)</f>
        <v>7.5371</v>
      </c>
    </row>
    <row r="1037">
      <c r="A1037" s="8" t="str">
        <f>IFERROR(__xludf.DUMMYFUNCTION("""COMPUTED_VALUE"""),"CA-2015-118423")</f>
        <v>CA-2015-118423</v>
      </c>
      <c r="B1037" s="9">
        <f>IFERROR(__xludf.DUMMYFUNCTION("""COMPUTED_VALUE"""),42087.0)</f>
        <v>42087</v>
      </c>
      <c r="C1037" s="8" t="str">
        <f>IFERROR(__xludf.DUMMYFUNCTION("""COMPUTED_VALUE"""),"Dennis Pardue")</f>
        <v>Dennis Pardue</v>
      </c>
      <c r="D1037" s="8" t="str">
        <f>IFERROR(__xludf.DUMMYFUNCTION("""COMPUTED_VALUE"""),"Home Office")</f>
        <v>Home Office</v>
      </c>
      <c r="E1037" s="8" t="str">
        <f>IFERROR(__xludf.DUMMYFUNCTION("""COMPUTED_VALUE"""),"Central")</f>
        <v>Central</v>
      </c>
      <c r="F1037" s="10">
        <f>IFERROR(__xludf.DUMMYFUNCTION("""COMPUTED_VALUE"""),359.058)</f>
        <v>359.058</v>
      </c>
      <c r="G1037" s="11">
        <f>IFERROR(__xludf.DUMMYFUNCTION("""COMPUTED_VALUE"""),3.0)</f>
        <v>3</v>
      </c>
      <c r="H1037" s="11">
        <f>IFERROR(__xludf.DUMMYFUNCTION("""COMPUTED_VALUE"""),-35.9058)</f>
        <v>-35.9058</v>
      </c>
    </row>
    <row r="1038">
      <c r="A1038" s="8" t="str">
        <f>IFERROR(__xludf.DUMMYFUNCTION("""COMPUTED_VALUE"""),"CA-2015-118444")</f>
        <v>CA-2015-118444</v>
      </c>
      <c r="B1038" s="9">
        <f>IFERROR(__xludf.DUMMYFUNCTION("""COMPUTED_VALUE"""),42313.0)</f>
        <v>42313</v>
      </c>
      <c r="C1038" s="8" t="str">
        <f>IFERROR(__xludf.DUMMYFUNCTION("""COMPUTED_VALUE"""),"Valerie Dominguez")</f>
        <v>Valerie Dominguez</v>
      </c>
      <c r="D1038" s="8" t="str">
        <f>IFERROR(__xludf.DUMMYFUNCTION("""COMPUTED_VALUE"""),"Consumer")</f>
        <v>Consumer</v>
      </c>
      <c r="E1038" s="8" t="str">
        <f>IFERROR(__xludf.DUMMYFUNCTION("""COMPUTED_VALUE"""),"South")</f>
        <v>South</v>
      </c>
      <c r="F1038" s="10">
        <f>IFERROR(__xludf.DUMMYFUNCTION("""COMPUTED_VALUE"""),387.136)</f>
        <v>387.136</v>
      </c>
      <c r="G1038" s="11">
        <f>IFERROR(__xludf.DUMMYFUNCTION("""COMPUTED_VALUE"""),4.0)</f>
        <v>4</v>
      </c>
      <c r="H1038" s="11">
        <f>IFERROR(__xludf.DUMMYFUNCTION("""COMPUTED_VALUE"""),24.196)</f>
        <v>24.196</v>
      </c>
    </row>
    <row r="1039">
      <c r="A1039" s="8" t="str">
        <f>IFERROR(__xludf.DUMMYFUNCTION("""COMPUTED_VALUE"""),"CA-2015-118738")</f>
        <v>CA-2015-118738</v>
      </c>
      <c r="B1039" s="9">
        <f>IFERROR(__xludf.DUMMYFUNCTION("""COMPUTED_VALUE"""),42301.0)</f>
        <v>42301</v>
      </c>
      <c r="C1039" s="8" t="str">
        <f>IFERROR(__xludf.DUMMYFUNCTION("""COMPUTED_VALUE"""),"Andrew Gjertsen")</f>
        <v>Andrew Gjertsen</v>
      </c>
      <c r="D1039" s="8" t="str">
        <f>IFERROR(__xludf.DUMMYFUNCTION("""COMPUTED_VALUE"""),"Corporate")</f>
        <v>Corporate</v>
      </c>
      <c r="E1039" s="8" t="str">
        <f>IFERROR(__xludf.DUMMYFUNCTION("""COMPUTED_VALUE"""),"Central")</f>
        <v>Central</v>
      </c>
      <c r="F1039" s="10">
        <f>IFERROR(__xludf.DUMMYFUNCTION("""COMPUTED_VALUE"""),15.552)</f>
        <v>15.552</v>
      </c>
      <c r="G1039" s="11">
        <f>IFERROR(__xludf.DUMMYFUNCTION("""COMPUTED_VALUE"""),3.0)</f>
        <v>3</v>
      </c>
      <c r="H1039" s="11">
        <f>IFERROR(__xludf.DUMMYFUNCTION("""COMPUTED_VALUE"""),5.4432)</f>
        <v>5.4432</v>
      </c>
    </row>
    <row r="1040">
      <c r="A1040" s="8" t="str">
        <f>IFERROR(__xludf.DUMMYFUNCTION("""COMPUTED_VALUE"""),"CA-2015-118843")</f>
        <v>CA-2015-118843</v>
      </c>
      <c r="B1040" s="9">
        <f>IFERROR(__xludf.DUMMYFUNCTION("""COMPUTED_VALUE"""),42260.0)</f>
        <v>42260</v>
      </c>
      <c r="C1040" s="8" t="str">
        <f>IFERROR(__xludf.DUMMYFUNCTION("""COMPUTED_VALUE"""),"Jonathan Howell")</f>
        <v>Jonathan Howell</v>
      </c>
      <c r="D1040" s="8" t="str">
        <f>IFERROR(__xludf.DUMMYFUNCTION("""COMPUTED_VALUE"""),"Consumer")</f>
        <v>Consumer</v>
      </c>
      <c r="E1040" s="8" t="str">
        <f>IFERROR(__xludf.DUMMYFUNCTION("""COMPUTED_VALUE"""),"South")</f>
        <v>South</v>
      </c>
      <c r="F1040" s="10">
        <f>IFERROR(__xludf.DUMMYFUNCTION("""COMPUTED_VALUE"""),129.93)</f>
        <v>129.93</v>
      </c>
      <c r="G1040" s="11">
        <f>IFERROR(__xludf.DUMMYFUNCTION("""COMPUTED_VALUE"""),3.0)</f>
        <v>3</v>
      </c>
      <c r="H1040" s="11">
        <f>IFERROR(__xludf.DUMMYFUNCTION("""COMPUTED_VALUE"""),12.993)</f>
        <v>12.993</v>
      </c>
    </row>
    <row r="1041">
      <c r="A1041" s="8" t="str">
        <f>IFERROR(__xludf.DUMMYFUNCTION("""COMPUTED_VALUE"""),"CA-2015-118871")</f>
        <v>CA-2015-118871</v>
      </c>
      <c r="B1041" s="9">
        <f>IFERROR(__xludf.DUMMYFUNCTION("""COMPUTED_VALUE"""),42342.0)</f>
        <v>42342</v>
      </c>
      <c r="C1041" s="8" t="str">
        <f>IFERROR(__xludf.DUMMYFUNCTION("""COMPUTED_VALUE"""),"Harry Marie")</f>
        <v>Harry Marie</v>
      </c>
      <c r="D1041" s="8" t="str">
        <f>IFERROR(__xludf.DUMMYFUNCTION("""COMPUTED_VALUE"""),"Corporate")</f>
        <v>Corporate</v>
      </c>
      <c r="E1041" s="8" t="str">
        <f>IFERROR(__xludf.DUMMYFUNCTION("""COMPUTED_VALUE"""),"West")</f>
        <v>West</v>
      </c>
      <c r="F1041" s="10">
        <f>IFERROR(__xludf.DUMMYFUNCTION("""COMPUTED_VALUE"""),271.44)</f>
        <v>271.44</v>
      </c>
      <c r="G1041" s="11">
        <f>IFERROR(__xludf.DUMMYFUNCTION("""COMPUTED_VALUE"""),3.0)</f>
        <v>3</v>
      </c>
      <c r="H1041" s="11">
        <f>IFERROR(__xludf.DUMMYFUNCTION("""COMPUTED_VALUE"""),122.148)</f>
        <v>122.148</v>
      </c>
    </row>
    <row r="1042">
      <c r="A1042" s="8" t="str">
        <f>IFERROR(__xludf.DUMMYFUNCTION("""COMPUTED_VALUE"""),"CA-2015-118948")</f>
        <v>CA-2015-118948</v>
      </c>
      <c r="B1042" s="9">
        <f>IFERROR(__xludf.DUMMYFUNCTION("""COMPUTED_VALUE"""),42152.0)</f>
        <v>42152</v>
      </c>
      <c r="C1042" s="8" t="str">
        <f>IFERROR(__xludf.DUMMYFUNCTION("""COMPUTED_VALUE"""),"Neil Knudson")</f>
        <v>Neil Knudson</v>
      </c>
      <c r="D1042" s="8" t="str">
        <f>IFERROR(__xludf.DUMMYFUNCTION("""COMPUTED_VALUE"""),"Home Office")</f>
        <v>Home Office</v>
      </c>
      <c r="E1042" s="8" t="str">
        <f>IFERROR(__xludf.DUMMYFUNCTION("""COMPUTED_VALUE"""),"West")</f>
        <v>West</v>
      </c>
      <c r="F1042" s="10">
        <f>IFERROR(__xludf.DUMMYFUNCTION("""COMPUTED_VALUE"""),6.63)</f>
        <v>6.63</v>
      </c>
      <c r="G1042" s="11">
        <f>IFERROR(__xludf.DUMMYFUNCTION("""COMPUTED_VALUE"""),3.0)</f>
        <v>3</v>
      </c>
      <c r="H1042" s="11">
        <f>IFERROR(__xludf.DUMMYFUNCTION("""COMPUTED_VALUE"""),1.7901)</f>
        <v>1.7901</v>
      </c>
    </row>
    <row r="1043">
      <c r="A1043" s="8" t="str">
        <f>IFERROR(__xludf.DUMMYFUNCTION("""COMPUTED_VALUE"""),"CA-2015-118955")</f>
        <v>CA-2015-118955</v>
      </c>
      <c r="B1043" s="9">
        <f>IFERROR(__xludf.DUMMYFUNCTION("""COMPUTED_VALUE"""),42171.0)</f>
        <v>42171</v>
      </c>
      <c r="C1043" s="8" t="str">
        <f>IFERROR(__xludf.DUMMYFUNCTION("""COMPUTED_VALUE"""),"Lycoris Saunders")</f>
        <v>Lycoris Saunders</v>
      </c>
      <c r="D1043" s="8" t="str">
        <f>IFERROR(__xludf.DUMMYFUNCTION("""COMPUTED_VALUE"""),"Consumer")</f>
        <v>Consumer</v>
      </c>
      <c r="E1043" s="8" t="str">
        <f>IFERROR(__xludf.DUMMYFUNCTION("""COMPUTED_VALUE"""),"Central")</f>
        <v>Central</v>
      </c>
      <c r="F1043" s="10">
        <f>IFERROR(__xludf.DUMMYFUNCTION("""COMPUTED_VALUE"""),28.752)</f>
        <v>28.752</v>
      </c>
      <c r="G1043" s="11">
        <f>IFERROR(__xludf.DUMMYFUNCTION("""COMPUTED_VALUE"""),3.0)</f>
        <v>3</v>
      </c>
      <c r="H1043" s="11">
        <f>IFERROR(__xludf.DUMMYFUNCTION("""COMPUTED_VALUE"""),9.3444)</f>
        <v>9.3444</v>
      </c>
    </row>
    <row r="1044">
      <c r="A1044" s="8" t="str">
        <f>IFERROR(__xludf.DUMMYFUNCTION("""COMPUTED_VALUE"""),"CA-2015-119102")</f>
        <v>CA-2015-119102</v>
      </c>
      <c r="B1044" s="9">
        <f>IFERROR(__xludf.DUMMYFUNCTION("""COMPUTED_VALUE"""),42147.0)</f>
        <v>42147</v>
      </c>
      <c r="C1044" s="8" t="str">
        <f>IFERROR(__xludf.DUMMYFUNCTION("""COMPUTED_VALUE"""),"Kristen Hastings")</f>
        <v>Kristen Hastings</v>
      </c>
      <c r="D1044" s="8" t="str">
        <f>IFERROR(__xludf.DUMMYFUNCTION("""COMPUTED_VALUE"""),"Corporate")</f>
        <v>Corporate</v>
      </c>
      <c r="E1044" s="8" t="str">
        <f>IFERROR(__xludf.DUMMYFUNCTION("""COMPUTED_VALUE"""),"East")</f>
        <v>East</v>
      </c>
      <c r="F1044" s="10">
        <f>IFERROR(__xludf.DUMMYFUNCTION("""COMPUTED_VALUE"""),51.45)</f>
        <v>51.45</v>
      </c>
      <c r="G1044" s="11">
        <f>IFERROR(__xludf.DUMMYFUNCTION("""COMPUTED_VALUE"""),3.0)</f>
        <v>3</v>
      </c>
      <c r="H1044" s="11">
        <f>IFERROR(__xludf.DUMMYFUNCTION("""COMPUTED_VALUE"""),13.8915)</f>
        <v>13.8915</v>
      </c>
    </row>
    <row r="1045">
      <c r="A1045" s="8" t="str">
        <f>IFERROR(__xludf.DUMMYFUNCTION("""COMPUTED_VALUE"""),"CA-2015-119214")</f>
        <v>CA-2015-119214</v>
      </c>
      <c r="B1045" s="9">
        <f>IFERROR(__xludf.DUMMYFUNCTION("""COMPUTED_VALUE"""),42027.0)</f>
        <v>42027</v>
      </c>
      <c r="C1045" s="8" t="str">
        <f>IFERROR(__xludf.DUMMYFUNCTION("""COMPUTED_VALUE"""),"Carl Weiss")</f>
        <v>Carl Weiss</v>
      </c>
      <c r="D1045" s="8" t="str">
        <f>IFERROR(__xludf.DUMMYFUNCTION("""COMPUTED_VALUE"""),"Home Office")</f>
        <v>Home Office</v>
      </c>
      <c r="E1045" s="8" t="str">
        <f>IFERROR(__xludf.DUMMYFUNCTION("""COMPUTED_VALUE"""),"West")</f>
        <v>West</v>
      </c>
      <c r="F1045" s="10">
        <f>IFERROR(__xludf.DUMMYFUNCTION("""COMPUTED_VALUE"""),29.04)</f>
        <v>29.04</v>
      </c>
      <c r="G1045" s="11">
        <f>IFERROR(__xludf.DUMMYFUNCTION("""COMPUTED_VALUE"""),3.0)</f>
        <v>3</v>
      </c>
      <c r="H1045" s="11">
        <f>IFERROR(__xludf.DUMMYFUNCTION("""COMPUTED_VALUE"""),13.9392)</f>
        <v>13.9392</v>
      </c>
    </row>
    <row r="1046">
      <c r="A1046" s="8" t="str">
        <f>IFERROR(__xludf.DUMMYFUNCTION("""COMPUTED_VALUE"""),"CA-2015-119291")</f>
        <v>CA-2015-119291</v>
      </c>
      <c r="B1046" s="9">
        <f>IFERROR(__xludf.DUMMYFUNCTION("""COMPUTED_VALUE"""),42138.0)</f>
        <v>42138</v>
      </c>
      <c r="C1046" s="8" t="str">
        <f>IFERROR(__xludf.DUMMYFUNCTION("""COMPUTED_VALUE"""),"Jesus Ocampo")</f>
        <v>Jesus Ocampo</v>
      </c>
      <c r="D1046" s="8" t="str">
        <f>IFERROR(__xludf.DUMMYFUNCTION("""COMPUTED_VALUE"""),"Home Office")</f>
        <v>Home Office</v>
      </c>
      <c r="E1046" s="8" t="str">
        <f>IFERROR(__xludf.DUMMYFUNCTION("""COMPUTED_VALUE"""),"East")</f>
        <v>East</v>
      </c>
      <c r="F1046" s="10">
        <f>IFERROR(__xludf.DUMMYFUNCTION("""COMPUTED_VALUE"""),198.272)</f>
        <v>198.272</v>
      </c>
      <c r="G1046" s="11">
        <f>IFERROR(__xludf.DUMMYFUNCTION("""COMPUTED_VALUE"""),8.0)</f>
        <v>8</v>
      </c>
      <c r="H1046" s="11">
        <f>IFERROR(__xludf.DUMMYFUNCTION("""COMPUTED_VALUE"""),17.3488)</f>
        <v>17.3488</v>
      </c>
    </row>
    <row r="1047">
      <c r="A1047" s="8" t="str">
        <f>IFERROR(__xludf.DUMMYFUNCTION("""COMPUTED_VALUE"""),"CA-2015-119480")</f>
        <v>CA-2015-119480</v>
      </c>
      <c r="B1047" s="9">
        <f>IFERROR(__xludf.DUMMYFUNCTION("""COMPUTED_VALUE"""),42013.0)</f>
        <v>42013</v>
      </c>
      <c r="C1047" s="8" t="str">
        <f>IFERROR(__xludf.DUMMYFUNCTION("""COMPUTED_VALUE"""),"Craig Carroll")</f>
        <v>Craig Carroll</v>
      </c>
      <c r="D1047" s="8" t="str">
        <f>IFERROR(__xludf.DUMMYFUNCTION("""COMPUTED_VALUE"""),"Consumer")</f>
        <v>Consumer</v>
      </c>
      <c r="E1047" s="8" t="str">
        <f>IFERROR(__xludf.DUMMYFUNCTION("""COMPUTED_VALUE"""),"South")</f>
        <v>South</v>
      </c>
      <c r="F1047" s="10">
        <f>IFERROR(__xludf.DUMMYFUNCTION("""COMPUTED_VALUE"""),106.32)</f>
        <v>106.32</v>
      </c>
      <c r="G1047" s="11">
        <f>IFERROR(__xludf.DUMMYFUNCTION("""COMPUTED_VALUE"""),3.0)</f>
        <v>3</v>
      </c>
      <c r="H1047" s="11">
        <f>IFERROR(__xludf.DUMMYFUNCTION("""COMPUTED_VALUE"""),49.9704)</f>
        <v>49.9704</v>
      </c>
    </row>
    <row r="1048">
      <c r="A1048" s="8" t="str">
        <f>IFERROR(__xludf.DUMMYFUNCTION("""COMPUTED_VALUE"""),"CA-2015-119508")</f>
        <v>CA-2015-119508</v>
      </c>
      <c r="B1048" s="9">
        <f>IFERROR(__xludf.DUMMYFUNCTION("""COMPUTED_VALUE"""),42342.0)</f>
        <v>42342</v>
      </c>
      <c r="C1048" s="8" t="str">
        <f>IFERROR(__xludf.DUMMYFUNCTION("""COMPUTED_VALUE"""),"Tracy Zic")</f>
        <v>Tracy Zic</v>
      </c>
      <c r="D1048" s="8" t="str">
        <f>IFERROR(__xludf.DUMMYFUNCTION("""COMPUTED_VALUE"""),"Consumer")</f>
        <v>Consumer</v>
      </c>
      <c r="E1048" s="8" t="str">
        <f>IFERROR(__xludf.DUMMYFUNCTION("""COMPUTED_VALUE"""),"West")</f>
        <v>West</v>
      </c>
      <c r="F1048" s="10">
        <f>IFERROR(__xludf.DUMMYFUNCTION("""COMPUTED_VALUE"""),16.9)</f>
        <v>16.9</v>
      </c>
      <c r="G1048" s="11">
        <f>IFERROR(__xludf.DUMMYFUNCTION("""COMPUTED_VALUE"""),5.0)</f>
        <v>5</v>
      </c>
      <c r="H1048" s="11">
        <f>IFERROR(__xludf.DUMMYFUNCTION("""COMPUTED_VALUE"""),6.253)</f>
        <v>6.253</v>
      </c>
    </row>
    <row r="1049">
      <c r="A1049" s="8" t="str">
        <f>IFERROR(__xludf.DUMMYFUNCTION("""COMPUTED_VALUE"""),"CA-2015-119550")</f>
        <v>CA-2015-119550</v>
      </c>
      <c r="B1049" s="9">
        <f>IFERROR(__xludf.DUMMYFUNCTION("""COMPUTED_VALUE"""),42364.0)</f>
        <v>42364</v>
      </c>
      <c r="C1049" s="8" t="str">
        <f>IFERROR(__xludf.DUMMYFUNCTION("""COMPUTED_VALUE"""),"Roger Barcio")</f>
        <v>Roger Barcio</v>
      </c>
      <c r="D1049" s="8" t="str">
        <f>IFERROR(__xludf.DUMMYFUNCTION("""COMPUTED_VALUE"""),"Home Office")</f>
        <v>Home Office</v>
      </c>
      <c r="E1049" s="8" t="str">
        <f>IFERROR(__xludf.DUMMYFUNCTION("""COMPUTED_VALUE"""),"Central")</f>
        <v>Central</v>
      </c>
      <c r="F1049" s="10">
        <f>IFERROR(__xludf.DUMMYFUNCTION("""COMPUTED_VALUE"""),275.058)</f>
        <v>275.058</v>
      </c>
      <c r="G1049" s="11">
        <f>IFERROR(__xludf.DUMMYFUNCTION("""COMPUTED_VALUE"""),3.0)</f>
        <v>3</v>
      </c>
      <c r="H1049" s="11">
        <f>IFERROR(__xludf.DUMMYFUNCTION("""COMPUTED_VALUE"""),-90.3762)</f>
        <v>-90.3762</v>
      </c>
    </row>
    <row r="1050">
      <c r="A1050" s="8" t="str">
        <f>IFERROR(__xludf.DUMMYFUNCTION("""COMPUTED_VALUE"""),"CA-2015-119592")</f>
        <v>CA-2015-119592</v>
      </c>
      <c r="B1050" s="9">
        <f>IFERROR(__xludf.DUMMYFUNCTION("""COMPUTED_VALUE"""),42352.0)</f>
        <v>42352</v>
      </c>
      <c r="C1050" s="8" t="str">
        <f>IFERROR(__xludf.DUMMYFUNCTION("""COMPUTED_VALUE"""),"Muhammed MacIntyre")</f>
        <v>Muhammed MacIntyre</v>
      </c>
      <c r="D1050" s="8" t="str">
        <f>IFERROR(__xludf.DUMMYFUNCTION("""COMPUTED_VALUE"""),"Corporate")</f>
        <v>Corporate</v>
      </c>
      <c r="E1050" s="8" t="str">
        <f>IFERROR(__xludf.DUMMYFUNCTION("""COMPUTED_VALUE"""),"South")</f>
        <v>South</v>
      </c>
      <c r="F1050" s="10">
        <f>IFERROR(__xludf.DUMMYFUNCTION("""COMPUTED_VALUE"""),3.76)</f>
        <v>3.76</v>
      </c>
      <c r="G1050" s="11">
        <f>IFERROR(__xludf.DUMMYFUNCTION("""COMPUTED_VALUE"""),2.0)</f>
        <v>2</v>
      </c>
      <c r="H1050" s="11">
        <f>IFERROR(__xludf.DUMMYFUNCTION("""COMPUTED_VALUE"""),1.8048)</f>
        <v>1.8048</v>
      </c>
    </row>
    <row r="1051">
      <c r="A1051" s="8" t="str">
        <f>IFERROR(__xludf.DUMMYFUNCTION("""COMPUTED_VALUE"""),"CA-2015-119627")</f>
        <v>CA-2015-119627</v>
      </c>
      <c r="B1051" s="9">
        <f>IFERROR(__xludf.DUMMYFUNCTION("""COMPUTED_VALUE"""),42233.0)</f>
        <v>42233</v>
      </c>
      <c r="C1051" s="8" t="str">
        <f>IFERROR(__xludf.DUMMYFUNCTION("""COMPUTED_VALUE"""),"Steven Cartwright")</f>
        <v>Steven Cartwright</v>
      </c>
      <c r="D1051" s="8" t="str">
        <f>IFERROR(__xludf.DUMMYFUNCTION("""COMPUTED_VALUE"""),"Consumer")</f>
        <v>Consumer</v>
      </c>
      <c r="E1051" s="8" t="str">
        <f>IFERROR(__xludf.DUMMYFUNCTION("""COMPUTED_VALUE"""),"West")</f>
        <v>West</v>
      </c>
      <c r="F1051" s="10">
        <f>IFERROR(__xludf.DUMMYFUNCTION("""COMPUTED_VALUE"""),30.08)</f>
        <v>30.08</v>
      </c>
      <c r="G1051" s="11">
        <f>IFERROR(__xludf.DUMMYFUNCTION("""COMPUTED_VALUE"""),2.0)</f>
        <v>2</v>
      </c>
      <c r="H1051" s="11">
        <f>IFERROR(__xludf.DUMMYFUNCTION("""COMPUTED_VALUE"""),-5.264)</f>
        <v>-5.264</v>
      </c>
    </row>
    <row r="1052">
      <c r="A1052" s="8" t="str">
        <f>IFERROR(__xludf.DUMMYFUNCTION("""COMPUTED_VALUE"""),"CA-2015-119634")</f>
        <v>CA-2015-119634</v>
      </c>
      <c r="B1052" s="9">
        <f>IFERROR(__xludf.DUMMYFUNCTION("""COMPUTED_VALUE"""),42227.0)</f>
        <v>42227</v>
      </c>
      <c r="C1052" s="8" t="str">
        <f>IFERROR(__xludf.DUMMYFUNCTION("""COMPUTED_VALUE"""),"Barry Weirich")</f>
        <v>Barry Weirich</v>
      </c>
      <c r="D1052" s="8" t="str">
        <f>IFERROR(__xludf.DUMMYFUNCTION("""COMPUTED_VALUE"""),"Consumer")</f>
        <v>Consumer</v>
      </c>
      <c r="E1052" s="8" t="str">
        <f>IFERROR(__xludf.DUMMYFUNCTION("""COMPUTED_VALUE"""),"South")</f>
        <v>South</v>
      </c>
      <c r="F1052" s="10">
        <f>IFERROR(__xludf.DUMMYFUNCTION("""COMPUTED_VALUE"""),46.152)</f>
        <v>46.152</v>
      </c>
      <c r="G1052" s="11">
        <f>IFERROR(__xludf.DUMMYFUNCTION("""COMPUTED_VALUE"""),3.0)</f>
        <v>3</v>
      </c>
      <c r="H1052" s="11">
        <f>IFERROR(__xludf.DUMMYFUNCTION("""COMPUTED_VALUE"""),12.1149)</f>
        <v>12.1149</v>
      </c>
    </row>
    <row r="1053">
      <c r="A1053" s="8" t="str">
        <f>IFERROR(__xludf.DUMMYFUNCTION("""COMPUTED_VALUE"""),"CA-2015-119690")</f>
        <v>CA-2015-119690</v>
      </c>
      <c r="B1053" s="9">
        <f>IFERROR(__xludf.DUMMYFUNCTION("""COMPUTED_VALUE"""),42180.0)</f>
        <v>42180</v>
      </c>
      <c r="C1053" s="8" t="str">
        <f>IFERROR(__xludf.DUMMYFUNCTION("""COMPUTED_VALUE"""),"Mark Van Huff")</f>
        <v>Mark Van Huff</v>
      </c>
      <c r="D1053" s="8" t="str">
        <f>IFERROR(__xludf.DUMMYFUNCTION("""COMPUTED_VALUE"""),"Consumer")</f>
        <v>Consumer</v>
      </c>
      <c r="E1053" s="8" t="str">
        <f>IFERROR(__xludf.DUMMYFUNCTION("""COMPUTED_VALUE"""),"Central")</f>
        <v>Central</v>
      </c>
      <c r="F1053" s="10">
        <f>IFERROR(__xludf.DUMMYFUNCTION("""COMPUTED_VALUE"""),47.952)</f>
        <v>47.952</v>
      </c>
      <c r="G1053" s="11">
        <f>IFERROR(__xludf.DUMMYFUNCTION("""COMPUTED_VALUE"""),3.0)</f>
        <v>3</v>
      </c>
      <c r="H1053" s="11">
        <f>IFERROR(__xludf.DUMMYFUNCTION("""COMPUTED_VALUE"""),16.1838)</f>
        <v>16.1838</v>
      </c>
    </row>
    <row r="1054">
      <c r="A1054" s="8" t="str">
        <f>IFERROR(__xludf.DUMMYFUNCTION("""COMPUTED_VALUE"""),"CA-2015-119697")</f>
        <v>CA-2015-119697</v>
      </c>
      <c r="B1054" s="9">
        <f>IFERROR(__xludf.DUMMYFUNCTION("""COMPUTED_VALUE"""),42366.0)</f>
        <v>42366</v>
      </c>
      <c r="C1054" s="8" t="str">
        <f>IFERROR(__xludf.DUMMYFUNCTION("""COMPUTED_VALUE"""),"Eric Murdock")</f>
        <v>Eric Murdock</v>
      </c>
      <c r="D1054" s="8" t="str">
        <f>IFERROR(__xludf.DUMMYFUNCTION("""COMPUTED_VALUE"""),"Consumer")</f>
        <v>Consumer</v>
      </c>
      <c r="E1054" s="8" t="str">
        <f>IFERROR(__xludf.DUMMYFUNCTION("""COMPUTED_VALUE"""),"East")</f>
        <v>East</v>
      </c>
      <c r="F1054" s="10">
        <f>IFERROR(__xludf.DUMMYFUNCTION("""COMPUTED_VALUE"""),54.384)</f>
        <v>54.384</v>
      </c>
      <c r="G1054" s="11">
        <f>IFERROR(__xludf.DUMMYFUNCTION("""COMPUTED_VALUE"""),2.0)</f>
        <v>2</v>
      </c>
      <c r="H1054" s="11">
        <f>IFERROR(__xludf.DUMMYFUNCTION("""COMPUTED_VALUE"""),1.3596)</f>
        <v>1.3596</v>
      </c>
    </row>
    <row r="1055">
      <c r="A1055" s="8" t="str">
        <f>IFERROR(__xludf.DUMMYFUNCTION("""COMPUTED_VALUE"""),"CA-2015-119879")</f>
        <v>CA-2015-119879</v>
      </c>
      <c r="B1055" s="9">
        <f>IFERROR(__xludf.DUMMYFUNCTION("""COMPUTED_VALUE"""),42329.0)</f>
        <v>42329</v>
      </c>
      <c r="C1055" s="8" t="str">
        <f>IFERROR(__xludf.DUMMYFUNCTION("""COMPUTED_VALUE"""),"Shahid Shariari")</f>
        <v>Shahid Shariari</v>
      </c>
      <c r="D1055" s="8" t="str">
        <f>IFERROR(__xludf.DUMMYFUNCTION("""COMPUTED_VALUE"""),"Consumer")</f>
        <v>Consumer</v>
      </c>
      <c r="E1055" s="8" t="str">
        <f>IFERROR(__xludf.DUMMYFUNCTION("""COMPUTED_VALUE"""),"East")</f>
        <v>East</v>
      </c>
      <c r="F1055" s="10">
        <f>IFERROR(__xludf.DUMMYFUNCTION("""COMPUTED_VALUE"""),1252.704)</f>
        <v>1252.704</v>
      </c>
      <c r="G1055" s="11">
        <f>IFERROR(__xludf.DUMMYFUNCTION("""COMPUTED_VALUE"""),8.0)</f>
        <v>8</v>
      </c>
      <c r="H1055" s="11">
        <f>IFERROR(__xludf.DUMMYFUNCTION("""COMPUTED_VALUE"""),-480.2032)</f>
        <v>-480.2032</v>
      </c>
    </row>
    <row r="1056">
      <c r="A1056" s="8" t="str">
        <f>IFERROR(__xludf.DUMMYFUNCTION("""COMPUTED_VALUE"""),"CA-2015-119907")</f>
        <v>CA-2015-119907</v>
      </c>
      <c r="B1056" s="9">
        <f>IFERROR(__xludf.DUMMYFUNCTION("""COMPUTED_VALUE"""),42339.0)</f>
        <v>42339</v>
      </c>
      <c r="C1056" s="8" t="str">
        <f>IFERROR(__xludf.DUMMYFUNCTION("""COMPUTED_VALUE"""),"Logan Currie")</f>
        <v>Logan Currie</v>
      </c>
      <c r="D1056" s="8" t="str">
        <f>IFERROR(__xludf.DUMMYFUNCTION("""COMPUTED_VALUE"""),"Consumer")</f>
        <v>Consumer</v>
      </c>
      <c r="E1056" s="8" t="str">
        <f>IFERROR(__xludf.DUMMYFUNCTION("""COMPUTED_VALUE"""),"West")</f>
        <v>West</v>
      </c>
      <c r="F1056" s="10">
        <f>IFERROR(__xludf.DUMMYFUNCTION("""COMPUTED_VALUE"""),55.424)</f>
        <v>55.424</v>
      </c>
      <c r="G1056" s="11">
        <f>IFERROR(__xludf.DUMMYFUNCTION("""COMPUTED_VALUE"""),2.0)</f>
        <v>2</v>
      </c>
      <c r="H1056" s="11">
        <f>IFERROR(__xludf.DUMMYFUNCTION("""COMPUTED_VALUE"""),19.3984)</f>
        <v>19.3984</v>
      </c>
    </row>
    <row r="1057">
      <c r="A1057" s="8" t="str">
        <f>IFERROR(__xludf.DUMMYFUNCTION("""COMPUTED_VALUE"""),"CA-2015-119942")</f>
        <v>CA-2015-119942</v>
      </c>
      <c r="B1057" s="9">
        <f>IFERROR(__xludf.DUMMYFUNCTION("""COMPUTED_VALUE"""),42099.0)</f>
        <v>42099</v>
      </c>
      <c r="C1057" s="8" t="str">
        <f>IFERROR(__xludf.DUMMYFUNCTION("""COMPUTED_VALUE"""),"Ted Trevino")</f>
        <v>Ted Trevino</v>
      </c>
      <c r="D1057" s="8" t="str">
        <f>IFERROR(__xludf.DUMMYFUNCTION("""COMPUTED_VALUE"""),"Consumer")</f>
        <v>Consumer</v>
      </c>
      <c r="E1057" s="8" t="str">
        <f>IFERROR(__xludf.DUMMYFUNCTION("""COMPUTED_VALUE"""),"East")</f>
        <v>East</v>
      </c>
      <c r="F1057" s="10">
        <f>IFERROR(__xludf.DUMMYFUNCTION("""COMPUTED_VALUE"""),23.904)</f>
        <v>23.904</v>
      </c>
      <c r="G1057" s="11">
        <f>IFERROR(__xludf.DUMMYFUNCTION("""COMPUTED_VALUE"""),6.0)</f>
        <v>6</v>
      </c>
      <c r="H1057" s="11">
        <f>IFERROR(__xludf.DUMMYFUNCTION("""COMPUTED_VALUE"""),7.7688)</f>
        <v>7.7688</v>
      </c>
    </row>
    <row r="1058">
      <c r="A1058" s="8" t="str">
        <f>IFERROR(__xludf.DUMMYFUNCTION("""COMPUTED_VALUE"""),"CA-2015-120103")</f>
        <v>CA-2015-120103</v>
      </c>
      <c r="B1058" s="9">
        <f>IFERROR(__xludf.DUMMYFUNCTION("""COMPUTED_VALUE"""),42362.0)</f>
        <v>42362</v>
      </c>
      <c r="C1058" s="8" t="str">
        <f>IFERROR(__xludf.DUMMYFUNCTION("""COMPUTED_VALUE"""),"Maribeth Schnelling")</f>
        <v>Maribeth Schnelling</v>
      </c>
      <c r="D1058" s="8" t="str">
        <f>IFERROR(__xludf.DUMMYFUNCTION("""COMPUTED_VALUE"""),"Consumer")</f>
        <v>Consumer</v>
      </c>
      <c r="E1058" s="8" t="str">
        <f>IFERROR(__xludf.DUMMYFUNCTION("""COMPUTED_VALUE"""),"West")</f>
        <v>West</v>
      </c>
      <c r="F1058" s="10">
        <f>IFERROR(__xludf.DUMMYFUNCTION("""COMPUTED_VALUE"""),106.232)</f>
        <v>106.232</v>
      </c>
      <c r="G1058" s="11">
        <f>IFERROR(__xludf.DUMMYFUNCTION("""COMPUTED_VALUE"""),7.0)</f>
        <v>7</v>
      </c>
      <c r="H1058" s="11">
        <f>IFERROR(__xludf.DUMMYFUNCTION("""COMPUTED_VALUE"""),37.1812)</f>
        <v>37.1812</v>
      </c>
    </row>
    <row r="1059">
      <c r="A1059" s="8" t="str">
        <f>IFERROR(__xludf.DUMMYFUNCTION("""COMPUTED_VALUE"""),"CA-2015-120320")</f>
        <v>CA-2015-120320</v>
      </c>
      <c r="B1059" s="9">
        <f>IFERROR(__xludf.DUMMYFUNCTION("""COMPUTED_VALUE"""),42068.0)</f>
        <v>42068</v>
      </c>
      <c r="C1059" s="8" t="str">
        <f>IFERROR(__xludf.DUMMYFUNCTION("""COMPUTED_VALUE"""),"Mike Vittorini")</f>
        <v>Mike Vittorini</v>
      </c>
      <c r="D1059" s="8" t="str">
        <f>IFERROR(__xludf.DUMMYFUNCTION("""COMPUTED_VALUE"""),"Consumer")</f>
        <v>Consumer</v>
      </c>
      <c r="E1059" s="8" t="str">
        <f>IFERROR(__xludf.DUMMYFUNCTION("""COMPUTED_VALUE"""),"Central")</f>
        <v>Central</v>
      </c>
      <c r="F1059" s="10">
        <f>IFERROR(__xludf.DUMMYFUNCTION("""COMPUTED_VALUE"""),31.92)</f>
        <v>31.92</v>
      </c>
      <c r="G1059" s="11">
        <f>IFERROR(__xludf.DUMMYFUNCTION("""COMPUTED_VALUE"""),2.0)</f>
        <v>2</v>
      </c>
      <c r="H1059" s="11">
        <f>IFERROR(__xludf.DUMMYFUNCTION("""COMPUTED_VALUE"""),2.394)</f>
        <v>2.394</v>
      </c>
    </row>
    <row r="1060">
      <c r="A1060" s="8" t="str">
        <f>IFERROR(__xludf.DUMMYFUNCTION("""COMPUTED_VALUE"""),"CA-2015-120341")</f>
        <v>CA-2015-120341</v>
      </c>
      <c r="B1060" s="9">
        <f>IFERROR(__xludf.DUMMYFUNCTION("""COMPUTED_VALUE"""),42273.0)</f>
        <v>42273</v>
      </c>
      <c r="C1060" s="8" t="str">
        <f>IFERROR(__xludf.DUMMYFUNCTION("""COMPUTED_VALUE"""),"Sarah Foster")</f>
        <v>Sarah Foster</v>
      </c>
      <c r="D1060" s="8" t="str">
        <f>IFERROR(__xludf.DUMMYFUNCTION("""COMPUTED_VALUE"""),"Consumer")</f>
        <v>Consumer</v>
      </c>
      <c r="E1060" s="8" t="str">
        <f>IFERROR(__xludf.DUMMYFUNCTION("""COMPUTED_VALUE"""),"East")</f>
        <v>East</v>
      </c>
      <c r="F1060" s="10">
        <f>IFERROR(__xludf.DUMMYFUNCTION("""COMPUTED_VALUE"""),121.104)</f>
        <v>121.104</v>
      </c>
      <c r="G1060" s="11">
        <f>IFERROR(__xludf.DUMMYFUNCTION("""COMPUTED_VALUE"""),6.0)</f>
        <v>6</v>
      </c>
      <c r="H1060" s="11">
        <f>IFERROR(__xludf.DUMMYFUNCTION("""COMPUTED_VALUE"""),-100.92)</f>
        <v>-100.92</v>
      </c>
    </row>
    <row r="1061">
      <c r="A1061" s="8" t="str">
        <f>IFERROR(__xludf.DUMMYFUNCTION("""COMPUTED_VALUE"""),"CA-2015-120362")</f>
        <v>CA-2015-120362</v>
      </c>
      <c r="B1061" s="9">
        <f>IFERROR(__xludf.DUMMYFUNCTION("""COMPUTED_VALUE"""),42261.0)</f>
        <v>42261</v>
      </c>
      <c r="C1061" s="8" t="str">
        <f>IFERROR(__xludf.DUMMYFUNCTION("""COMPUTED_VALUE"""),"Christina Anderson")</f>
        <v>Christina Anderson</v>
      </c>
      <c r="D1061" s="8" t="str">
        <f>IFERROR(__xludf.DUMMYFUNCTION("""COMPUTED_VALUE"""),"Consumer")</f>
        <v>Consumer</v>
      </c>
      <c r="E1061" s="8" t="str">
        <f>IFERROR(__xludf.DUMMYFUNCTION("""COMPUTED_VALUE"""),"West")</f>
        <v>West</v>
      </c>
      <c r="F1061" s="10">
        <f>IFERROR(__xludf.DUMMYFUNCTION("""COMPUTED_VALUE"""),912.75)</f>
        <v>912.75</v>
      </c>
      <c r="G1061" s="11">
        <f>IFERROR(__xludf.DUMMYFUNCTION("""COMPUTED_VALUE"""),5.0)</f>
        <v>5</v>
      </c>
      <c r="H1061" s="11">
        <f>IFERROR(__xludf.DUMMYFUNCTION("""COMPUTED_VALUE"""),118.6575)</f>
        <v>118.6575</v>
      </c>
    </row>
    <row r="1062">
      <c r="A1062" s="8" t="str">
        <f>IFERROR(__xludf.DUMMYFUNCTION("""COMPUTED_VALUE"""),"CA-2015-120397")</f>
        <v>CA-2015-120397</v>
      </c>
      <c r="B1062" s="9">
        <f>IFERROR(__xludf.DUMMYFUNCTION("""COMPUTED_VALUE"""),42187.0)</f>
        <v>42187</v>
      </c>
      <c r="C1062" s="8" t="str">
        <f>IFERROR(__xludf.DUMMYFUNCTION("""COMPUTED_VALUE"""),"Richard Bierner")</f>
        <v>Richard Bierner</v>
      </c>
      <c r="D1062" s="8" t="str">
        <f>IFERROR(__xludf.DUMMYFUNCTION("""COMPUTED_VALUE"""),"Consumer")</f>
        <v>Consumer</v>
      </c>
      <c r="E1062" s="8" t="str">
        <f>IFERROR(__xludf.DUMMYFUNCTION("""COMPUTED_VALUE"""),"Central")</f>
        <v>Central</v>
      </c>
      <c r="F1062" s="10">
        <f>IFERROR(__xludf.DUMMYFUNCTION("""COMPUTED_VALUE"""),32.784)</f>
        <v>32.784</v>
      </c>
      <c r="G1062" s="11">
        <f>IFERROR(__xludf.DUMMYFUNCTION("""COMPUTED_VALUE"""),4.0)</f>
        <v>4</v>
      </c>
      <c r="H1062" s="11">
        <f>IFERROR(__xludf.DUMMYFUNCTION("""COMPUTED_VALUE"""),-85.2384)</f>
        <v>-85.2384</v>
      </c>
    </row>
    <row r="1063">
      <c r="A1063" s="8" t="str">
        <f>IFERROR(__xludf.DUMMYFUNCTION("""COMPUTED_VALUE"""),"CA-2015-120439")</f>
        <v>CA-2015-120439</v>
      </c>
      <c r="B1063" s="9">
        <f>IFERROR(__xludf.DUMMYFUNCTION("""COMPUTED_VALUE"""),42169.0)</f>
        <v>42169</v>
      </c>
      <c r="C1063" s="8" t="str">
        <f>IFERROR(__xludf.DUMMYFUNCTION("""COMPUTED_VALUE"""),"Alan Dominguez")</f>
        <v>Alan Dominguez</v>
      </c>
      <c r="D1063" s="8" t="str">
        <f>IFERROR(__xludf.DUMMYFUNCTION("""COMPUTED_VALUE"""),"Home Office")</f>
        <v>Home Office</v>
      </c>
      <c r="E1063" s="8" t="str">
        <f>IFERROR(__xludf.DUMMYFUNCTION("""COMPUTED_VALUE"""),"East")</f>
        <v>East</v>
      </c>
      <c r="F1063" s="10">
        <f>IFERROR(__xludf.DUMMYFUNCTION("""COMPUTED_VALUE"""),51.072)</f>
        <v>51.072</v>
      </c>
      <c r="G1063" s="11">
        <f>IFERROR(__xludf.DUMMYFUNCTION("""COMPUTED_VALUE"""),6.0)</f>
        <v>6</v>
      </c>
      <c r="H1063" s="11">
        <f>IFERROR(__xludf.DUMMYFUNCTION("""COMPUTED_VALUE"""),5.1072)</f>
        <v>5.1072</v>
      </c>
    </row>
    <row r="1064">
      <c r="A1064" s="8" t="str">
        <f>IFERROR(__xludf.DUMMYFUNCTION("""COMPUTED_VALUE"""),"CA-2015-120446")</f>
        <v>CA-2015-120446</v>
      </c>
      <c r="B1064" s="9">
        <f>IFERROR(__xludf.DUMMYFUNCTION("""COMPUTED_VALUE"""),42324.0)</f>
        <v>42324</v>
      </c>
      <c r="C1064" s="8" t="str">
        <f>IFERROR(__xludf.DUMMYFUNCTION("""COMPUTED_VALUE"""),"John Grady")</f>
        <v>John Grady</v>
      </c>
      <c r="D1064" s="8" t="str">
        <f>IFERROR(__xludf.DUMMYFUNCTION("""COMPUTED_VALUE"""),"Corporate")</f>
        <v>Corporate</v>
      </c>
      <c r="E1064" s="8" t="str">
        <f>IFERROR(__xludf.DUMMYFUNCTION("""COMPUTED_VALUE"""),"West")</f>
        <v>West</v>
      </c>
      <c r="F1064" s="10">
        <f>IFERROR(__xludf.DUMMYFUNCTION("""COMPUTED_VALUE"""),18.9)</f>
        <v>18.9</v>
      </c>
      <c r="G1064" s="11">
        <f>IFERROR(__xludf.DUMMYFUNCTION("""COMPUTED_VALUE"""),3.0)</f>
        <v>3</v>
      </c>
      <c r="H1064" s="11">
        <f>IFERROR(__xludf.DUMMYFUNCTION("""COMPUTED_VALUE"""),8.694)</f>
        <v>8.694</v>
      </c>
    </row>
    <row r="1065">
      <c r="A1065" s="8" t="str">
        <f>IFERROR(__xludf.DUMMYFUNCTION("""COMPUTED_VALUE"""),"CA-2015-120516")</f>
        <v>CA-2015-120516</v>
      </c>
      <c r="B1065" s="9">
        <f>IFERROR(__xludf.DUMMYFUNCTION("""COMPUTED_VALUE"""),42229.0)</f>
        <v>42229</v>
      </c>
      <c r="C1065" s="8" t="str">
        <f>IFERROR(__xludf.DUMMYFUNCTION("""COMPUTED_VALUE"""),"Clytie Kelty")</f>
        <v>Clytie Kelty</v>
      </c>
      <c r="D1065" s="8" t="str">
        <f>IFERROR(__xludf.DUMMYFUNCTION("""COMPUTED_VALUE"""),"Consumer")</f>
        <v>Consumer</v>
      </c>
      <c r="E1065" s="8" t="str">
        <f>IFERROR(__xludf.DUMMYFUNCTION("""COMPUTED_VALUE"""),"South")</f>
        <v>South</v>
      </c>
      <c r="F1065" s="10">
        <f>IFERROR(__xludf.DUMMYFUNCTION("""COMPUTED_VALUE"""),5.64)</f>
        <v>5.64</v>
      </c>
      <c r="G1065" s="11">
        <f>IFERROR(__xludf.DUMMYFUNCTION("""COMPUTED_VALUE"""),3.0)</f>
        <v>3</v>
      </c>
      <c r="H1065" s="11">
        <f>IFERROR(__xludf.DUMMYFUNCTION("""COMPUTED_VALUE"""),2.7072)</f>
        <v>2.7072</v>
      </c>
    </row>
    <row r="1066">
      <c r="A1066" s="8" t="str">
        <f>IFERROR(__xludf.DUMMYFUNCTION("""COMPUTED_VALUE"""),"CA-2015-120551")</f>
        <v>CA-2015-120551</v>
      </c>
      <c r="B1066" s="9">
        <f>IFERROR(__xludf.DUMMYFUNCTION("""COMPUTED_VALUE"""),42107.0)</f>
        <v>42107</v>
      </c>
      <c r="C1066" s="8" t="str">
        <f>IFERROR(__xludf.DUMMYFUNCTION("""COMPUTED_VALUE"""),"Sonia Sunley")</f>
        <v>Sonia Sunley</v>
      </c>
      <c r="D1066" s="8" t="str">
        <f>IFERROR(__xludf.DUMMYFUNCTION("""COMPUTED_VALUE"""),"Consumer")</f>
        <v>Consumer</v>
      </c>
      <c r="E1066" s="8" t="str">
        <f>IFERROR(__xludf.DUMMYFUNCTION("""COMPUTED_VALUE"""),"Central")</f>
        <v>Central</v>
      </c>
      <c r="F1066" s="10">
        <f>IFERROR(__xludf.DUMMYFUNCTION("""COMPUTED_VALUE"""),17.43)</f>
        <v>17.43</v>
      </c>
      <c r="G1066" s="11">
        <f>IFERROR(__xludf.DUMMYFUNCTION("""COMPUTED_VALUE"""),3.0)</f>
        <v>3</v>
      </c>
      <c r="H1066" s="11">
        <f>IFERROR(__xludf.DUMMYFUNCTION("""COMPUTED_VALUE"""),8.0178)</f>
        <v>8.0178</v>
      </c>
    </row>
    <row r="1067">
      <c r="A1067" s="8" t="str">
        <f>IFERROR(__xludf.DUMMYFUNCTION("""COMPUTED_VALUE"""),"CA-2015-120621")</f>
        <v>CA-2015-120621</v>
      </c>
      <c r="B1067" s="9">
        <f>IFERROR(__xludf.DUMMYFUNCTION("""COMPUTED_VALUE"""),42084.0)</f>
        <v>42084</v>
      </c>
      <c r="C1067" s="8" t="str">
        <f>IFERROR(__xludf.DUMMYFUNCTION("""COMPUTED_VALUE"""),"Julia West")</f>
        <v>Julia West</v>
      </c>
      <c r="D1067" s="8" t="str">
        <f>IFERROR(__xludf.DUMMYFUNCTION("""COMPUTED_VALUE"""),"Consumer")</f>
        <v>Consumer</v>
      </c>
      <c r="E1067" s="8" t="str">
        <f>IFERROR(__xludf.DUMMYFUNCTION("""COMPUTED_VALUE"""),"South")</f>
        <v>South</v>
      </c>
      <c r="F1067" s="10">
        <f>IFERROR(__xludf.DUMMYFUNCTION("""COMPUTED_VALUE"""),962.08)</f>
        <v>962.08</v>
      </c>
      <c r="G1067" s="11">
        <f>IFERROR(__xludf.DUMMYFUNCTION("""COMPUTED_VALUE"""),4.0)</f>
        <v>4</v>
      </c>
      <c r="H1067" s="11">
        <f>IFERROR(__xludf.DUMMYFUNCTION("""COMPUTED_VALUE"""),156.338)</f>
        <v>156.338</v>
      </c>
    </row>
    <row r="1068">
      <c r="A1068" s="8" t="str">
        <f>IFERROR(__xludf.DUMMYFUNCTION("""COMPUTED_VALUE"""),"CA-2015-120677")</f>
        <v>CA-2015-120677</v>
      </c>
      <c r="B1068" s="9">
        <f>IFERROR(__xludf.DUMMYFUNCTION("""COMPUTED_VALUE"""),42155.0)</f>
        <v>42155</v>
      </c>
      <c r="C1068" s="8" t="str">
        <f>IFERROR(__xludf.DUMMYFUNCTION("""COMPUTED_VALUE"""),"Bill Donatelli")</f>
        <v>Bill Donatelli</v>
      </c>
      <c r="D1068" s="8" t="str">
        <f>IFERROR(__xludf.DUMMYFUNCTION("""COMPUTED_VALUE"""),"Consumer")</f>
        <v>Consumer</v>
      </c>
      <c r="E1068" s="8" t="str">
        <f>IFERROR(__xludf.DUMMYFUNCTION("""COMPUTED_VALUE"""),"Central")</f>
        <v>Central</v>
      </c>
      <c r="F1068" s="10">
        <f>IFERROR(__xludf.DUMMYFUNCTION("""COMPUTED_VALUE"""),2567.84)</f>
        <v>2567.84</v>
      </c>
      <c r="G1068" s="11">
        <f>IFERROR(__xludf.DUMMYFUNCTION("""COMPUTED_VALUE"""),8.0)</f>
        <v>8</v>
      </c>
      <c r="H1068" s="11">
        <f>IFERROR(__xludf.DUMMYFUNCTION("""COMPUTED_VALUE"""),770.352)</f>
        <v>770.352</v>
      </c>
    </row>
    <row r="1069">
      <c r="A1069" s="8" t="str">
        <f>IFERROR(__xludf.DUMMYFUNCTION("""COMPUTED_VALUE"""),"CA-2015-120782")</f>
        <v>CA-2015-120782</v>
      </c>
      <c r="B1069" s="9">
        <f>IFERROR(__xludf.DUMMYFUNCTION("""COMPUTED_VALUE"""),42122.0)</f>
        <v>42122</v>
      </c>
      <c r="C1069" s="8" t="str">
        <f>IFERROR(__xludf.DUMMYFUNCTION("""COMPUTED_VALUE"""),"Shirley Daniels")</f>
        <v>Shirley Daniels</v>
      </c>
      <c r="D1069" s="8" t="str">
        <f>IFERROR(__xludf.DUMMYFUNCTION("""COMPUTED_VALUE"""),"Home Office")</f>
        <v>Home Office</v>
      </c>
      <c r="E1069" s="8" t="str">
        <f>IFERROR(__xludf.DUMMYFUNCTION("""COMPUTED_VALUE"""),"Central")</f>
        <v>Central</v>
      </c>
      <c r="F1069" s="10">
        <f>IFERROR(__xludf.DUMMYFUNCTION("""COMPUTED_VALUE"""),186.732)</f>
        <v>186.732</v>
      </c>
      <c r="G1069" s="11">
        <f>IFERROR(__xludf.DUMMYFUNCTION("""COMPUTED_VALUE"""),1.0)</f>
        <v>1</v>
      </c>
      <c r="H1069" s="11">
        <f>IFERROR(__xludf.DUMMYFUNCTION("""COMPUTED_VALUE"""),41.496)</f>
        <v>41.496</v>
      </c>
    </row>
    <row r="1070">
      <c r="A1070" s="8" t="str">
        <f>IFERROR(__xludf.DUMMYFUNCTION("""COMPUTED_VALUE"""),"CA-2015-120810")</f>
        <v>CA-2015-120810</v>
      </c>
      <c r="B1070" s="9">
        <f>IFERROR(__xludf.DUMMYFUNCTION("""COMPUTED_VALUE"""),42208.0)</f>
        <v>42208</v>
      </c>
      <c r="C1070" s="8" t="str">
        <f>IFERROR(__xludf.DUMMYFUNCTION("""COMPUTED_VALUE"""),"Tracy Hopkins")</f>
        <v>Tracy Hopkins</v>
      </c>
      <c r="D1070" s="8" t="str">
        <f>IFERROR(__xludf.DUMMYFUNCTION("""COMPUTED_VALUE"""),"Home Office")</f>
        <v>Home Office</v>
      </c>
      <c r="E1070" s="8" t="str">
        <f>IFERROR(__xludf.DUMMYFUNCTION("""COMPUTED_VALUE"""),"East")</f>
        <v>East</v>
      </c>
      <c r="F1070" s="10">
        <f>IFERROR(__xludf.DUMMYFUNCTION("""COMPUTED_VALUE"""),68.94)</f>
        <v>68.94</v>
      </c>
      <c r="G1070" s="11">
        <f>IFERROR(__xludf.DUMMYFUNCTION("""COMPUTED_VALUE"""),3.0)</f>
        <v>3</v>
      </c>
      <c r="H1070" s="11">
        <f>IFERROR(__xludf.DUMMYFUNCTION("""COMPUTED_VALUE"""),20.682)</f>
        <v>20.682</v>
      </c>
    </row>
    <row r="1071">
      <c r="A1071" s="8" t="str">
        <f>IFERROR(__xludf.DUMMYFUNCTION("""COMPUTED_VALUE"""),"CA-2015-120845")</f>
        <v>CA-2015-120845</v>
      </c>
      <c r="B1071" s="9">
        <f>IFERROR(__xludf.DUMMYFUNCTION("""COMPUTED_VALUE"""),42272.0)</f>
        <v>42272</v>
      </c>
      <c r="C1071" s="8" t="str">
        <f>IFERROR(__xludf.DUMMYFUNCTION("""COMPUTED_VALUE"""),"Marina Lichtenstein")</f>
        <v>Marina Lichtenstein</v>
      </c>
      <c r="D1071" s="8" t="str">
        <f>IFERROR(__xludf.DUMMYFUNCTION("""COMPUTED_VALUE"""),"Corporate")</f>
        <v>Corporate</v>
      </c>
      <c r="E1071" s="8" t="str">
        <f>IFERROR(__xludf.DUMMYFUNCTION("""COMPUTED_VALUE"""),"South")</f>
        <v>South</v>
      </c>
      <c r="F1071" s="10">
        <f>IFERROR(__xludf.DUMMYFUNCTION("""COMPUTED_VALUE"""),6.336)</f>
        <v>6.336</v>
      </c>
      <c r="G1071" s="11">
        <f>IFERROR(__xludf.DUMMYFUNCTION("""COMPUTED_VALUE"""),4.0)</f>
        <v>4</v>
      </c>
      <c r="H1071" s="11">
        <f>IFERROR(__xludf.DUMMYFUNCTION("""COMPUTED_VALUE"""),-4.6464)</f>
        <v>-4.6464</v>
      </c>
    </row>
    <row r="1072">
      <c r="A1072" s="8" t="str">
        <f>IFERROR(__xludf.DUMMYFUNCTION("""COMPUTED_VALUE"""),"CA-2015-120880")</f>
        <v>CA-2015-120880</v>
      </c>
      <c r="B1072" s="9">
        <f>IFERROR(__xludf.DUMMYFUNCTION("""COMPUTED_VALUE"""),42153.0)</f>
        <v>42153</v>
      </c>
      <c r="C1072" s="8" t="str">
        <f>IFERROR(__xludf.DUMMYFUNCTION("""COMPUTED_VALUE"""),"John Lucas")</f>
        <v>John Lucas</v>
      </c>
      <c r="D1072" s="8" t="str">
        <f>IFERROR(__xludf.DUMMYFUNCTION("""COMPUTED_VALUE"""),"Consumer")</f>
        <v>Consumer</v>
      </c>
      <c r="E1072" s="8" t="str">
        <f>IFERROR(__xludf.DUMMYFUNCTION("""COMPUTED_VALUE"""),"West")</f>
        <v>West</v>
      </c>
      <c r="F1072" s="10">
        <f>IFERROR(__xludf.DUMMYFUNCTION("""COMPUTED_VALUE"""),32.4)</f>
        <v>32.4</v>
      </c>
      <c r="G1072" s="11">
        <f>IFERROR(__xludf.DUMMYFUNCTION("""COMPUTED_VALUE"""),5.0)</f>
        <v>5</v>
      </c>
      <c r="H1072" s="11">
        <f>IFERROR(__xludf.DUMMYFUNCTION("""COMPUTED_VALUE"""),15.552)</f>
        <v>15.552</v>
      </c>
    </row>
    <row r="1073">
      <c r="A1073" s="8" t="str">
        <f>IFERROR(__xludf.DUMMYFUNCTION("""COMPUTED_VALUE"""),"CA-2015-120901")</f>
        <v>CA-2015-120901</v>
      </c>
      <c r="B1073" s="9">
        <f>IFERROR(__xludf.DUMMYFUNCTION("""COMPUTED_VALUE"""),42369.0)</f>
        <v>42369</v>
      </c>
      <c r="C1073" s="8" t="str">
        <f>IFERROR(__xludf.DUMMYFUNCTION("""COMPUTED_VALUE"""),"Barry Gonzalez")</f>
        <v>Barry Gonzalez</v>
      </c>
      <c r="D1073" s="8" t="str">
        <f>IFERROR(__xludf.DUMMYFUNCTION("""COMPUTED_VALUE"""),"Consumer")</f>
        <v>Consumer</v>
      </c>
      <c r="E1073" s="8" t="str">
        <f>IFERROR(__xludf.DUMMYFUNCTION("""COMPUTED_VALUE"""),"Central")</f>
        <v>Central</v>
      </c>
      <c r="F1073" s="10">
        <f>IFERROR(__xludf.DUMMYFUNCTION("""COMPUTED_VALUE"""),152.688)</f>
        <v>152.688</v>
      </c>
      <c r="G1073" s="11">
        <f>IFERROR(__xludf.DUMMYFUNCTION("""COMPUTED_VALUE"""),2.0)</f>
        <v>2</v>
      </c>
      <c r="H1073" s="11">
        <f>IFERROR(__xludf.DUMMYFUNCTION("""COMPUTED_VALUE"""),-26.7204)</f>
        <v>-26.7204</v>
      </c>
    </row>
    <row r="1074">
      <c r="A1074" s="8" t="str">
        <f>IFERROR(__xludf.DUMMYFUNCTION("""COMPUTED_VALUE"""),"CA-2015-120915")</f>
        <v>CA-2015-120915</v>
      </c>
      <c r="B1074" s="9">
        <f>IFERROR(__xludf.DUMMYFUNCTION("""COMPUTED_VALUE"""),42275.0)</f>
        <v>42275</v>
      </c>
      <c r="C1074" s="8" t="str">
        <f>IFERROR(__xludf.DUMMYFUNCTION("""COMPUTED_VALUE"""),"Jennifer Jackson")</f>
        <v>Jennifer Jackson</v>
      </c>
      <c r="D1074" s="8" t="str">
        <f>IFERROR(__xludf.DUMMYFUNCTION("""COMPUTED_VALUE"""),"Consumer")</f>
        <v>Consumer</v>
      </c>
      <c r="E1074" s="8" t="str">
        <f>IFERROR(__xludf.DUMMYFUNCTION("""COMPUTED_VALUE"""),"East")</f>
        <v>East</v>
      </c>
      <c r="F1074" s="10">
        <f>IFERROR(__xludf.DUMMYFUNCTION("""COMPUTED_VALUE"""),293.52)</f>
        <v>293.52</v>
      </c>
      <c r="G1074" s="11">
        <f>IFERROR(__xludf.DUMMYFUNCTION("""COMPUTED_VALUE"""),6.0)</f>
        <v>6</v>
      </c>
      <c r="H1074" s="11">
        <f>IFERROR(__xludf.DUMMYFUNCTION("""COMPUTED_VALUE"""),76.3152)</f>
        <v>76.3152</v>
      </c>
    </row>
    <row r="1075">
      <c r="A1075" s="8" t="str">
        <f>IFERROR(__xludf.DUMMYFUNCTION("""COMPUTED_VALUE"""),"CA-2015-121041")</f>
        <v>CA-2015-121041</v>
      </c>
      <c r="B1075" s="9">
        <f>IFERROR(__xludf.DUMMYFUNCTION("""COMPUTED_VALUE"""),42311.0)</f>
        <v>42311</v>
      </c>
      <c r="C1075" s="8" t="str">
        <f>IFERROR(__xludf.DUMMYFUNCTION("""COMPUTED_VALUE"""),"Chris Selesnick")</f>
        <v>Chris Selesnick</v>
      </c>
      <c r="D1075" s="8" t="str">
        <f>IFERROR(__xludf.DUMMYFUNCTION("""COMPUTED_VALUE"""),"Corporate")</f>
        <v>Corporate</v>
      </c>
      <c r="E1075" s="8" t="str">
        <f>IFERROR(__xludf.DUMMYFUNCTION("""COMPUTED_VALUE"""),"Central")</f>
        <v>Central</v>
      </c>
      <c r="F1075" s="10">
        <f>IFERROR(__xludf.DUMMYFUNCTION("""COMPUTED_VALUE"""),6.608)</f>
        <v>6.608</v>
      </c>
      <c r="G1075" s="11">
        <f>IFERROR(__xludf.DUMMYFUNCTION("""COMPUTED_VALUE"""),2.0)</f>
        <v>2</v>
      </c>
      <c r="H1075" s="11">
        <f>IFERROR(__xludf.DUMMYFUNCTION("""COMPUTED_VALUE"""),2.1476)</f>
        <v>2.1476</v>
      </c>
    </row>
    <row r="1076">
      <c r="A1076" s="8" t="str">
        <f>IFERROR(__xludf.DUMMYFUNCTION("""COMPUTED_VALUE"""),"CA-2015-121097")</f>
        <v>CA-2015-121097</v>
      </c>
      <c r="B1076" s="9">
        <f>IFERROR(__xludf.DUMMYFUNCTION("""COMPUTED_VALUE"""),42007.0)</f>
        <v>42007</v>
      </c>
      <c r="C1076" s="8" t="str">
        <f>IFERROR(__xludf.DUMMYFUNCTION("""COMPUTED_VALUE"""),"Sylvia Foulston")</f>
        <v>Sylvia Foulston</v>
      </c>
      <c r="D1076" s="8" t="str">
        <f>IFERROR(__xludf.DUMMYFUNCTION("""COMPUTED_VALUE"""),"Corporate")</f>
        <v>Corporate</v>
      </c>
      <c r="E1076" s="8" t="str">
        <f>IFERROR(__xludf.DUMMYFUNCTION("""COMPUTED_VALUE"""),"Central")</f>
        <v>Central</v>
      </c>
      <c r="F1076" s="10">
        <f>IFERROR(__xludf.DUMMYFUNCTION("""COMPUTED_VALUE"""),10.368)</f>
        <v>10.368</v>
      </c>
      <c r="G1076" s="11">
        <f>IFERROR(__xludf.DUMMYFUNCTION("""COMPUTED_VALUE"""),2.0)</f>
        <v>2</v>
      </c>
      <c r="H1076" s="11">
        <f>IFERROR(__xludf.DUMMYFUNCTION("""COMPUTED_VALUE"""),3.6288)</f>
        <v>3.6288</v>
      </c>
    </row>
    <row r="1077">
      <c r="A1077" s="8" t="str">
        <f>IFERROR(__xludf.DUMMYFUNCTION("""COMPUTED_VALUE"""),"CA-2015-121132")</f>
        <v>CA-2015-121132</v>
      </c>
      <c r="B1077" s="9">
        <f>IFERROR(__xludf.DUMMYFUNCTION("""COMPUTED_VALUE"""),42202.0)</f>
        <v>42202</v>
      </c>
      <c r="C1077" s="8" t="str">
        <f>IFERROR(__xludf.DUMMYFUNCTION("""COMPUTED_VALUE"""),"Victoria Brennan")</f>
        <v>Victoria Brennan</v>
      </c>
      <c r="D1077" s="8" t="str">
        <f>IFERROR(__xludf.DUMMYFUNCTION("""COMPUTED_VALUE"""),"Corporate")</f>
        <v>Corporate</v>
      </c>
      <c r="E1077" s="8" t="str">
        <f>IFERROR(__xludf.DUMMYFUNCTION("""COMPUTED_VALUE"""),"Central")</f>
        <v>Central</v>
      </c>
      <c r="F1077" s="10">
        <f>IFERROR(__xludf.DUMMYFUNCTION("""COMPUTED_VALUE"""),6.264)</f>
        <v>6.264</v>
      </c>
      <c r="G1077" s="11">
        <f>IFERROR(__xludf.DUMMYFUNCTION("""COMPUTED_VALUE"""),3.0)</f>
        <v>3</v>
      </c>
      <c r="H1077" s="11">
        <f>IFERROR(__xludf.DUMMYFUNCTION("""COMPUTED_VALUE"""),2.0358)</f>
        <v>2.0358</v>
      </c>
    </row>
    <row r="1078">
      <c r="A1078" s="8" t="str">
        <f>IFERROR(__xludf.DUMMYFUNCTION("""COMPUTED_VALUE"""),"CA-2015-121188")</f>
        <v>CA-2015-121188</v>
      </c>
      <c r="B1078" s="9">
        <f>IFERROR(__xludf.DUMMYFUNCTION("""COMPUTED_VALUE"""),42244.0)</f>
        <v>42244</v>
      </c>
      <c r="C1078" s="8" t="str">
        <f>IFERROR(__xludf.DUMMYFUNCTION("""COMPUTED_VALUE"""),"Cassandra Brandow")</f>
        <v>Cassandra Brandow</v>
      </c>
      <c r="D1078" s="8" t="str">
        <f>IFERROR(__xludf.DUMMYFUNCTION("""COMPUTED_VALUE"""),"Consumer")</f>
        <v>Consumer</v>
      </c>
      <c r="E1078" s="8" t="str">
        <f>IFERROR(__xludf.DUMMYFUNCTION("""COMPUTED_VALUE"""),"West")</f>
        <v>West</v>
      </c>
      <c r="F1078" s="10">
        <f>IFERROR(__xludf.DUMMYFUNCTION("""COMPUTED_VALUE"""),892.35)</f>
        <v>892.35</v>
      </c>
      <c r="G1078" s="11">
        <f>IFERROR(__xludf.DUMMYFUNCTION("""COMPUTED_VALUE"""),5.0)</f>
        <v>5</v>
      </c>
      <c r="H1078" s="11">
        <f>IFERROR(__xludf.DUMMYFUNCTION("""COMPUTED_VALUE"""),267.705)</f>
        <v>267.705</v>
      </c>
    </row>
    <row r="1079">
      <c r="A1079" s="8" t="str">
        <f>IFERROR(__xludf.DUMMYFUNCTION("""COMPUTED_VALUE"""),"CA-2015-121272")</f>
        <v>CA-2015-121272</v>
      </c>
      <c r="B1079" s="9">
        <f>IFERROR(__xludf.DUMMYFUNCTION("""COMPUTED_VALUE"""),42092.0)</f>
        <v>42092</v>
      </c>
      <c r="C1079" s="8" t="str">
        <f>IFERROR(__xludf.DUMMYFUNCTION("""COMPUTED_VALUE"""),"Denny Ordway")</f>
        <v>Denny Ordway</v>
      </c>
      <c r="D1079" s="8" t="str">
        <f>IFERROR(__xludf.DUMMYFUNCTION("""COMPUTED_VALUE"""),"Consumer")</f>
        <v>Consumer</v>
      </c>
      <c r="E1079" s="8" t="str">
        <f>IFERROR(__xludf.DUMMYFUNCTION("""COMPUTED_VALUE"""),"West")</f>
        <v>West</v>
      </c>
      <c r="F1079" s="10">
        <f>IFERROR(__xludf.DUMMYFUNCTION("""COMPUTED_VALUE"""),73.28)</f>
        <v>73.28</v>
      </c>
      <c r="G1079" s="11">
        <f>IFERROR(__xludf.DUMMYFUNCTION("""COMPUTED_VALUE"""),4.0)</f>
        <v>4</v>
      </c>
      <c r="H1079" s="11">
        <f>IFERROR(__xludf.DUMMYFUNCTION("""COMPUTED_VALUE"""),21.2512)</f>
        <v>21.2512</v>
      </c>
    </row>
    <row r="1080">
      <c r="A1080" s="8" t="str">
        <f>IFERROR(__xludf.DUMMYFUNCTION("""COMPUTED_VALUE"""),"CA-2015-121391")</f>
        <v>CA-2015-121391</v>
      </c>
      <c r="B1080" s="9">
        <f>IFERROR(__xludf.DUMMYFUNCTION("""COMPUTED_VALUE"""),42281.0)</f>
        <v>42281</v>
      </c>
      <c r="C1080" s="8" t="str">
        <f>IFERROR(__xludf.DUMMYFUNCTION("""COMPUTED_VALUE"""),"Alex Avila")</f>
        <v>Alex Avila</v>
      </c>
      <c r="D1080" s="8" t="str">
        <f>IFERROR(__xludf.DUMMYFUNCTION("""COMPUTED_VALUE"""),"Consumer")</f>
        <v>Consumer</v>
      </c>
      <c r="E1080" s="8" t="str">
        <f>IFERROR(__xludf.DUMMYFUNCTION("""COMPUTED_VALUE"""),"West")</f>
        <v>West</v>
      </c>
      <c r="F1080" s="10">
        <f>IFERROR(__xludf.DUMMYFUNCTION("""COMPUTED_VALUE"""),26.96)</f>
        <v>26.96</v>
      </c>
      <c r="G1080" s="11">
        <f>IFERROR(__xludf.DUMMYFUNCTION("""COMPUTED_VALUE"""),2.0)</f>
        <v>2</v>
      </c>
      <c r="H1080" s="11">
        <f>IFERROR(__xludf.DUMMYFUNCTION("""COMPUTED_VALUE"""),7.0096)</f>
        <v>7.0096</v>
      </c>
    </row>
    <row r="1081">
      <c r="A1081" s="8" t="str">
        <f>IFERROR(__xludf.DUMMYFUNCTION("""COMPUTED_VALUE"""),"CA-2015-121405")</f>
        <v>CA-2015-121405</v>
      </c>
      <c r="B1081" s="9">
        <f>IFERROR(__xludf.DUMMYFUNCTION("""COMPUTED_VALUE"""),42093.0)</f>
        <v>42093</v>
      </c>
      <c r="C1081" s="8" t="str">
        <f>IFERROR(__xludf.DUMMYFUNCTION("""COMPUTED_VALUE"""),"Fred Chung")</f>
        <v>Fred Chung</v>
      </c>
      <c r="D1081" s="8" t="str">
        <f>IFERROR(__xludf.DUMMYFUNCTION("""COMPUTED_VALUE"""),"Corporate")</f>
        <v>Corporate</v>
      </c>
      <c r="E1081" s="8" t="str">
        <f>IFERROR(__xludf.DUMMYFUNCTION("""COMPUTED_VALUE"""),"Central")</f>
        <v>Central</v>
      </c>
      <c r="F1081" s="10">
        <f>IFERROR(__xludf.DUMMYFUNCTION("""COMPUTED_VALUE"""),23.52)</f>
        <v>23.52</v>
      </c>
      <c r="G1081" s="11">
        <f>IFERROR(__xludf.DUMMYFUNCTION("""COMPUTED_VALUE"""),5.0)</f>
        <v>5</v>
      </c>
      <c r="H1081" s="11">
        <f>IFERROR(__xludf.DUMMYFUNCTION("""COMPUTED_VALUE"""),8.526)</f>
        <v>8.526</v>
      </c>
    </row>
    <row r="1082">
      <c r="A1082" s="8" t="str">
        <f>IFERROR(__xludf.DUMMYFUNCTION("""COMPUTED_VALUE"""),"CA-2015-121552")</f>
        <v>CA-2015-121552</v>
      </c>
      <c r="B1082" s="9">
        <f>IFERROR(__xludf.DUMMYFUNCTION("""COMPUTED_VALUE"""),42085.0)</f>
        <v>42085</v>
      </c>
      <c r="C1082" s="8" t="str">
        <f>IFERROR(__xludf.DUMMYFUNCTION("""COMPUTED_VALUE"""),"Fred Wasserman")</f>
        <v>Fred Wasserman</v>
      </c>
      <c r="D1082" s="8" t="str">
        <f>IFERROR(__xludf.DUMMYFUNCTION("""COMPUTED_VALUE"""),"Corporate")</f>
        <v>Corporate</v>
      </c>
      <c r="E1082" s="8" t="str">
        <f>IFERROR(__xludf.DUMMYFUNCTION("""COMPUTED_VALUE"""),"South")</f>
        <v>South</v>
      </c>
      <c r="F1082" s="10">
        <f>IFERROR(__xludf.DUMMYFUNCTION("""COMPUTED_VALUE"""),19.56)</f>
        <v>19.56</v>
      </c>
      <c r="G1082" s="11">
        <f>IFERROR(__xludf.DUMMYFUNCTION("""COMPUTED_VALUE"""),4.0)</f>
        <v>4</v>
      </c>
      <c r="H1082" s="11">
        <f>IFERROR(__xludf.DUMMYFUNCTION("""COMPUTED_VALUE"""),5.4768)</f>
        <v>5.4768</v>
      </c>
    </row>
    <row r="1083">
      <c r="A1083" s="8" t="str">
        <f>IFERROR(__xludf.DUMMYFUNCTION("""COMPUTED_VALUE"""),"CA-2015-121608")</f>
        <v>CA-2015-121608</v>
      </c>
      <c r="B1083" s="9">
        <f>IFERROR(__xludf.DUMMYFUNCTION("""COMPUTED_VALUE"""),42250.0)</f>
        <v>42250</v>
      </c>
      <c r="C1083" s="8" t="str">
        <f>IFERROR(__xludf.DUMMYFUNCTION("""COMPUTED_VALUE"""),"Jennifer Braxton")</f>
        <v>Jennifer Braxton</v>
      </c>
      <c r="D1083" s="8" t="str">
        <f>IFERROR(__xludf.DUMMYFUNCTION("""COMPUTED_VALUE"""),"Corporate")</f>
        <v>Corporate</v>
      </c>
      <c r="E1083" s="8" t="str">
        <f>IFERROR(__xludf.DUMMYFUNCTION("""COMPUTED_VALUE"""),"East")</f>
        <v>East</v>
      </c>
      <c r="F1083" s="10">
        <f>IFERROR(__xludf.DUMMYFUNCTION("""COMPUTED_VALUE"""),137.62)</f>
        <v>137.62</v>
      </c>
      <c r="G1083" s="11">
        <f>IFERROR(__xludf.DUMMYFUNCTION("""COMPUTED_VALUE"""),2.0)</f>
        <v>2</v>
      </c>
      <c r="H1083" s="11">
        <f>IFERROR(__xludf.DUMMYFUNCTION("""COMPUTED_VALUE"""),60.5528)</f>
        <v>60.5528</v>
      </c>
    </row>
    <row r="1084">
      <c r="A1084" s="8" t="str">
        <f>IFERROR(__xludf.DUMMYFUNCTION("""COMPUTED_VALUE"""),"CA-2015-121650")</f>
        <v>CA-2015-121650</v>
      </c>
      <c r="B1084" s="9">
        <f>IFERROR(__xludf.DUMMYFUNCTION("""COMPUTED_VALUE"""),42348.0)</f>
        <v>42348</v>
      </c>
      <c r="C1084" s="8" t="str">
        <f>IFERROR(__xludf.DUMMYFUNCTION("""COMPUTED_VALUE"""),"Keith Dawkins")</f>
        <v>Keith Dawkins</v>
      </c>
      <c r="D1084" s="8" t="str">
        <f>IFERROR(__xludf.DUMMYFUNCTION("""COMPUTED_VALUE"""),"Corporate")</f>
        <v>Corporate</v>
      </c>
      <c r="E1084" s="8" t="str">
        <f>IFERROR(__xludf.DUMMYFUNCTION("""COMPUTED_VALUE"""),"Central")</f>
        <v>Central</v>
      </c>
      <c r="F1084" s="10">
        <f>IFERROR(__xludf.DUMMYFUNCTION("""COMPUTED_VALUE"""),3.9)</f>
        <v>3.9</v>
      </c>
      <c r="G1084" s="11">
        <f>IFERROR(__xludf.DUMMYFUNCTION("""COMPUTED_VALUE"""),2.0)</f>
        <v>2</v>
      </c>
      <c r="H1084" s="11">
        <f>IFERROR(__xludf.DUMMYFUNCTION("""COMPUTED_VALUE"""),1.521)</f>
        <v>1.521</v>
      </c>
    </row>
    <row r="1085">
      <c r="A1085" s="8" t="str">
        <f>IFERROR(__xludf.DUMMYFUNCTION("""COMPUTED_VALUE"""),"CA-2015-121699")</f>
        <v>CA-2015-121699</v>
      </c>
      <c r="B1085" s="9">
        <f>IFERROR(__xludf.DUMMYFUNCTION("""COMPUTED_VALUE"""),42226.0)</f>
        <v>42226</v>
      </c>
      <c r="C1085" s="8" t="str">
        <f>IFERROR(__xludf.DUMMYFUNCTION("""COMPUTED_VALUE"""),"Bill Donatelli")</f>
        <v>Bill Donatelli</v>
      </c>
      <c r="D1085" s="8" t="str">
        <f>IFERROR(__xludf.DUMMYFUNCTION("""COMPUTED_VALUE"""),"Consumer")</f>
        <v>Consumer</v>
      </c>
      <c r="E1085" s="8" t="str">
        <f>IFERROR(__xludf.DUMMYFUNCTION("""COMPUTED_VALUE"""),"Central")</f>
        <v>Central</v>
      </c>
      <c r="F1085" s="10">
        <f>IFERROR(__xludf.DUMMYFUNCTION("""COMPUTED_VALUE"""),64.75)</f>
        <v>64.75</v>
      </c>
      <c r="G1085" s="11">
        <f>IFERROR(__xludf.DUMMYFUNCTION("""COMPUTED_VALUE"""),5.0)</f>
        <v>5</v>
      </c>
      <c r="H1085" s="11">
        <f>IFERROR(__xludf.DUMMYFUNCTION("""COMPUTED_VALUE"""),29.1375)</f>
        <v>29.1375</v>
      </c>
    </row>
    <row r="1086">
      <c r="A1086" s="8" t="str">
        <f>IFERROR(__xludf.DUMMYFUNCTION("""COMPUTED_VALUE"""),"CA-2015-121720")</f>
        <v>CA-2015-121720</v>
      </c>
      <c r="B1086" s="9">
        <f>IFERROR(__xludf.DUMMYFUNCTION("""COMPUTED_VALUE"""),42166.0)</f>
        <v>42166</v>
      </c>
      <c r="C1086" s="8" t="str">
        <f>IFERROR(__xludf.DUMMYFUNCTION("""COMPUTED_VALUE"""),"Jim Epp")</f>
        <v>Jim Epp</v>
      </c>
      <c r="D1086" s="8" t="str">
        <f>IFERROR(__xludf.DUMMYFUNCTION("""COMPUTED_VALUE"""),"Corporate")</f>
        <v>Corporate</v>
      </c>
      <c r="E1086" s="8" t="str">
        <f>IFERROR(__xludf.DUMMYFUNCTION("""COMPUTED_VALUE"""),"South")</f>
        <v>South</v>
      </c>
      <c r="F1086" s="10">
        <f>IFERROR(__xludf.DUMMYFUNCTION("""COMPUTED_VALUE"""),1123.92)</f>
        <v>1123.92</v>
      </c>
      <c r="G1086" s="11">
        <f>IFERROR(__xludf.DUMMYFUNCTION("""COMPUTED_VALUE"""),5.0)</f>
        <v>5</v>
      </c>
      <c r="H1086" s="11">
        <f>IFERROR(__xludf.DUMMYFUNCTION("""COMPUTED_VALUE"""),-182.637)</f>
        <v>-182.637</v>
      </c>
    </row>
    <row r="1087">
      <c r="A1087" s="8" t="str">
        <f>IFERROR(__xludf.DUMMYFUNCTION("""COMPUTED_VALUE"""),"CA-2015-121776")</f>
        <v>CA-2015-121776</v>
      </c>
      <c r="B1087" s="9">
        <f>IFERROR(__xludf.DUMMYFUNCTION("""COMPUTED_VALUE"""),42051.0)</f>
        <v>42051</v>
      </c>
      <c r="C1087" s="8" t="str">
        <f>IFERROR(__xludf.DUMMYFUNCTION("""COMPUTED_VALUE"""),"Rob Dowd")</f>
        <v>Rob Dowd</v>
      </c>
      <c r="D1087" s="8" t="str">
        <f>IFERROR(__xludf.DUMMYFUNCTION("""COMPUTED_VALUE"""),"Consumer")</f>
        <v>Consumer</v>
      </c>
      <c r="E1087" s="8" t="str">
        <f>IFERROR(__xludf.DUMMYFUNCTION("""COMPUTED_VALUE"""),"West")</f>
        <v>West</v>
      </c>
      <c r="F1087" s="10">
        <f>IFERROR(__xludf.DUMMYFUNCTION("""COMPUTED_VALUE"""),36.84)</f>
        <v>36.84</v>
      </c>
      <c r="G1087" s="11">
        <f>IFERROR(__xludf.DUMMYFUNCTION("""COMPUTED_VALUE"""),3.0)</f>
        <v>3</v>
      </c>
      <c r="H1087" s="11">
        <f>IFERROR(__xludf.DUMMYFUNCTION("""COMPUTED_VALUE"""),17.3148)</f>
        <v>17.3148</v>
      </c>
    </row>
    <row r="1088">
      <c r="A1088" s="8" t="str">
        <f>IFERROR(__xludf.DUMMYFUNCTION("""COMPUTED_VALUE"""),"CA-2015-121783")</f>
        <v>CA-2015-121783</v>
      </c>
      <c r="B1088" s="9">
        <f>IFERROR(__xludf.DUMMYFUNCTION("""COMPUTED_VALUE"""),42318.0)</f>
        <v>42318</v>
      </c>
      <c r="C1088" s="8" t="str">
        <f>IFERROR(__xludf.DUMMYFUNCTION("""COMPUTED_VALUE"""),"Philisse Overcash")</f>
        <v>Philisse Overcash</v>
      </c>
      <c r="D1088" s="8" t="str">
        <f>IFERROR(__xludf.DUMMYFUNCTION("""COMPUTED_VALUE"""),"Home Office")</f>
        <v>Home Office</v>
      </c>
      <c r="E1088" s="8" t="str">
        <f>IFERROR(__xludf.DUMMYFUNCTION("""COMPUTED_VALUE"""),"Central")</f>
        <v>Central</v>
      </c>
      <c r="F1088" s="10">
        <f>IFERROR(__xludf.DUMMYFUNCTION("""COMPUTED_VALUE"""),715.64)</f>
        <v>715.64</v>
      </c>
      <c r="G1088" s="11">
        <f>IFERROR(__xludf.DUMMYFUNCTION("""COMPUTED_VALUE"""),2.0)</f>
        <v>2</v>
      </c>
      <c r="H1088" s="11">
        <f>IFERROR(__xludf.DUMMYFUNCTION("""COMPUTED_VALUE"""),178.91)</f>
        <v>178.91</v>
      </c>
    </row>
    <row r="1089">
      <c r="A1089" s="8" t="str">
        <f>IFERROR(__xludf.DUMMYFUNCTION("""COMPUTED_VALUE"""),"CA-2015-121797")</f>
        <v>CA-2015-121797</v>
      </c>
      <c r="B1089" s="9">
        <f>IFERROR(__xludf.DUMMYFUNCTION("""COMPUTED_VALUE"""),42034.0)</f>
        <v>42034</v>
      </c>
      <c r="C1089" s="8" t="str">
        <f>IFERROR(__xludf.DUMMYFUNCTION("""COMPUTED_VALUE"""),"Charles Crestani")</f>
        <v>Charles Crestani</v>
      </c>
      <c r="D1089" s="8" t="str">
        <f>IFERROR(__xludf.DUMMYFUNCTION("""COMPUTED_VALUE"""),"Consumer")</f>
        <v>Consumer</v>
      </c>
      <c r="E1089" s="8" t="str">
        <f>IFERROR(__xludf.DUMMYFUNCTION("""COMPUTED_VALUE"""),"West")</f>
        <v>West</v>
      </c>
      <c r="F1089" s="10">
        <f>IFERROR(__xludf.DUMMYFUNCTION("""COMPUTED_VALUE"""),227.36)</f>
        <v>227.36</v>
      </c>
      <c r="G1089" s="11">
        <f>IFERROR(__xludf.DUMMYFUNCTION("""COMPUTED_VALUE"""),7.0)</f>
        <v>7</v>
      </c>
      <c r="H1089" s="11">
        <f>IFERROR(__xludf.DUMMYFUNCTION("""COMPUTED_VALUE"""),81.8496)</f>
        <v>81.8496</v>
      </c>
    </row>
    <row r="1090">
      <c r="A1090" s="8" t="str">
        <f>IFERROR(__xludf.DUMMYFUNCTION("""COMPUTED_VALUE"""),"CA-2015-121965")</f>
        <v>CA-2015-121965</v>
      </c>
      <c r="B1090" s="9">
        <f>IFERROR(__xludf.DUMMYFUNCTION("""COMPUTED_VALUE"""),42174.0)</f>
        <v>42174</v>
      </c>
      <c r="C1090" s="8" t="str">
        <f>IFERROR(__xludf.DUMMYFUNCTION("""COMPUTED_VALUE"""),"Logan Haushalter")</f>
        <v>Logan Haushalter</v>
      </c>
      <c r="D1090" s="8" t="str">
        <f>IFERROR(__xludf.DUMMYFUNCTION("""COMPUTED_VALUE"""),"Consumer")</f>
        <v>Consumer</v>
      </c>
      <c r="E1090" s="8" t="str">
        <f>IFERROR(__xludf.DUMMYFUNCTION("""COMPUTED_VALUE"""),"West")</f>
        <v>West</v>
      </c>
      <c r="F1090" s="10">
        <f>IFERROR(__xludf.DUMMYFUNCTION("""COMPUTED_VALUE"""),12.56)</f>
        <v>12.56</v>
      </c>
      <c r="G1090" s="11">
        <f>IFERROR(__xludf.DUMMYFUNCTION("""COMPUTED_VALUE"""),2.0)</f>
        <v>2</v>
      </c>
      <c r="H1090" s="11">
        <f>IFERROR(__xludf.DUMMYFUNCTION("""COMPUTED_VALUE"""),4.0192)</f>
        <v>4.0192</v>
      </c>
    </row>
    <row r="1091">
      <c r="A1091" s="8" t="str">
        <f>IFERROR(__xludf.DUMMYFUNCTION("""COMPUTED_VALUE"""),"CA-2015-122168")</f>
        <v>CA-2015-122168</v>
      </c>
      <c r="B1091" s="9">
        <f>IFERROR(__xludf.DUMMYFUNCTION("""COMPUTED_VALUE"""),42237.0)</f>
        <v>42237</v>
      </c>
      <c r="C1091" s="8" t="str">
        <f>IFERROR(__xludf.DUMMYFUNCTION("""COMPUTED_VALUE"""),"Henry Goldwyn")</f>
        <v>Henry Goldwyn</v>
      </c>
      <c r="D1091" s="8" t="str">
        <f>IFERROR(__xludf.DUMMYFUNCTION("""COMPUTED_VALUE"""),"Corporate")</f>
        <v>Corporate</v>
      </c>
      <c r="E1091" s="8" t="str">
        <f>IFERROR(__xludf.DUMMYFUNCTION("""COMPUTED_VALUE"""),"South")</f>
        <v>South</v>
      </c>
      <c r="F1091" s="10">
        <f>IFERROR(__xludf.DUMMYFUNCTION("""COMPUTED_VALUE"""),17.52)</f>
        <v>17.52</v>
      </c>
      <c r="G1091" s="11">
        <f>IFERROR(__xludf.DUMMYFUNCTION("""COMPUTED_VALUE"""),3.0)</f>
        <v>3</v>
      </c>
      <c r="H1091" s="11">
        <f>IFERROR(__xludf.DUMMYFUNCTION("""COMPUTED_VALUE"""),8.2344)</f>
        <v>8.2344</v>
      </c>
    </row>
    <row r="1092">
      <c r="A1092" s="8" t="str">
        <f>IFERROR(__xludf.DUMMYFUNCTION("""COMPUTED_VALUE"""),"CA-2015-122210")</f>
        <v>CA-2015-122210</v>
      </c>
      <c r="B1092" s="9">
        <f>IFERROR(__xludf.DUMMYFUNCTION("""COMPUTED_VALUE"""),42338.0)</f>
        <v>42338</v>
      </c>
      <c r="C1092" s="8" t="str">
        <f>IFERROR(__xludf.DUMMYFUNCTION("""COMPUTED_VALUE"""),"William Brown")</f>
        <v>William Brown</v>
      </c>
      <c r="D1092" s="8" t="str">
        <f>IFERROR(__xludf.DUMMYFUNCTION("""COMPUTED_VALUE"""),"Consumer")</f>
        <v>Consumer</v>
      </c>
      <c r="E1092" s="8" t="str">
        <f>IFERROR(__xludf.DUMMYFUNCTION("""COMPUTED_VALUE"""),"East")</f>
        <v>East</v>
      </c>
      <c r="F1092" s="10">
        <f>IFERROR(__xludf.DUMMYFUNCTION("""COMPUTED_VALUE"""),152.991)</f>
        <v>152.991</v>
      </c>
      <c r="G1092" s="11">
        <f>IFERROR(__xludf.DUMMYFUNCTION("""COMPUTED_VALUE"""),3.0)</f>
        <v>3</v>
      </c>
      <c r="H1092" s="11">
        <f>IFERROR(__xludf.DUMMYFUNCTION("""COMPUTED_VALUE"""),-122.3928)</f>
        <v>-122.3928</v>
      </c>
    </row>
    <row r="1093">
      <c r="A1093" s="8" t="str">
        <f>IFERROR(__xludf.DUMMYFUNCTION("""COMPUTED_VALUE"""),"CA-2015-122259")</f>
        <v>CA-2015-122259</v>
      </c>
      <c r="B1093" s="9">
        <f>IFERROR(__xludf.DUMMYFUNCTION("""COMPUTED_VALUE"""),42308.0)</f>
        <v>42308</v>
      </c>
      <c r="C1093" s="8" t="str">
        <f>IFERROR(__xludf.DUMMYFUNCTION("""COMPUTED_VALUE"""),"Harold Pawlan")</f>
        <v>Harold Pawlan</v>
      </c>
      <c r="D1093" s="8" t="str">
        <f>IFERROR(__xludf.DUMMYFUNCTION("""COMPUTED_VALUE"""),"Home Office")</f>
        <v>Home Office</v>
      </c>
      <c r="E1093" s="8" t="str">
        <f>IFERROR(__xludf.DUMMYFUNCTION("""COMPUTED_VALUE"""),"Central")</f>
        <v>Central</v>
      </c>
      <c r="F1093" s="10">
        <f>IFERROR(__xludf.DUMMYFUNCTION("""COMPUTED_VALUE"""),70.12)</f>
        <v>70.12</v>
      </c>
      <c r="G1093" s="11">
        <f>IFERROR(__xludf.DUMMYFUNCTION("""COMPUTED_VALUE"""),4.0)</f>
        <v>4</v>
      </c>
      <c r="H1093" s="11">
        <f>IFERROR(__xludf.DUMMYFUNCTION("""COMPUTED_VALUE"""),21.036)</f>
        <v>21.036</v>
      </c>
    </row>
    <row r="1094">
      <c r="A1094" s="8" t="str">
        <f>IFERROR(__xludf.DUMMYFUNCTION("""COMPUTED_VALUE"""),"CA-2015-122266")</f>
        <v>CA-2015-122266</v>
      </c>
      <c r="B1094" s="9">
        <f>IFERROR(__xludf.DUMMYFUNCTION("""COMPUTED_VALUE"""),42120.0)</f>
        <v>42120</v>
      </c>
      <c r="C1094" s="8" t="str">
        <f>IFERROR(__xludf.DUMMYFUNCTION("""COMPUTED_VALUE"""),"Sue Ann Reed")</f>
        <v>Sue Ann Reed</v>
      </c>
      <c r="D1094" s="8" t="str">
        <f>IFERROR(__xludf.DUMMYFUNCTION("""COMPUTED_VALUE"""),"Consumer")</f>
        <v>Consumer</v>
      </c>
      <c r="E1094" s="8" t="str">
        <f>IFERROR(__xludf.DUMMYFUNCTION("""COMPUTED_VALUE"""),"South")</f>
        <v>South</v>
      </c>
      <c r="F1094" s="10">
        <f>IFERROR(__xludf.DUMMYFUNCTION("""COMPUTED_VALUE"""),191.5155)</f>
        <v>191.5155</v>
      </c>
      <c r="G1094" s="11">
        <f>IFERROR(__xludf.DUMMYFUNCTION("""COMPUTED_VALUE"""),1.0)</f>
        <v>1</v>
      </c>
      <c r="H1094" s="11">
        <f>IFERROR(__xludf.DUMMYFUNCTION("""COMPUTED_VALUE"""),-76.6062)</f>
        <v>-76.6062</v>
      </c>
    </row>
    <row r="1095">
      <c r="A1095" s="8" t="str">
        <f>IFERROR(__xludf.DUMMYFUNCTION("""COMPUTED_VALUE"""),"CA-2015-122287")</f>
        <v>CA-2015-122287</v>
      </c>
      <c r="B1095" s="9">
        <f>IFERROR(__xludf.DUMMYFUNCTION("""COMPUTED_VALUE"""),42173.0)</f>
        <v>42173</v>
      </c>
      <c r="C1095" s="8" t="str">
        <f>IFERROR(__xludf.DUMMYFUNCTION("""COMPUTED_VALUE"""),"Skye Norling")</f>
        <v>Skye Norling</v>
      </c>
      <c r="D1095" s="8" t="str">
        <f>IFERROR(__xludf.DUMMYFUNCTION("""COMPUTED_VALUE"""),"Home Office")</f>
        <v>Home Office</v>
      </c>
      <c r="E1095" s="8" t="str">
        <f>IFERROR(__xludf.DUMMYFUNCTION("""COMPUTED_VALUE"""),"West")</f>
        <v>West</v>
      </c>
      <c r="F1095" s="10">
        <f>IFERROR(__xludf.DUMMYFUNCTION("""COMPUTED_VALUE"""),11.952)</f>
        <v>11.952</v>
      </c>
      <c r="G1095" s="11">
        <f>IFERROR(__xludf.DUMMYFUNCTION("""COMPUTED_VALUE"""),3.0)</f>
        <v>3</v>
      </c>
      <c r="H1095" s="11">
        <f>IFERROR(__xludf.DUMMYFUNCTION("""COMPUTED_VALUE"""),4.3326)</f>
        <v>4.3326</v>
      </c>
    </row>
    <row r="1096">
      <c r="A1096" s="8" t="str">
        <f>IFERROR(__xludf.DUMMYFUNCTION("""COMPUTED_VALUE"""),"CA-2015-122371")</f>
        <v>CA-2015-122371</v>
      </c>
      <c r="B1096" s="9">
        <f>IFERROR(__xludf.DUMMYFUNCTION("""COMPUTED_VALUE"""),42273.0)</f>
        <v>42273</v>
      </c>
      <c r="C1096" s="8" t="str">
        <f>IFERROR(__xludf.DUMMYFUNCTION("""COMPUTED_VALUE"""),"Bryan Spruell")</f>
        <v>Bryan Spruell</v>
      </c>
      <c r="D1096" s="8" t="str">
        <f>IFERROR(__xludf.DUMMYFUNCTION("""COMPUTED_VALUE"""),"Home Office")</f>
        <v>Home Office</v>
      </c>
      <c r="E1096" s="8" t="str">
        <f>IFERROR(__xludf.DUMMYFUNCTION("""COMPUTED_VALUE"""),"West")</f>
        <v>West</v>
      </c>
      <c r="F1096" s="10">
        <f>IFERROR(__xludf.DUMMYFUNCTION("""COMPUTED_VALUE"""),64.17)</f>
        <v>64.17</v>
      </c>
      <c r="G1096" s="11">
        <f>IFERROR(__xludf.DUMMYFUNCTION("""COMPUTED_VALUE"""),3.0)</f>
        <v>3</v>
      </c>
      <c r="H1096" s="11">
        <f>IFERROR(__xludf.DUMMYFUNCTION("""COMPUTED_VALUE"""),18.6093)</f>
        <v>18.6093</v>
      </c>
    </row>
    <row r="1097">
      <c r="A1097" s="8" t="str">
        <f>IFERROR(__xludf.DUMMYFUNCTION("""COMPUTED_VALUE"""),"CA-2015-122406")</f>
        <v>CA-2015-122406</v>
      </c>
      <c r="B1097" s="9">
        <f>IFERROR(__xludf.DUMMYFUNCTION("""COMPUTED_VALUE"""),42218.0)</f>
        <v>42218</v>
      </c>
      <c r="C1097" s="8" t="str">
        <f>IFERROR(__xludf.DUMMYFUNCTION("""COMPUTED_VALUE"""),"Brad Eason")</f>
        <v>Brad Eason</v>
      </c>
      <c r="D1097" s="8" t="str">
        <f>IFERROR(__xludf.DUMMYFUNCTION("""COMPUTED_VALUE"""),"Home Office")</f>
        <v>Home Office</v>
      </c>
      <c r="E1097" s="8" t="str">
        <f>IFERROR(__xludf.DUMMYFUNCTION("""COMPUTED_VALUE"""),"East")</f>
        <v>East</v>
      </c>
      <c r="F1097" s="10">
        <f>IFERROR(__xludf.DUMMYFUNCTION("""COMPUTED_VALUE"""),128.85)</f>
        <v>128.85</v>
      </c>
      <c r="G1097" s="11">
        <f>IFERROR(__xludf.DUMMYFUNCTION("""COMPUTED_VALUE"""),3.0)</f>
        <v>3</v>
      </c>
      <c r="H1097" s="11">
        <f>IFERROR(__xludf.DUMMYFUNCTION("""COMPUTED_VALUE"""),3.8655)</f>
        <v>3.8655</v>
      </c>
    </row>
    <row r="1098">
      <c r="A1098" s="8" t="str">
        <f>IFERROR(__xludf.DUMMYFUNCTION("""COMPUTED_VALUE"""),"CA-2015-122623")</f>
        <v>CA-2015-122623</v>
      </c>
      <c r="B1098" s="9">
        <f>IFERROR(__xludf.DUMMYFUNCTION("""COMPUTED_VALUE"""),42254.0)</f>
        <v>42254</v>
      </c>
      <c r="C1098" s="8" t="str">
        <f>IFERROR(__xludf.DUMMYFUNCTION("""COMPUTED_VALUE"""),"Charles Crestani")</f>
        <v>Charles Crestani</v>
      </c>
      <c r="D1098" s="8" t="str">
        <f>IFERROR(__xludf.DUMMYFUNCTION("""COMPUTED_VALUE"""),"Consumer")</f>
        <v>Consumer</v>
      </c>
      <c r="E1098" s="8" t="str">
        <f>IFERROR(__xludf.DUMMYFUNCTION("""COMPUTED_VALUE"""),"Central")</f>
        <v>Central</v>
      </c>
      <c r="F1098" s="10">
        <f>IFERROR(__xludf.DUMMYFUNCTION("""COMPUTED_VALUE"""),47.516)</f>
        <v>47.516</v>
      </c>
      <c r="G1098" s="11">
        <f>IFERROR(__xludf.DUMMYFUNCTION("""COMPUTED_VALUE"""),2.0)</f>
        <v>2</v>
      </c>
      <c r="H1098" s="11">
        <f>IFERROR(__xludf.DUMMYFUNCTION("""COMPUTED_VALUE"""),-2.0364)</f>
        <v>-2.0364</v>
      </c>
    </row>
    <row r="1099">
      <c r="A1099" s="8" t="str">
        <f>IFERROR(__xludf.DUMMYFUNCTION("""COMPUTED_VALUE"""),"CA-2015-122756")</f>
        <v>CA-2015-122756</v>
      </c>
      <c r="B1099" s="9">
        <f>IFERROR(__xludf.DUMMYFUNCTION("""COMPUTED_VALUE"""),42341.0)</f>
        <v>42341</v>
      </c>
      <c r="C1099" s="8" t="str">
        <f>IFERROR(__xludf.DUMMYFUNCTION("""COMPUTED_VALUE"""),"Dean Katz")</f>
        <v>Dean Katz</v>
      </c>
      <c r="D1099" s="8" t="str">
        <f>IFERROR(__xludf.DUMMYFUNCTION("""COMPUTED_VALUE"""),"Corporate")</f>
        <v>Corporate</v>
      </c>
      <c r="E1099" s="8" t="str">
        <f>IFERROR(__xludf.DUMMYFUNCTION("""COMPUTED_VALUE"""),"East")</f>
        <v>East</v>
      </c>
      <c r="F1099" s="10">
        <f>IFERROR(__xludf.DUMMYFUNCTION("""COMPUTED_VALUE"""),482.34)</f>
        <v>482.34</v>
      </c>
      <c r="G1099" s="11">
        <f>IFERROR(__xludf.DUMMYFUNCTION("""COMPUTED_VALUE"""),4.0)</f>
        <v>4</v>
      </c>
      <c r="H1099" s="11">
        <f>IFERROR(__xludf.DUMMYFUNCTION("""COMPUTED_VALUE"""),-337.638)</f>
        <v>-337.638</v>
      </c>
    </row>
    <row r="1100">
      <c r="A1100" s="8" t="str">
        <f>IFERROR(__xludf.DUMMYFUNCTION("""COMPUTED_VALUE"""),"CA-2015-122826")</f>
        <v>CA-2015-122826</v>
      </c>
      <c r="B1100" s="9">
        <f>IFERROR(__xludf.DUMMYFUNCTION("""COMPUTED_VALUE"""),42178.0)</f>
        <v>42178</v>
      </c>
      <c r="C1100" s="8" t="str">
        <f>IFERROR(__xludf.DUMMYFUNCTION("""COMPUTED_VALUE"""),"Rick Duston")</f>
        <v>Rick Duston</v>
      </c>
      <c r="D1100" s="8" t="str">
        <f>IFERROR(__xludf.DUMMYFUNCTION("""COMPUTED_VALUE"""),"Consumer")</f>
        <v>Consumer</v>
      </c>
      <c r="E1100" s="8" t="str">
        <f>IFERROR(__xludf.DUMMYFUNCTION("""COMPUTED_VALUE"""),"West")</f>
        <v>West</v>
      </c>
      <c r="F1100" s="10">
        <f>IFERROR(__xludf.DUMMYFUNCTION("""COMPUTED_VALUE"""),201.568)</f>
        <v>201.568</v>
      </c>
      <c r="G1100" s="11">
        <f>IFERROR(__xludf.DUMMYFUNCTION("""COMPUTED_VALUE"""),4.0)</f>
        <v>4</v>
      </c>
      <c r="H1100" s="11">
        <f>IFERROR(__xludf.DUMMYFUNCTION("""COMPUTED_VALUE"""),22.6764)</f>
        <v>22.6764</v>
      </c>
    </row>
    <row r="1101">
      <c r="A1101" s="8" t="str">
        <f>IFERROR(__xludf.DUMMYFUNCTION("""COMPUTED_VALUE"""),"CA-2015-122973")</f>
        <v>CA-2015-122973</v>
      </c>
      <c r="B1101" s="9">
        <f>IFERROR(__xludf.DUMMYFUNCTION("""COMPUTED_VALUE"""),42203.0)</f>
        <v>42203</v>
      </c>
      <c r="C1101" s="8" t="str">
        <f>IFERROR(__xludf.DUMMYFUNCTION("""COMPUTED_VALUE"""),"Pauline Johnson")</f>
        <v>Pauline Johnson</v>
      </c>
      <c r="D1101" s="8" t="str">
        <f>IFERROR(__xludf.DUMMYFUNCTION("""COMPUTED_VALUE"""),"Consumer")</f>
        <v>Consumer</v>
      </c>
      <c r="E1101" s="8" t="str">
        <f>IFERROR(__xludf.DUMMYFUNCTION("""COMPUTED_VALUE"""),"East")</f>
        <v>East</v>
      </c>
      <c r="F1101" s="10">
        <f>IFERROR(__xludf.DUMMYFUNCTION("""COMPUTED_VALUE"""),3.328)</f>
        <v>3.328</v>
      </c>
      <c r="G1101" s="11">
        <f>IFERROR(__xludf.DUMMYFUNCTION("""COMPUTED_VALUE"""),2.0)</f>
        <v>2</v>
      </c>
      <c r="H1101" s="11">
        <f>IFERROR(__xludf.DUMMYFUNCTION("""COMPUTED_VALUE"""),1.2064)</f>
        <v>1.2064</v>
      </c>
    </row>
    <row r="1102">
      <c r="A1102" s="8" t="str">
        <f>IFERROR(__xludf.DUMMYFUNCTION("""COMPUTED_VALUE"""),"CA-2015-123092")</f>
        <v>CA-2015-123092</v>
      </c>
      <c r="B1102" s="9">
        <f>IFERROR(__xludf.DUMMYFUNCTION("""COMPUTED_VALUE"""),42341.0)</f>
        <v>42341</v>
      </c>
      <c r="C1102" s="8" t="str">
        <f>IFERROR(__xludf.DUMMYFUNCTION("""COMPUTED_VALUE"""),"Jack Garza")</f>
        <v>Jack Garza</v>
      </c>
      <c r="D1102" s="8" t="str">
        <f>IFERROR(__xludf.DUMMYFUNCTION("""COMPUTED_VALUE"""),"Consumer")</f>
        <v>Consumer</v>
      </c>
      <c r="E1102" s="8" t="str">
        <f>IFERROR(__xludf.DUMMYFUNCTION("""COMPUTED_VALUE"""),"South")</f>
        <v>South</v>
      </c>
      <c r="F1102" s="10">
        <f>IFERROR(__xludf.DUMMYFUNCTION("""COMPUTED_VALUE"""),77.952)</f>
        <v>77.952</v>
      </c>
      <c r="G1102" s="11">
        <f>IFERROR(__xludf.DUMMYFUNCTION("""COMPUTED_VALUE"""),3.0)</f>
        <v>3</v>
      </c>
      <c r="H1102" s="11">
        <f>IFERROR(__xludf.DUMMYFUNCTION("""COMPUTED_VALUE"""),12.6672)</f>
        <v>12.6672</v>
      </c>
    </row>
    <row r="1103">
      <c r="A1103" s="8" t="str">
        <f>IFERROR(__xludf.DUMMYFUNCTION("""COMPUTED_VALUE"""),"CA-2015-123113")</f>
        <v>CA-2015-123113</v>
      </c>
      <c r="B1103" s="9">
        <f>IFERROR(__xludf.DUMMYFUNCTION("""COMPUTED_VALUE"""),42331.0)</f>
        <v>42331</v>
      </c>
      <c r="C1103" s="8" t="str">
        <f>IFERROR(__xludf.DUMMYFUNCTION("""COMPUTED_VALUE"""),"Annie Thurman")</f>
        <v>Annie Thurman</v>
      </c>
      <c r="D1103" s="8" t="str">
        <f>IFERROR(__xludf.DUMMYFUNCTION("""COMPUTED_VALUE"""),"Consumer")</f>
        <v>Consumer</v>
      </c>
      <c r="E1103" s="8" t="str">
        <f>IFERROR(__xludf.DUMMYFUNCTION("""COMPUTED_VALUE"""),"East")</f>
        <v>East</v>
      </c>
      <c r="F1103" s="10">
        <f>IFERROR(__xludf.DUMMYFUNCTION("""COMPUTED_VALUE"""),2625.12)</f>
        <v>2625.12</v>
      </c>
      <c r="G1103" s="11">
        <f>IFERROR(__xludf.DUMMYFUNCTION("""COMPUTED_VALUE"""),8.0)</f>
        <v>8</v>
      </c>
      <c r="H1103" s="11">
        <f>IFERROR(__xludf.DUMMYFUNCTION("""COMPUTED_VALUE"""),735.0336)</f>
        <v>735.0336</v>
      </c>
    </row>
    <row r="1104">
      <c r="A1104" s="8" t="str">
        <f>IFERROR(__xludf.DUMMYFUNCTION("""COMPUTED_VALUE"""),"CA-2015-123141")</f>
        <v>CA-2015-123141</v>
      </c>
      <c r="B1104" s="9">
        <f>IFERROR(__xludf.DUMMYFUNCTION("""COMPUTED_VALUE"""),42322.0)</f>
        <v>42322</v>
      </c>
      <c r="C1104" s="8" t="str">
        <f>IFERROR(__xludf.DUMMYFUNCTION("""COMPUTED_VALUE"""),"Gary Zandusky")</f>
        <v>Gary Zandusky</v>
      </c>
      <c r="D1104" s="8" t="str">
        <f>IFERROR(__xludf.DUMMYFUNCTION("""COMPUTED_VALUE"""),"Consumer")</f>
        <v>Consumer</v>
      </c>
      <c r="E1104" s="8" t="str">
        <f>IFERROR(__xludf.DUMMYFUNCTION("""COMPUTED_VALUE"""),"West")</f>
        <v>West</v>
      </c>
      <c r="F1104" s="10">
        <f>IFERROR(__xludf.DUMMYFUNCTION("""COMPUTED_VALUE"""),883.84)</f>
        <v>883.84</v>
      </c>
      <c r="G1104" s="11">
        <f>IFERROR(__xludf.DUMMYFUNCTION("""COMPUTED_VALUE"""),4.0)</f>
        <v>4</v>
      </c>
      <c r="H1104" s="11">
        <f>IFERROR(__xludf.DUMMYFUNCTION("""COMPUTED_VALUE"""),99.432)</f>
        <v>99.432</v>
      </c>
    </row>
    <row r="1105">
      <c r="A1105" s="8" t="str">
        <f>IFERROR(__xludf.DUMMYFUNCTION("""COMPUTED_VALUE"""),"CA-2015-123155")</f>
        <v>CA-2015-123155</v>
      </c>
      <c r="B1105" s="9">
        <f>IFERROR(__xludf.DUMMYFUNCTION("""COMPUTED_VALUE"""),42072.0)</f>
        <v>42072</v>
      </c>
      <c r="C1105" s="8" t="str">
        <f>IFERROR(__xludf.DUMMYFUNCTION("""COMPUTED_VALUE"""),"Noel Staavos")</f>
        <v>Noel Staavos</v>
      </c>
      <c r="D1105" s="8" t="str">
        <f>IFERROR(__xludf.DUMMYFUNCTION("""COMPUTED_VALUE"""),"Corporate")</f>
        <v>Corporate</v>
      </c>
      <c r="E1105" s="8" t="str">
        <f>IFERROR(__xludf.DUMMYFUNCTION("""COMPUTED_VALUE"""),"Central")</f>
        <v>Central</v>
      </c>
      <c r="F1105" s="10">
        <f>IFERROR(__xludf.DUMMYFUNCTION("""COMPUTED_VALUE"""),113.52)</f>
        <v>113.52</v>
      </c>
      <c r="G1105" s="11">
        <f>IFERROR(__xludf.DUMMYFUNCTION("""COMPUTED_VALUE"""),5.0)</f>
        <v>5</v>
      </c>
      <c r="H1105" s="11">
        <f>IFERROR(__xludf.DUMMYFUNCTION("""COMPUTED_VALUE"""),29.799)</f>
        <v>29.799</v>
      </c>
    </row>
    <row r="1106">
      <c r="A1106" s="8" t="str">
        <f>IFERROR(__xludf.DUMMYFUNCTION("""COMPUTED_VALUE"""),"CA-2015-123232")</f>
        <v>CA-2015-123232</v>
      </c>
      <c r="B1106" s="9">
        <f>IFERROR(__xludf.DUMMYFUNCTION("""COMPUTED_VALUE"""),42352.0)</f>
        <v>42352</v>
      </c>
      <c r="C1106" s="8" t="str">
        <f>IFERROR(__xludf.DUMMYFUNCTION("""COMPUTED_VALUE"""),"Doug Jacobs")</f>
        <v>Doug Jacobs</v>
      </c>
      <c r="D1106" s="8" t="str">
        <f>IFERROR(__xludf.DUMMYFUNCTION("""COMPUTED_VALUE"""),"Consumer")</f>
        <v>Consumer</v>
      </c>
      <c r="E1106" s="8" t="str">
        <f>IFERROR(__xludf.DUMMYFUNCTION("""COMPUTED_VALUE"""),"West")</f>
        <v>West</v>
      </c>
      <c r="F1106" s="10">
        <f>IFERROR(__xludf.DUMMYFUNCTION("""COMPUTED_VALUE"""),319.968)</f>
        <v>319.968</v>
      </c>
      <c r="G1106" s="11">
        <f>IFERROR(__xludf.DUMMYFUNCTION("""COMPUTED_VALUE"""),4.0)</f>
        <v>4</v>
      </c>
      <c r="H1106" s="11">
        <f>IFERROR(__xludf.DUMMYFUNCTION("""COMPUTED_VALUE"""),35.9964)</f>
        <v>35.9964</v>
      </c>
    </row>
    <row r="1107">
      <c r="A1107" s="8" t="str">
        <f>IFERROR(__xludf.DUMMYFUNCTION("""COMPUTED_VALUE"""),"CA-2015-123330")</f>
        <v>CA-2015-123330</v>
      </c>
      <c r="B1107" s="9">
        <f>IFERROR(__xludf.DUMMYFUNCTION("""COMPUTED_VALUE"""),42176.0)</f>
        <v>42176</v>
      </c>
      <c r="C1107" s="8" t="str">
        <f>IFERROR(__xludf.DUMMYFUNCTION("""COMPUTED_VALUE"""),"Emily Phan")</f>
        <v>Emily Phan</v>
      </c>
      <c r="D1107" s="8" t="str">
        <f>IFERROR(__xludf.DUMMYFUNCTION("""COMPUTED_VALUE"""),"Consumer")</f>
        <v>Consumer</v>
      </c>
      <c r="E1107" s="8" t="str">
        <f>IFERROR(__xludf.DUMMYFUNCTION("""COMPUTED_VALUE"""),"South")</f>
        <v>South</v>
      </c>
      <c r="F1107" s="10">
        <f>IFERROR(__xludf.DUMMYFUNCTION("""COMPUTED_VALUE"""),107.976)</f>
        <v>107.976</v>
      </c>
      <c r="G1107" s="11">
        <f>IFERROR(__xludf.DUMMYFUNCTION("""COMPUTED_VALUE"""),3.0)</f>
        <v>3</v>
      </c>
      <c r="H1107" s="11">
        <f>IFERROR(__xludf.DUMMYFUNCTION("""COMPUTED_VALUE"""),37.7916)</f>
        <v>37.7916</v>
      </c>
    </row>
    <row r="1108">
      <c r="A1108" s="8" t="str">
        <f>IFERROR(__xludf.DUMMYFUNCTION("""COMPUTED_VALUE"""),"CA-2015-123456")</f>
        <v>CA-2015-123456</v>
      </c>
      <c r="B1108" s="9">
        <f>IFERROR(__xludf.DUMMYFUNCTION("""COMPUTED_VALUE"""),42194.0)</f>
        <v>42194</v>
      </c>
      <c r="C1108" s="8" t="str">
        <f>IFERROR(__xludf.DUMMYFUNCTION("""COMPUTED_VALUE"""),"Kean Nguyen")</f>
        <v>Kean Nguyen</v>
      </c>
      <c r="D1108" s="8" t="str">
        <f>IFERROR(__xludf.DUMMYFUNCTION("""COMPUTED_VALUE"""),"Corporate")</f>
        <v>Corporate</v>
      </c>
      <c r="E1108" s="8" t="str">
        <f>IFERROR(__xludf.DUMMYFUNCTION("""COMPUTED_VALUE"""),"Central")</f>
        <v>Central</v>
      </c>
      <c r="F1108" s="10">
        <f>IFERROR(__xludf.DUMMYFUNCTION("""COMPUTED_VALUE"""),48.632)</f>
        <v>48.632</v>
      </c>
      <c r="G1108" s="11">
        <f>IFERROR(__xludf.DUMMYFUNCTION("""COMPUTED_VALUE"""),2.0)</f>
        <v>2</v>
      </c>
      <c r="H1108" s="11">
        <f>IFERROR(__xludf.DUMMYFUNCTION("""COMPUTED_VALUE"""),-121.58)</f>
        <v>-121.58</v>
      </c>
    </row>
    <row r="1109">
      <c r="A1109" s="8" t="str">
        <f>IFERROR(__xludf.DUMMYFUNCTION("""COMPUTED_VALUE"""),"CA-2015-123505")</f>
        <v>CA-2015-123505</v>
      </c>
      <c r="B1109" s="9">
        <f>IFERROR(__xludf.DUMMYFUNCTION("""COMPUTED_VALUE"""),42330.0)</f>
        <v>42330</v>
      </c>
      <c r="C1109" s="8" t="str">
        <f>IFERROR(__xludf.DUMMYFUNCTION("""COMPUTED_VALUE"""),"Andy Reiter")</f>
        <v>Andy Reiter</v>
      </c>
      <c r="D1109" s="8" t="str">
        <f>IFERROR(__xludf.DUMMYFUNCTION("""COMPUTED_VALUE"""),"Consumer")</f>
        <v>Consumer</v>
      </c>
      <c r="E1109" s="8" t="str">
        <f>IFERROR(__xludf.DUMMYFUNCTION("""COMPUTED_VALUE"""),"East")</f>
        <v>East</v>
      </c>
      <c r="F1109" s="10">
        <f>IFERROR(__xludf.DUMMYFUNCTION("""COMPUTED_VALUE"""),14.94)</f>
        <v>14.94</v>
      </c>
      <c r="G1109" s="11">
        <f>IFERROR(__xludf.DUMMYFUNCTION("""COMPUTED_VALUE"""),3.0)</f>
        <v>3</v>
      </c>
      <c r="H1109" s="11">
        <f>IFERROR(__xludf.DUMMYFUNCTION("""COMPUTED_VALUE"""),7.0218)</f>
        <v>7.0218</v>
      </c>
    </row>
    <row r="1110">
      <c r="A1110" s="8" t="str">
        <f>IFERROR(__xludf.DUMMYFUNCTION("""COMPUTED_VALUE"""),"CA-2015-123568")</f>
        <v>CA-2015-123568</v>
      </c>
      <c r="B1110" s="9">
        <f>IFERROR(__xludf.DUMMYFUNCTION("""COMPUTED_VALUE"""),42316.0)</f>
        <v>42316</v>
      </c>
      <c r="C1110" s="8" t="str">
        <f>IFERROR(__xludf.DUMMYFUNCTION("""COMPUTED_VALUE"""),"Sanjit Chand")</f>
        <v>Sanjit Chand</v>
      </c>
      <c r="D1110" s="8" t="str">
        <f>IFERROR(__xludf.DUMMYFUNCTION("""COMPUTED_VALUE"""),"Consumer")</f>
        <v>Consumer</v>
      </c>
      <c r="E1110" s="8" t="str">
        <f>IFERROR(__xludf.DUMMYFUNCTION("""COMPUTED_VALUE"""),"West")</f>
        <v>West</v>
      </c>
      <c r="F1110" s="10">
        <f>IFERROR(__xludf.DUMMYFUNCTION("""COMPUTED_VALUE"""),5.04)</f>
        <v>5.04</v>
      </c>
      <c r="G1110" s="11">
        <f>IFERROR(__xludf.DUMMYFUNCTION("""COMPUTED_VALUE"""),3.0)</f>
        <v>3</v>
      </c>
      <c r="H1110" s="11">
        <f>IFERROR(__xludf.DUMMYFUNCTION("""COMPUTED_VALUE"""),0.2016)</f>
        <v>0.2016</v>
      </c>
    </row>
    <row r="1111">
      <c r="A1111" s="8" t="str">
        <f>IFERROR(__xludf.DUMMYFUNCTION("""COMPUTED_VALUE"""),"CA-2015-123673")</f>
        <v>CA-2015-123673</v>
      </c>
      <c r="B1111" s="9">
        <f>IFERROR(__xludf.DUMMYFUNCTION("""COMPUTED_VALUE"""),42307.0)</f>
        <v>42307</v>
      </c>
      <c r="C1111" s="8" t="str">
        <f>IFERROR(__xludf.DUMMYFUNCTION("""COMPUTED_VALUE"""),"Cathy Hwang")</f>
        <v>Cathy Hwang</v>
      </c>
      <c r="D1111" s="8" t="str">
        <f>IFERROR(__xludf.DUMMYFUNCTION("""COMPUTED_VALUE"""),"Home Office")</f>
        <v>Home Office</v>
      </c>
      <c r="E1111" s="8" t="str">
        <f>IFERROR(__xludf.DUMMYFUNCTION("""COMPUTED_VALUE"""),"Central")</f>
        <v>Central</v>
      </c>
      <c r="F1111" s="10">
        <f>IFERROR(__xludf.DUMMYFUNCTION("""COMPUTED_VALUE"""),299.9)</f>
        <v>299.9</v>
      </c>
      <c r="G1111" s="11">
        <f>IFERROR(__xludf.DUMMYFUNCTION("""COMPUTED_VALUE"""),2.0)</f>
        <v>2</v>
      </c>
      <c r="H1111" s="11">
        <f>IFERROR(__xludf.DUMMYFUNCTION("""COMPUTED_VALUE"""),74.975)</f>
        <v>74.975</v>
      </c>
    </row>
    <row r="1112">
      <c r="A1112" s="8" t="str">
        <f>IFERROR(__xludf.DUMMYFUNCTION("""COMPUTED_VALUE"""),"CA-2015-123939")</f>
        <v>CA-2015-123939</v>
      </c>
      <c r="B1112" s="9">
        <f>IFERROR(__xludf.DUMMYFUNCTION("""COMPUTED_VALUE"""),42240.0)</f>
        <v>42240</v>
      </c>
      <c r="C1112" s="8" t="str">
        <f>IFERROR(__xludf.DUMMYFUNCTION("""COMPUTED_VALUE"""),"Maurice Satty")</f>
        <v>Maurice Satty</v>
      </c>
      <c r="D1112" s="8" t="str">
        <f>IFERROR(__xludf.DUMMYFUNCTION("""COMPUTED_VALUE"""),"Consumer")</f>
        <v>Consumer</v>
      </c>
      <c r="E1112" s="8" t="str">
        <f>IFERROR(__xludf.DUMMYFUNCTION("""COMPUTED_VALUE"""),"East")</f>
        <v>East</v>
      </c>
      <c r="F1112" s="10">
        <f>IFERROR(__xludf.DUMMYFUNCTION("""COMPUTED_VALUE"""),26.982)</f>
        <v>26.982</v>
      </c>
      <c r="G1112" s="11">
        <f>IFERROR(__xludf.DUMMYFUNCTION("""COMPUTED_VALUE"""),3.0)</f>
        <v>3</v>
      </c>
      <c r="H1112" s="11">
        <f>IFERROR(__xludf.DUMMYFUNCTION("""COMPUTED_VALUE"""),4.0473)</f>
        <v>4.0473</v>
      </c>
    </row>
    <row r="1113">
      <c r="A1113" s="8" t="str">
        <f>IFERROR(__xludf.DUMMYFUNCTION("""COMPUTED_VALUE"""),"CA-2015-124044")</f>
        <v>CA-2015-124044</v>
      </c>
      <c r="B1113" s="9">
        <f>IFERROR(__xludf.DUMMYFUNCTION("""COMPUTED_VALUE"""),42208.0)</f>
        <v>42208</v>
      </c>
      <c r="C1113" s="8" t="str">
        <f>IFERROR(__xludf.DUMMYFUNCTION("""COMPUTED_VALUE"""),"Melanie Seite")</f>
        <v>Melanie Seite</v>
      </c>
      <c r="D1113" s="8" t="str">
        <f>IFERROR(__xludf.DUMMYFUNCTION("""COMPUTED_VALUE"""),"Consumer")</f>
        <v>Consumer</v>
      </c>
      <c r="E1113" s="8" t="str">
        <f>IFERROR(__xludf.DUMMYFUNCTION("""COMPUTED_VALUE"""),"East")</f>
        <v>East</v>
      </c>
      <c r="F1113" s="10">
        <f>IFERROR(__xludf.DUMMYFUNCTION("""COMPUTED_VALUE"""),10.512)</f>
        <v>10.512</v>
      </c>
      <c r="G1113" s="11">
        <f>IFERROR(__xludf.DUMMYFUNCTION("""COMPUTED_VALUE"""),3.0)</f>
        <v>3</v>
      </c>
      <c r="H1113" s="11">
        <f>IFERROR(__xludf.DUMMYFUNCTION("""COMPUTED_VALUE"""),3.6792)</f>
        <v>3.6792</v>
      </c>
    </row>
    <row r="1114">
      <c r="A1114" s="8" t="str">
        <f>IFERROR(__xludf.DUMMYFUNCTION("""COMPUTED_VALUE"""),"CA-2015-124058")</f>
        <v>CA-2015-124058</v>
      </c>
      <c r="B1114" s="9">
        <f>IFERROR(__xludf.DUMMYFUNCTION("""COMPUTED_VALUE"""),42328.0)</f>
        <v>42328</v>
      </c>
      <c r="C1114" s="8" t="str">
        <f>IFERROR(__xludf.DUMMYFUNCTION("""COMPUTED_VALUE"""),"Lena Creighton")</f>
        <v>Lena Creighton</v>
      </c>
      <c r="D1114" s="8" t="str">
        <f>IFERROR(__xludf.DUMMYFUNCTION("""COMPUTED_VALUE"""),"Consumer")</f>
        <v>Consumer</v>
      </c>
      <c r="E1114" s="8" t="str">
        <f>IFERROR(__xludf.DUMMYFUNCTION("""COMPUTED_VALUE"""),"West")</f>
        <v>West</v>
      </c>
      <c r="F1114" s="10">
        <f>IFERROR(__xludf.DUMMYFUNCTION("""COMPUTED_VALUE"""),72.744)</f>
        <v>72.744</v>
      </c>
      <c r="G1114" s="11">
        <f>IFERROR(__xludf.DUMMYFUNCTION("""COMPUTED_VALUE"""),7.0)</f>
        <v>7</v>
      </c>
      <c r="H1114" s="11">
        <f>IFERROR(__xludf.DUMMYFUNCTION("""COMPUTED_VALUE"""),-15.4581)</f>
        <v>-15.4581</v>
      </c>
    </row>
    <row r="1115">
      <c r="A1115" s="8" t="str">
        <f>IFERROR(__xludf.DUMMYFUNCTION("""COMPUTED_VALUE"""),"CA-2015-124107")</f>
        <v>CA-2015-124107</v>
      </c>
      <c r="B1115" s="9">
        <f>IFERROR(__xludf.DUMMYFUNCTION("""COMPUTED_VALUE"""),42286.0)</f>
        <v>42286</v>
      </c>
      <c r="C1115" s="8" t="str">
        <f>IFERROR(__xludf.DUMMYFUNCTION("""COMPUTED_VALUE"""),"Brian Moss")</f>
        <v>Brian Moss</v>
      </c>
      <c r="D1115" s="8" t="str">
        <f>IFERROR(__xludf.DUMMYFUNCTION("""COMPUTED_VALUE"""),"Corporate")</f>
        <v>Corporate</v>
      </c>
      <c r="E1115" s="8" t="str">
        <f>IFERROR(__xludf.DUMMYFUNCTION("""COMPUTED_VALUE"""),"Central")</f>
        <v>Central</v>
      </c>
      <c r="F1115" s="10">
        <f>IFERROR(__xludf.DUMMYFUNCTION("""COMPUTED_VALUE"""),619.95)</f>
        <v>619.95</v>
      </c>
      <c r="G1115" s="11">
        <f>IFERROR(__xludf.DUMMYFUNCTION("""COMPUTED_VALUE"""),5.0)</f>
        <v>5</v>
      </c>
      <c r="H1115" s="11">
        <f>IFERROR(__xludf.DUMMYFUNCTION("""COMPUTED_VALUE"""),111.591)</f>
        <v>111.591</v>
      </c>
    </row>
    <row r="1116">
      <c r="A1116" s="8" t="str">
        <f>IFERROR(__xludf.DUMMYFUNCTION("""COMPUTED_VALUE"""),"CA-2015-124268")</f>
        <v>CA-2015-124268</v>
      </c>
      <c r="B1116" s="9">
        <f>IFERROR(__xludf.DUMMYFUNCTION("""COMPUTED_VALUE"""),42189.0)</f>
        <v>42189</v>
      </c>
      <c r="C1116" s="8" t="str">
        <f>IFERROR(__xludf.DUMMYFUNCTION("""COMPUTED_VALUE"""),"Alan Dominguez")</f>
        <v>Alan Dominguez</v>
      </c>
      <c r="D1116" s="8" t="str">
        <f>IFERROR(__xludf.DUMMYFUNCTION("""COMPUTED_VALUE"""),"Home Office")</f>
        <v>Home Office</v>
      </c>
      <c r="E1116" s="8" t="str">
        <f>IFERROR(__xludf.DUMMYFUNCTION("""COMPUTED_VALUE"""),"East")</f>
        <v>East</v>
      </c>
      <c r="F1116" s="10">
        <f>IFERROR(__xludf.DUMMYFUNCTION("""COMPUTED_VALUE"""),15.48)</f>
        <v>15.48</v>
      </c>
      <c r="G1116" s="11">
        <f>IFERROR(__xludf.DUMMYFUNCTION("""COMPUTED_VALUE"""),3.0)</f>
        <v>3</v>
      </c>
      <c r="H1116" s="11">
        <f>IFERROR(__xludf.DUMMYFUNCTION("""COMPUTED_VALUE"""),4.4892)</f>
        <v>4.4892</v>
      </c>
    </row>
    <row r="1117">
      <c r="A1117" s="8" t="str">
        <f>IFERROR(__xludf.DUMMYFUNCTION("""COMPUTED_VALUE"""),"CA-2015-124450")</f>
        <v>CA-2015-124450</v>
      </c>
      <c r="B1117" s="9">
        <f>IFERROR(__xludf.DUMMYFUNCTION("""COMPUTED_VALUE"""),42121.0)</f>
        <v>42121</v>
      </c>
      <c r="C1117" s="8" t="str">
        <f>IFERROR(__xludf.DUMMYFUNCTION("""COMPUTED_VALUE"""),"Greg Tran")</f>
        <v>Greg Tran</v>
      </c>
      <c r="D1117" s="8" t="str">
        <f>IFERROR(__xludf.DUMMYFUNCTION("""COMPUTED_VALUE"""),"Consumer")</f>
        <v>Consumer</v>
      </c>
      <c r="E1117" s="8" t="str">
        <f>IFERROR(__xludf.DUMMYFUNCTION("""COMPUTED_VALUE"""),"East")</f>
        <v>East</v>
      </c>
      <c r="F1117" s="10">
        <f>IFERROR(__xludf.DUMMYFUNCTION("""COMPUTED_VALUE"""),22.74)</f>
        <v>22.74</v>
      </c>
      <c r="G1117" s="11">
        <f>IFERROR(__xludf.DUMMYFUNCTION("""COMPUTED_VALUE"""),3.0)</f>
        <v>3</v>
      </c>
      <c r="H1117" s="11">
        <f>IFERROR(__xludf.DUMMYFUNCTION("""COMPUTED_VALUE"""),8.8686)</f>
        <v>8.8686</v>
      </c>
    </row>
    <row r="1118">
      <c r="A1118" s="8" t="str">
        <f>IFERROR(__xludf.DUMMYFUNCTION("""COMPUTED_VALUE"""),"CA-2015-124499")</f>
        <v>CA-2015-124499</v>
      </c>
      <c r="B1118" s="9">
        <f>IFERROR(__xludf.DUMMYFUNCTION("""COMPUTED_VALUE"""),42286.0)</f>
        <v>42286</v>
      </c>
      <c r="C1118" s="8" t="str">
        <f>IFERROR(__xludf.DUMMYFUNCTION("""COMPUTED_VALUE"""),"Fred McMath")</f>
        <v>Fred McMath</v>
      </c>
      <c r="D1118" s="8" t="str">
        <f>IFERROR(__xludf.DUMMYFUNCTION("""COMPUTED_VALUE"""),"Consumer")</f>
        <v>Consumer</v>
      </c>
      <c r="E1118" s="8" t="str">
        <f>IFERROR(__xludf.DUMMYFUNCTION("""COMPUTED_VALUE"""),"Central")</f>
        <v>Central</v>
      </c>
      <c r="F1118" s="10">
        <f>IFERROR(__xludf.DUMMYFUNCTION("""COMPUTED_VALUE"""),389.97)</f>
        <v>389.97</v>
      </c>
      <c r="G1118" s="11">
        <f>IFERROR(__xludf.DUMMYFUNCTION("""COMPUTED_VALUE"""),3.0)</f>
        <v>3</v>
      </c>
      <c r="H1118" s="11">
        <f>IFERROR(__xludf.DUMMYFUNCTION("""COMPUTED_VALUE"""),35.0973)</f>
        <v>35.0973</v>
      </c>
    </row>
    <row r="1119">
      <c r="A1119" s="8" t="str">
        <f>IFERROR(__xludf.DUMMYFUNCTION("""COMPUTED_VALUE"""),"CA-2015-124541")</f>
        <v>CA-2015-124541</v>
      </c>
      <c r="B1119" s="9">
        <f>IFERROR(__xludf.DUMMYFUNCTION("""COMPUTED_VALUE"""),42100.0)</f>
        <v>42100</v>
      </c>
      <c r="C1119" s="8" t="str">
        <f>IFERROR(__xludf.DUMMYFUNCTION("""COMPUTED_VALUE"""),"Thomas Thornton")</f>
        <v>Thomas Thornton</v>
      </c>
      <c r="D1119" s="8" t="str">
        <f>IFERROR(__xludf.DUMMYFUNCTION("""COMPUTED_VALUE"""),"Consumer")</f>
        <v>Consumer</v>
      </c>
      <c r="E1119" s="8" t="str">
        <f>IFERROR(__xludf.DUMMYFUNCTION("""COMPUTED_VALUE"""),"Central")</f>
        <v>Central</v>
      </c>
      <c r="F1119" s="10">
        <f>IFERROR(__xludf.DUMMYFUNCTION("""COMPUTED_VALUE"""),42.048)</f>
        <v>42.048</v>
      </c>
      <c r="G1119" s="11">
        <f>IFERROR(__xludf.DUMMYFUNCTION("""COMPUTED_VALUE"""),9.0)</f>
        <v>9</v>
      </c>
      <c r="H1119" s="11">
        <f>IFERROR(__xludf.DUMMYFUNCTION("""COMPUTED_VALUE"""),5.256)</f>
        <v>5.256</v>
      </c>
    </row>
    <row r="1120">
      <c r="A1120" s="8" t="str">
        <f>IFERROR(__xludf.DUMMYFUNCTION("""COMPUTED_VALUE"""),"CA-2015-124653")</f>
        <v>CA-2015-124653</v>
      </c>
      <c r="B1120" s="9">
        <f>IFERROR(__xludf.DUMMYFUNCTION("""COMPUTED_VALUE"""),42362.0)</f>
        <v>42362</v>
      </c>
      <c r="C1120" s="8" t="str">
        <f>IFERROR(__xludf.DUMMYFUNCTION("""COMPUTED_VALUE"""),"David Bremer")</f>
        <v>David Bremer</v>
      </c>
      <c r="D1120" s="8" t="str">
        <f>IFERROR(__xludf.DUMMYFUNCTION("""COMPUTED_VALUE"""),"Corporate")</f>
        <v>Corporate</v>
      </c>
      <c r="E1120" s="8" t="str">
        <f>IFERROR(__xludf.DUMMYFUNCTION("""COMPUTED_VALUE"""),"East")</f>
        <v>East</v>
      </c>
      <c r="F1120" s="10">
        <f>IFERROR(__xludf.DUMMYFUNCTION("""COMPUTED_VALUE"""),132.79)</f>
        <v>132.79</v>
      </c>
      <c r="G1120" s="11">
        <f>IFERROR(__xludf.DUMMYFUNCTION("""COMPUTED_VALUE"""),7.0)</f>
        <v>7</v>
      </c>
      <c r="H1120" s="11">
        <f>IFERROR(__xludf.DUMMYFUNCTION("""COMPUTED_VALUE"""),63.7392)</f>
        <v>63.7392</v>
      </c>
    </row>
    <row r="1121">
      <c r="A1121" s="8" t="str">
        <f>IFERROR(__xludf.DUMMYFUNCTION("""COMPUTED_VALUE"""),"CA-2015-124800")</f>
        <v>CA-2015-124800</v>
      </c>
      <c r="B1121" s="9">
        <f>IFERROR(__xludf.DUMMYFUNCTION("""COMPUTED_VALUE"""),42273.0)</f>
        <v>42273</v>
      </c>
      <c r="C1121" s="8" t="str">
        <f>IFERROR(__xludf.DUMMYFUNCTION("""COMPUTED_VALUE"""),"Rick Wilson")</f>
        <v>Rick Wilson</v>
      </c>
      <c r="D1121" s="8" t="str">
        <f>IFERROR(__xludf.DUMMYFUNCTION("""COMPUTED_VALUE"""),"Corporate")</f>
        <v>Corporate</v>
      </c>
      <c r="E1121" s="8" t="str">
        <f>IFERROR(__xludf.DUMMYFUNCTION("""COMPUTED_VALUE"""),"West")</f>
        <v>West</v>
      </c>
      <c r="F1121" s="10">
        <f>IFERROR(__xludf.DUMMYFUNCTION("""COMPUTED_VALUE"""),86.272)</f>
        <v>86.272</v>
      </c>
      <c r="G1121" s="11">
        <f>IFERROR(__xludf.DUMMYFUNCTION("""COMPUTED_VALUE"""),4.0)</f>
        <v>4</v>
      </c>
      <c r="H1121" s="11">
        <f>IFERROR(__xludf.DUMMYFUNCTION("""COMPUTED_VALUE"""),31.2736)</f>
        <v>31.2736</v>
      </c>
    </row>
    <row r="1122">
      <c r="A1122" s="8" t="str">
        <f>IFERROR(__xludf.DUMMYFUNCTION("""COMPUTED_VALUE"""),"CA-2015-124891")</f>
        <v>CA-2015-124891</v>
      </c>
      <c r="B1122" s="9">
        <f>IFERROR(__xludf.DUMMYFUNCTION("""COMPUTED_VALUE"""),42216.0)</f>
        <v>42216</v>
      </c>
      <c r="C1122" s="8" t="str">
        <f>IFERROR(__xludf.DUMMYFUNCTION("""COMPUTED_VALUE"""),"Rick Hansen")</f>
        <v>Rick Hansen</v>
      </c>
      <c r="D1122" s="8" t="str">
        <f>IFERROR(__xludf.DUMMYFUNCTION("""COMPUTED_VALUE"""),"Consumer")</f>
        <v>Consumer</v>
      </c>
      <c r="E1122" s="8" t="str">
        <f>IFERROR(__xludf.DUMMYFUNCTION("""COMPUTED_VALUE"""),"East")</f>
        <v>East</v>
      </c>
      <c r="F1122" s="10">
        <f>IFERROR(__xludf.DUMMYFUNCTION("""COMPUTED_VALUE"""),2309.65)</f>
        <v>2309.65</v>
      </c>
      <c r="G1122" s="11">
        <f>IFERROR(__xludf.DUMMYFUNCTION("""COMPUTED_VALUE"""),7.0)</f>
        <v>7</v>
      </c>
      <c r="H1122" s="11">
        <f>IFERROR(__xludf.DUMMYFUNCTION("""COMPUTED_VALUE"""),762.1845)</f>
        <v>762.1845</v>
      </c>
    </row>
    <row r="1123">
      <c r="A1123" s="8" t="str">
        <f>IFERROR(__xludf.DUMMYFUNCTION("""COMPUTED_VALUE"""),"CA-2015-124919")</f>
        <v>CA-2015-124919</v>
      </c>
      <c r="B1123" s="9">
        <f>IFERROR(__xludf.DUMMYFUNCTION("""COMPUTED_VALUE"""),42155.0)</f>
        <v>42155</v>
      </c>
      <c r="C1123" s="8" t="str">
        <f>IFERROR(__xludf.DUMMYFUNCTION("""COMPUTED_VALUE"""),"Stephanie Phelps")</f>
        <v>Stephanie Phelps</v>
      </c>
      <c r="D1123" s="8" t="str">
        <f>IFERROR(__xludf.DUMMYFUNCTION("""COMPUTED_VALUE"""),"Corporate")</f>
        <v>Corporate</v>
      </c>
      <c r="E1123" s="8" t="str">
        <f>IFERROR(__xludf.DUMMYFUNCTION("""COMPUTED_VALUE"""),"West")</f>
        <v>West</v>
      </c>
      <c r="F1123" s="10">
        <f>IFERROR(__xludf.DUMMYFUNCTION("""COMPUTED_VALUE"""),58.38)</f>
        <v>58.38</v>
      </c>
      <c r="G1123" s="11">
        <f>IFERROR(__xludf.DUMMYFUNCTION("""COMPUTED_VALUE"""),7.0)</f>
        <v>7</v>
      </c>
      <c r="H1123" s="11">
        <f>IFERROR(__xludf.DUMMYFUNCTION("""COMPUTED_VALUE"""),26.271)</f>
        <v>26.271</v>
      </c>
    </row>
    <row r="1124">
      <c r="A1124" s="8" t="str">
        <f>IFERROR(__xludf.DUMMYFUNCTION("""COMPUTED_VALUE"""),"CA-2015-124933")</f>
        <v>CA-2015-124933</v>
      </c>
      <c r="B1124" s="9">
        <f>IFERROR(__xludf.DUMMYFUNCTION("""COMPUTED_VALUE"""),42364.0)</f>
        <v>42364</v>
      </c>
      <c r="C1124" s="8" t="str">
        <f>IFERROR(__xludf.DUMMYFUNCTION("""COMPUTED_VALUE"""),"David Flashing")</f>
        <v>David Flashing</v>
      </c>
      <c r="D1124" s="8" t="str">
        <f>IFERROR(__xludf.DUMMYFUNCTION("""COMPUTED_VALUE"""),"Consumer")</f>
        <v>Consumer</v>
      </c>
      <c r="E1124" s="8" t="str">
        <f>IFERROR(__xludf.DUMMYFUNCTION("""COMPUTED_VALUE"""),"East")</f>
        <v>East</v>
      </c>
      <c r="F1124" s="10">
        <f>IFERROR(__xludf.DUMMYFUNCTION("""COMPUTED_VALUE"""),212.64)</f>
        <v>212.64</v>
      </c>
      <c r="G1124" s="11">
        <f>IFERROR(__xludf.DUMMYFUNCTION("""COMPUTED_VALUE"""),6.0)</f>
        <v>6</v>
      </c>
      <c r="H1124" s="11">
        <f>IFERROR(__xludf.DUMMYFUNCTION("""COMPUTED_VALUE"""),99.9408)</f>
        <v>99.9408</v>
      </c>
    </row>
    <row r="1125">
      <c r="A1125" s="8" t="str">
        <f>IFERROR(__xludf.DUMMYFUNCTION("""COMPUTED_VALUE"""),"CA-2015-124975")</f>
        <v>CA-2015-124975</v>
      </c>
      <c r="B1125" s="9">
        <f>IFERROR(__xludf.DUMMYFUNCTION("""COMPUTED_VALUE"""),42177.0)</f>
        <v>42177</v>
      </c>
      <c r="C1125" s="8" t="str">
        <f>IFERROR(__xludf.DUMMYFUNCTION("""COMPUTED_VALUE"""),"Michael Grace")</f>
        <v>Michael Grace</v>
      </c>
      <c r="D1125" s="8" t="str">
        <f>IFERROR(__xludf.DUMMYFUNCTION("""COMPUTED_VALUE"""),"Home Office")</f>
        <v>Home Office</v>
      </c>
      <c r="E1125" s="8" t="str">
        <f>IFERROR(__xludf.DUMMYFUNCTION("""COMPUTED_VALUE"""),"Central")</f>
        <v>Central</v>
      </c>
      <c r="F1125" s="10">
        <f>IFERROR(__xludf.DUMMYFUNCTION("""COMPUTED_VALUE"""),796.425)</f>
        <v>796.425</v>
      </c>
      <c r="G1125" s="11">
        <f>IFERROR(__xludf.DUMMYFUNCTION("""COMPUTED_VALUE"""),7.0)</f>
        <v>7</v>
      </c>
      <c r="H1125" s="11">
        <f>IFERROR(__xludf.DUMMYFUNCTION("""COMPUTED_VALUE"""),-525.6405)</f>
        <v>-525.6405</v>
      </c>
    </row>
    <row r="1126">
      <c r="A1126" s="8" t="str">
        <f>IFERROR(__xludf.DUMMYFUNCTION("""COMPUTED_VALUE"""),"CA-2015-125066")</f>
        <v>CA-2015-125066</v>
      </c>
      <c r="B1126" s="9">
        <f>IFERROR(__xludf.DUMMYFUNCTION("""COMPUTED_VALUE"""),42352.0)</f>
        <v>42352</v>
      </c>
      <c r="C1126" s="8" t="str">
        <f>IFERROR(__xludf.DUMMYFUNCTION("""COMPUTED_VALUE"""),"Keith Dawkins")</f>
        <v>Keith Dawkins</v>
      </c>
      <c r="D1126" s="8" t="str">
        <f>IFERROR(__xludf.DUMMYFUNCTION("""COMPUTED_VALUE"""),"Corporate")</f>
        <v>Corporate</v>
      </c>
      <c r="E1126" s="8" t="str">
        <f>IFERROR(__xludf.DUMMYFUNCTION("""COMPUTED_VALUE"""),"South")</f>
        <v>South</v>
      </c>
      <c r="F1126" s="10">
        <f>IFERROR(__xludf.DUMMYFUNCTION("""COMPUTED_VALUE"""),6.16)</f>
        <v>6.16</v>
      </c>
      <c r="G1126" s="11">
        <f>IFERROR(__xludf.DUMMYFUNCTION("""COMPUTED_VALUE"""),2.0)</f>
        <v>2</v>
      </c>
      <c r="H1126" s="11">
        <f>IFERROR(__xludf.DUMMYFUNCTION("""COMPUTED_VALUE"""),1.9712)</f>
        <v>1.9712</v>
      </c>
    </row>
    <row r="1127">
      <c r="A1127" s="8" t="str">
        <f>IFERROR(__xludf.DUMMYFUNCTION("""COMPUTED_VALUE"""),"CA-2015-125178")</f>
        <v>CA-2015-125178</v>
      </c>
      <c r="B1127" s="9">
        <f>IFERROR(__xludf.DUMMYFUNCTION("""COMPUTED_VALUE"""),42280.0)</f>
        <v>42280</v>
      </c>
      <c r="C1127" s="8" t="str">
        <f>IFERROR(__xludf.DUMMYFUNCTION("""COMPUTED_VALUE"""),"Mary Zewe")</f>
        <v>Mary Zewe</v>
      </c>
      <c r="D1127" s="8" t="str">
        <f>IFERROR(__xludf.DUMMYFUNCTION("""COMPUTED_VALUE"""),"Corporate")</f>
        <v>Corporate</v>
      </c>
      <c r="E1127" s="8" t="str">
        <f>IFERROR(__xludf.DUMMYFUNCTION("""COMPUTED_VALUE"""),"East")</f>
        <v>East</v>
      </c>
      <c r="F1127" s="10">
        <f>IFERROR(__xludf.DUMMYFUNCTION("""COMPUTED_VALUE"""),15.008)</f>
        <v>15.008</v>
      </c>
      <c r="G1127" s="11">
        <f>IFERROR(__xludf.DUMMYFUNCTION("""COMPUTED_VALUE"""),2.0)</f>
        <v>2</v>
      </c>
      <c r="H1127" s="11">
        <f>IFERROR(__xludf.DUMMYFUNCTION("""COMPUTED_VALUE"""),1.5008)</f>
        <v>1.5008</v>
      </c>
    </row>
    <row r="1128">
      <c r="A1128" s="8" t="str">
        <f>IFERROR(__xludf.DUMMYFUNCTION("""COMPUTED_VALUE"""),"CA-2015-125185")</f>
        <v>CA-2015-125185</v>
      </c>
      <c r="B1128" s="9">
        <f>IFERROR(__xludf.DUMMYFUNCTION("""COMPUTED_VALUE"""),42068.0)</f>
        <v>42068</v>
      </c>
      <c r="C1128" s="8" t="str">
        <f>IFERROR(__xludf.DUMMYFUNCTION("""COMPUTED_VALUE"""),"Alan Haines")</f>
        <v>Alan Haines</v>
      </c>
      <c r="D1128" s="8" t="str">
        <f>IFERROR(__xludf.DUMMYFUNCTION("""COMPUTED_VALUE"""),"Corporate")</f>
        <v>Corporate</v>
      </c>
      <c r="E1128" s="8" t="str">
        <f>IFERROR(__xludf.DUMMYFUNCTION("""COMPUTED_VALUE"""),"East")</f>
        <v>East</v>
      </c>
      <c r="F1128" s="10">
        <f>IFERROR(__xludf.DUMMYFUNCTION("""COMPUTED_VALUE"""),99.372)</f>
        <v>99.372</v>
      </c>
      <c r="G1128" s="11">
        <f>IFERROR(__xludf.DUMMYFUNCTION("""COMPUTED_VALUE"""),2.0)</f>
        <v>2</v>
      </c>
      <c r="H1128" s="11">
        <f>IFERROR(__xludf.DUMMYFUNCTION("""COMPUTED_VALUE"""),-7.098)</f>
        <v>-7.098</v>
      </c>
    </row>
    <row r="1129">
      <c r="A1129" s="8" t="str">
        <f>IFERROR(__xludf.DUMMYFUNCTION("""COMPUTED_VALUE"""),"CA-2015-125234")</f>
        <v>CA-2015-125234</v>
      </c>
      <c r="B1129" s="9">
        <f>IFERROR(__xludf.DUMMYFUNCTION("""COMPUTED_VALUE"""),42335.0)</f>
        <v>42335</v>
      </c>
      <c r="C1129" s="8" t="str">
        <f>IFERROR(__xludf.DUMMYFUNCTION("""COMPUTED_VALUE"""),"Steve Nguyen")</f>
        <v>Steve Nguyen</v>
      </c>
      <c r="D1129" s="8" t="str">
        <f>IFERROR(__xludf.DUMMYFUNCTION("""COMPUTED_VALUE"""),"Home Office")</f>
        <v>Home Office</v>
      </c>
      <c r="E1129" s="8" t="str">
        <f>IFERROR(__xludf.DUMMYFUNCTION("""COMPUTED_VALUE"""),"West")</f>
        <v>West</v>
      </c>
      <c r="F1129" s="10">
        <f>IFERROR(__xludf.DUMMYFUNCTION("""COMPUTED_VALUE"""),107.97)</f>
        <v>107.97</v>
      </c>
      <c r="G1129" s="11">
        <f>IFERROR(__xludf.DUMMYFUNCTION("""COMPUTED_VALUE"""),3.0)</f>
        <v>3</v>
      </c>
      <c r="H1129" s="11">
        <f>IFERROR(__xludf.DUMMYFUNCTION("""COMPUTED_VALUE"""),22.6737)</f>
        <v>22.6737</v>
      </c>
    </row>
    <row r="1130">
      <c r="A1130" s="8" t="str">
        <f>IFERROR(__xludf.DUMMYFUNCTION("""COMPUTED_VALUE"""),"CA-2015-125395")</f>
        <v>CA-2015-125395</v>
      </c>
      <c r="B1130" s="9">
        <f>IFERROR(__xludf.DUMMYFUNCTION("""COMPUTED_VALUE"""),42181.0)</f>
        <v>42181</v>
      </c>
      <c r="C1130" s="8" t="str">
        <f>IFERROR(__xludf.DUMMYFUNCTION("""COMPUTED_VALUE"""),"Laura Armstrong")</f>
        <v>Laura Armstrong</v>
      </c>
      <c r="D1130" s="8" t="str">
        <f>IFERROR(__xludf.DUMMYFUNCTION("""COMPUTED_VALUE"""),"Corporate")</f>
        <v>Corporate</v>
      </c>
      <c r="E1130" s="8" t="str">
        <f>IFERROR(__xludf.DUMMYFUNCTION("""COMPUTED_VALUE"""),"Central")</f>
        <v>Central</v>
      </c>
      <c r="F1130" s="10">
        <f>IFERROR(__xludf.DUMMYFUNCTION("""COMPUTED_VALUE"""),41.9)</f>
        <v>41.9</v>
      </c>
      <c r="G1130" s="11">
        <f>IFERROR(__xludf.DUMMYFUNCTION("""COMPUTED_VALUE"""),2.0)</f>
        <v>2</v>
      </c>
      <c r="H1130" s="11">
        <f>IFERROR(__xludf.DUMMYFUNCTION("""COMPUTED_VALUE"""),8.799)</f>
        <v>8.799</v>
      </c>
    </row>
    <row r="1131">
      <c r="A1131" s="8" t="str">
        <f>IFERROR(__xludf.DUMMYFUNCTION("""COMPUTED_VALUE"""),"CA-2015-125416")</f>
        <v>CA-2015-125416</v>
      </c>
      <c r="B1131" s="9">
        <f>IFERROR(__xludf.DUMMYFUNCTION("""COMPUTED_VALUE"""),42310.0)</f>
        <v>42310</v>
      </c>
      <c r="C1131" s="8" t="str">
        <f>IFERROR(__xludf.DUMMYFUNCTION("""COMPUTED_VALUE"""),"Kelly Collister")</f>
        <v>Kelly Collister</v>
      </c>
      <c r="D1131" s="8" t="str">
        <f>IFERROR(__xludf.DUMMYFUNCTION("""COMPUTED_VALUE"""),"Consumer")</f>
        <v>Consumer</v>
      </c>
      <c r="E1131" s="8" t="str">
        <f>IFERROR(__xludf.DUMMYFUNCTION("""COMPUTED_VALUE"""),"West")</f>
        <v>West</v>
      </c>
      <c r="F1131" s="10">
        <f>IFERROR(__xludf.DUMMYFUNCTION("""COMPUTED_VALUE"""),447.93)</f>
        <v>447.93</v>
      </c>
      <c r="G1131" s="11">
        <f>IFERROR(__xludf.DUMMYFUNCTION("""COMPUTED_VALUE"""),9.0)</f>
        <v>9</v>
      </c>
      <c r="H1131" s="11">
        <f>IFERROR(__xludf.DUMMYFUNCTION("""COMPUTED_VALUE"""),49.2723)</f>
        <v>49.2723</v>
      </c>
    </row>
    <row r="1132">
      <c r="A1132" s="8" t="str">
        <f>IFERROR(__xludf.DUMMYFUNCTION("""COMPUTED_VALUE"""),"CA-2015-125423")</f>
        <v>CA-2015-125423</v>
      </c>
      <c r="B1132" s="9">
        <f>IFERROR(__xludf.DUMMYFUNCTION("""COMPUTED_VALUE"""),42351.0)</f>
        <v>42351</v>
      </c>
      <c r="C1132" s="8" t="str">
        <f>IFERROR(__xludf.DUMMYFUNCTION("""COMPUTED_VALUE"""),"Matt Collins")</f>
        <v>Matt Collins</v>
      </c>
      <c r="D1132" s="8" t="str">
        <f>IFERROR(__xludf.DUMMYFUNCTION("""COMPUTED_VALUE"""),"Consumer")</f>
        <v>Consumer</v>
      </c>
      <c r="E1132" s="8" t="str">
        <f>IFERROR(__xludf.DUMMYFUNCTION("""COMPUTED_VALUE"""),"West")</f>
        <v>West</v>
      </c>
      <c r="F1132" s="10">
        <f>IFERROR(__xludf.DUMMYFUNCTION("""COMPUTED_VALUE"""),9.96)</f>
        <v>9.96</v>
      </c>
      <c r="G1132" s="11">
        <f>IFERROR(__xludf.DUMMYFUNCTION("""COMPUTED_VALUE"""),2.0)</f>
        <v>2</v>
      </c>
      <c r="H1132" s="11">
        <f>IFERROR(__xludf.DUMMYFUNCTION("""COMPUTED_VALUE"""),4.5816)</f>
        <v>4.5816</v>
      </c>
    </row>
    <row r="1133">
      <c r="A1133" s="8" t="str">
        <f>IFERROR(__xludf.DUMMYFUNCTION("""COMPUTED_VALUE"""),"CA-2015-125563")</f>
        <v>CA-2015-125563</v>
      </c>
      <c r="B1133" s="9">
        <f>IFERROR(__xludf.DUMMYFUNCTION("""COMPUTED_VALUE"""),42105.0)</f>
        <v>42105</v>
      </c>
      <c r="C1133" s="8" t="str">
        <f>IFERROR(__xludf.DUMMYFUNCTION("""COMPUTED_VALUE"""),"Patrick Ryan")</f>
        <v>Patrick Ryan</v>
      </c>
      <c r="D1133" s="8" t="str">
        <f>IFERROR(__xludf.DUMMYFUNCTION("""COMPUTED_VALUE"""),"Consumer")</f>
        <v>Consumer</v>
      </c>
      <c r="E1133" s="8" t="str">
        <f>IFERROR(__xludf.DUMMYFUNCTION("""COMPUTED_VALUE"""),"South")</f>
        <v>South</v>
      </c>
      <c r="F1133" s="10">
        <f>IFERROR(__xludf.DUMMYFUNCTION("""COMPUTED_VALUE"""),67.36)</f>
        <v>67.36</v>
      </c>
      <c r="G1133" s="11">
        <f>IFERROR(__xludf.DUMMYFUNCTION("""COMPUTED_VALUE"""),2.0)</f>
        <v>2</v>
      </c>
      <c r="H1133" s="11">
        <f>IFERROR(__xludf.DUMMYFUNCTION("""COMPUTED_VALUE"""),10.104)</f>
        <v>10.104</v>
      </c>
    </row>
    <row r="1134">
      <c r="A1134" s="8" t="str">
        <f>IFERROR(__xludf.DUMMYFUNCTION("""COMPUTED_VALUE"""),"CA-2015-125696")</f>
        <v>CA-2015-125696</v>
      </c>
      <c r="B1134" s="9">
        <f>IFERROR(__xludf.DUMMYFUNCTION("""COMPUTED_VALUE"""),42279.0)</f>
        <v>42279</v>
      </c>
      <c r="C1134" s="8" t="str">
        <f>IFERROR(__xludf.DUMMYFUNCTION("""COMPUTED_VALUE"""),"Nora Pelletier")</f>
        <v>Nora Pelletier</v>
      </c>
      <c r="D1134" s="8" t="str">
        <f>IFERROR(__xludf.DUMMYFUNCTION("""COMPUTED_VALUE"""),"Home Office")</f>
        <v>Home Office</v>
      </c>
      <c r="E1134" s="8" t="str">
        <f>IFERROR(__xludf.DUMMYFUNCTION("""COMPUTED_VALUE"""),"South")</f>
        <v>South</v>
      </c>
      <c r="F1134" s="10">
        <f>IFERROR(__xludf.DUMMYFUNCTION("""COMPUTED_VALUE"""),7.38)</f>
        <v>7.38</v>
      </c>
      <c r="G1134" s="11">
        <f>IFERROR(__xludf.DUMMYFUNCTION("""COMPUTED_VALUE"""),5.0)</f>
        <v>5</v>
      </c>
      <c r="H1134" s="11">
        <f>IFERROR(__xludf.DUMMYFUNCTION("""COMPUTED_VALUE"""),-5.412)</f>
        <v>-5.412</v>
      </c>
    </row>
    <row r="1135">
      <c r="A1135" s="8" t="str">
        <f>IFERROR(__xludf.DUMMYFUNCTION("""COMPUTED_VALUE"""),"CA-2015-125710")</f>
        <v>CA-2015-125710</v>
      </c>
      <c r="B1135" s="9">
        <f>IFERROR(__xludf.DUMMYFUNCTION("""COMPUTED_VALUE"""),42285.0)</f>
        <v>42285</v>
      </c>
      <c r="C1135" s="8" t="str">
        <f>IFERROR(__xludf.DUMMYFUNCTION("""COMPUTED_VALUE"""),"Brian Thompson")</f>
        <v>Brian Thompson</v>
      </c>
      <c r="D1135" s="8" t="str">
        <f>IFERROR(__xludf.DUMMYFUNCTION("""COMPUTED_VALUE"""),"Consumer")</f>
        <v>Consumer</v>
      </c>
      <c r="E1135" s="8" t="str">
        <f>IFERROR(__xludf.DUMMYFUNCTION("""COMPUTED_VALUE"""),"Central")</f>
        <v>Central</v>
      </c>
      <c r="F1135" s="10">
        <f>IFERROR(__xludf.DUMMYFUNCTION("""COMPUTED_VALUE"""),3.44)</f>
        <v>3.44</v>
      </c>
      <c r="G1135" s="11">
        <f>IFERROR(__xludf.DUMMYFUNCTION("""COMPUTED_VALUE"""),2.0)</f>
        <v>2</v>
      </c>
      <c r="H1135" s="11">
        <f>IFERROR(__xludf.DUMMYFUNCTION("""COMPUTED_VALUE"""),0.559)</f>
        <v>0.559</v>
      </c>
    </row>
    <row r="1136">
      <c r="A1136" s="8" t="str">
        <f>IFERROR(__xludf.DUMMYFUNCTION("""COMPUTED_VALUE"""),"CA-2015-125934")</f>
        <v>CA-2015-125934</v>
      </c>
      <c r="B1136" s="9">
        <f>IFERROR(__xludf.DUMMYFUNCTION("""COMPUTED_VALUE"""),42258.0)</f>
        <v>42258</v>
      </c>
      <c r="C1136" s="8" t="str">
        <f>IFERROR(__xludf.DUMMYFUNCTION("""COMPUTED_VALUE"""),"Skye Norling")</f>
        <v>Skye Norling</v>
      </c>
      <c r="D1136" s="8" t="str">
        <f>IFERROR(__xludf.DUMMYFUNCTION("""COMPUTED_VALUE"""),"Home Office")</f>
        <v>Home Office</v>
      </c>
      <c r="E1136" s="8" t="str">
        <f>IFERROR(__xludf.DUMMYFUNCTION("""COMPUTED_VALUE"""),"East")</f>
        <v>East</v>
      </c>
      <c r="F1136" s="10">
        <f>IFERROR(__xludf.DUMMYFUNCTION("""COMPUTED_VALUE"""),31.05)</f>
        <v>31.05</v>
      </c>
      <c r="G1136" s="11">
        <f>IFERROR(__xludf.DUMMYFUNCTION("""COMPUTED_VALUE"""),3.0)</f>
        <v>3</v>
      </c>
      <c r="H1136" s="11">
        <f>IFERROR(__xludf.DUMMYFUNCTION("""COMPUTED_VALUE"""),14.904)</f>
        <v>14.904</v>
      </c>
    </row>
    <row r="1137">
      <c r="A1137" s="8" t="str">
        <f>IFERROR(__xludf.DUMMYFUNCTION("""COMPUTED_VALUE"""),"CA-2015-125976")</f>
        <v>CA-2015-125976</v>
      </c>
      <c r="B1137" s="9">
        <f>IFERROR(__xludf.DUMMYFUNCTION("""COMPUTED_VALUE"""),42274.0)</f>
        <v>42274</v>
      </c>
      <c r="C1137" s="8" t="str">
        <f>IFERROR(__xludf.DUMMYFUNCTION("""COMPUTED_VALUE"""),"Jamie Kunitz")</f>
        <v>Jamie Kunitz</v>
      </c>
      <c r="D1137" s="8" t="str">
        <f>IFERROR(__xludf.DUMMYFUNCTION("""COMPUTED_VALUE"""),"Consumer")</f>
        <v>Consumer</v>
      </c>
      <c r="E1137" s="8" t="str">
        <f>IFERROR(__xludf.DUMMYFUNCTION("""COMPUTED_VALUE"""),"South")</f>
        <v>South</v>
      </c>
      <c r="F1137" s="10">
        <f>IFERROR(__xludf.DUMMYFUNCTION("""COMPUTED_VALUE"""),154.9)</f>
        <v>154.9</v>
      </c>
      <c r="G1137" s="11">
        <f>IFERROR(__xludf.DUMMYFUNCTION("""COMPUTED_VALUE"""),5.0)</f>
        <v>5</v>
      </c>
      <c r="H1137" s="11">
        <f>IFERROR(__xludf.DUMMYFUNCTION("""COMPUTED_VALUE"""),69.705)</f>
        <v>69.705</v>
      </c>
    </row>
    <row r="1138">
      <c r="A1138" s="8" t="str">
        <f>IFERROR(__xludf.DUMMYFUNCTION("""COMPUTED_VALUE"""),"CA-2015-126137")</f>
        <v>CA-2015-126137</v>
      </c>
      <c r="B1138" s="9">
        <f>IFERROR(__xludf.DUMMYFUNCTION("""COMPUTED_VALUE"""),42280.0)</f>
        <v>42280</v>
      </c>
      <c r="C1138" s="8" t="str">
        <f>IFERROR(__xludf.DUMMYFUNCTION("""COMPUTED_VALUE"""),"Bruce Stewart")</f>
        <v>Bruce Stewart</v>
      </c>
      <c r="D1138" s="8" t="str">
        <f>IFERROR(__xludf.DUMMYFUNCTION("""COMPUTED_VALUE"""),"Consumer")</f>
        <v>Consumer</v>
      </c>
      <c r="E1138" s="8" t="str">
        <f>IFERROR(__xludf.DUMMYFUNCTION("""COMPUTED_VALUE"""),"West")</f>
        <v>West</v>
      </c>
      <c r="F1138" s="10">
        <f>IFERROR(__xludf.DUMMYFUNCTION("""COMPUTED_VALUE"""),120.666)</f>
        <v>120.666</v>
      </c>
      <c r="G1138" s="11">
        <f>IFERROR(__xludf.DUMMYFUNCTION("""COMPUTED_VALUE"""),2.0)</f>
        <v>2</v>
      </c>
      <c r="H1138" s="11">
        <f>IFERROR(__xludf.DUMMYFUNCTION("""COMPUTED_VALUE"""),18.4548)</f>
        <v>18.4548</v>
      </c>
    </row>
    <row r="1139">
      <c r="A1139" s="8" t="str">
        <f>IFERROR(__xludf.DUMMYFUNCTION("""COMPUTED_VALUE"""),"CA-2015-126186")</f>
        <v>CA-2015-126186</v>
      </c>
      <c r="B1139" s="9">
        <f>IFERROR(__xludf.DUMMYFUNCTION("""COMPUTED_VALUE"""),42258.0)</f>
        <v>42258</v>
      </c>
      <c r="C1139" s="8" t="str">
        <f>IFERROR(__xludf.DUMMYFUNCTION("""COMPUTED_VALUE"""),"George Bell")</f>
        <v>George Bell</v>
      </c>
      <c r="D1139" s="8" t="str">
        <f>IFERROR(__xludf.DUMMYFUNCTION("""COMPUTED_VALUE"""),"Corporate")</f>
        <v>Corporate</v>
      </c>
      <c r="E1139" s="8" t="str">
        <f>IFERROR(__xludf.DUMMYFUNCTION("""COMPUTED_VALUE"""),"West")</f>
        <v>West</v>
      </c>
      <c r="F1139" s="10">
        <f>IFERROR(__xludf.DUMMYFUNCTION("""COMPUTED_VALUE"""),24.64)</f>
        <v>24.64</v>
      </c>
      <c r="G1139" s="11">
        <f>IFERROR(__xludf.DUMMYFUNCTION("""COMPUTED_VALUE"""),4.0)</f>
        <v>4</v>
      </c>
      <c r="H1139" s="11">
        <f>IFERROR(__xludf.DUMMYFUNCTION("""COMPUTED_VALUE"""),4.004)</f>
        <v>4.004</v>
      </c>
    </row>
    <row r="1140">
      <c r="A1140" s="8" t="str">
        <f>IFERROR(__xludf.DUMMYFUNCTION("""COMPUTED_VALUE"""),"CA-2015-126347")</f>
        <v>CA-2015-126347</v>
      </c>
      <c r="B1140" s="9">
        <f>IFERROR(__xludf.DUMMYFUNCTION("""COMPUTED_VALUE"""),42352.0)</f>
        <v>42352</v>
      </c>
      <c r="C1140" s="8" t="str">
        <f>IFERROR(__xludf.DUMMYFUNCTION("""COMPUTED_VALUE"""),"Ashley Jarboe")</f>
        <v>Ashley Jarboe</v>
      </c>
      <c r="D1140" s="8" t="str">
        <f>IFERROR(__xludf.DUMMYFUNCTION("""COMPUTED_VALUE"""),"Consumer")</f>
        <v>Consumer</v>
      </c>
      <c r="E1140" s="8" t="str">
        <f>IFERROR(__xludf.DUMMYFUNCTION("""COMPUTED_VALUE"""),"West")</f>
        <v>West</v>
      </c>
      <c r="F1140" s="10">
        <f>IFERROR(__xludf.DUMMYFUNCTION("""COMPUTED_VALUE"""),50.0)</f>
        <v>50</v>
      </c>
      <c r="G1140" s="11">
        <f>IFERROR(__xludf.DUMMYFUNCTION("""COMPUTED_VALUE"""),2.0)</f>
        <v>2</v>
      </c>
      <c r="H1140" s="11">
        <f>IFERROR(__xludf.DUMMYFUNCTION("""COMPUTED_VALUE"""),10.5)</f>
        <v>10.5</v>
      </c>
    </row>
    <row r="1141">
      <c r="A1141" s="8" t="str">
        <f>IFERROR(__xludf.DUMMYFUNCTION("""COMPUTED_VALUE"""),"CA-2015-126445")</f>
        <v>CA-2015-126445</v>
      </c>
      <c r="B1141" s="9">
        <f>IFERROR(__xludf.DUMMYFUNCTION("""COMPUTED_VALUE"""),42243.0)</f>
        <v>42243</v>
      </c>
      <c r="C1141" s="8" t="str">
        <f>IFERROR(__xludf.DUMMYFUNCTION("""COMPUTED_VALUE"""),"Ryan Akin")</f>
        <v>Ryan Akin</v>
      </c>
      <c r="D1141" s="8" t="str">
        <f>IFERROR(__xludf.DUMMYFUNCTION("""COMPUTED_VALUE"""),"Consumer")</f>
        <v>Consumer</v>
      </c>
      <c r="E1141" s="8" t="str">
        <f>IFERROR(__xludf.DUMMYFUNCTION("""COMPUTED_VALUE"""),"West")</f>
        <v>West</v>
      </c>
      <c r="F1141" s="10">
        <f>IFERROR(__xludf.DUMMYFUNCTION("""COMPUTED_VALUE"""),484.65)</f>
        <v>484.65</v>
      </c>
      <c r="G1141" s="11">
        <f>IFERROR(__xludf.DUMMYFUNCTION("""COMPUTED_VALUE"""),3.0)</f>
        <v>3</v>
      </c>
      <c r="H1141" s="11">
        <f>IFERROR(__xludf.DUMMYFUNCTION("""COMPUTED_VALUE"""),92.0835)</f>
        <v>92.0835</v>
      </c>
    </row>
    <row r="1142">
      <c r="A1142" s="8" t="str">
        <f>IFERROR(__xludf.DUMMYFUNCTION("""COMPUTED_VALUE"""),"CA-2015-126466")</f>
        <v>CA-2015-126466</v>
      </c>
      <c r="B1142" s="9">
        <f>IFERROR(__xludf.DUMMYFUNCTION("""COMPUTED_VALUE"""),42317.0)</f>
        <v>42317</v>
      </c>
      <c r="C1142" s="8" t="str">
        <f>IFERROR(__xludf.DUMMYFUNCTION("""COMPUTED_VALUE"""),"Jesus Ocampo")</f>
        <v>Jesus Ocampo</v>
      </c>
      <c r="D1142" s="8" t="str">
        <f>IFERROR(__xludf.DUMMYFUNCTION("""COMPUTED_VALUE"""),"Home Office")</f>
        <v>Home Office</v>
      </c>
      <c r="E1142" s="8" t="str">
        <f>IFERROR(__xludf.DUMMYFUNCTION("""COMPUTED_VALUE"""),"West")</f>
        <v>West</v>
      </c>
      <c r="F1142" s="10">
        <f>IFERROR(__xludf.DUMMYFUNCTION("""COMPUTED_VALUE"""),2.48)</f>
        <v>2.48</v>
      </c>
      <c r="G1142" s="11">
        <f>IFERROR(__xludf.DUMMYFUNCTION("""COMPUTED_VALUE"""),2.0)</f>
        <v>2</v>
      </c>
      <c r="H1142" s="11">
        <f>IFERROR(__xludf.DUMMYFUNCTION("""COMPUTED_VALUE"""),1.1656)</f>
        <v>1.1656</v>
      </c>
    </row>
    <row r="1143">
      <c r="A1143" s="8" t="str">
        <f>IFERROR(__xludf.DUMMYFUNCTION("""COMPUTED_VALUE"""),"CA-2015-126557")</f>
        <v>CA-2015-126557</v>
      </c>
      <c r="B1143" s="9">
        <f>IFERROR(__xludf.DUMMYFUNCTION("""COMPUTED_VALUE"""),42197.0)</f>
        <v>42197</v>
      </c>
      <c r="C1143" s="8" t="str">
        <f>IFERROR(__xludf.DUMMYFUNCTION("""COMPUTED_VALUE"""),"Rob Lucas")</f>
        <v>Rob Lucas</v>
      </c>
      <c r="D1143" s="8" t="str">
        <f>IFERROR(__xludf.DUMMYFUNCTION("""COMPUTED_VALUE"""),"Consumer")</f>
        <v>Consumer</v>
      </c>
      <c r="E1143" s="8" t="str">
        <f>IFERROR(__xludf.DUMMYFUNCTION("""COMPUTED_VALUE"""),"Central")</f>
        <v>Central</v>
      </c>
      <c r="F1143" s="10">
        <f>IFERROR(__xludf.DUMMYFUNCTION("""COMPUTED_VALUE"""),383.607)</f>
        <v>383.607</v>
      </c>
      <c r="G1143" s="11">
        <f>IFERROR(__xludf.DUMMYFUNCTION("""COMPUTED_VALUE"""),9.0)</f>
        <v>9</v>
      </c>
      <c r="H1143" s="11">
        <f>IFERROR(__xludf.DUMMYFUNCTION("""COMPUTED_VALUE"""),-5.4801)</f>
        <v>-5.4801</v>
      </c>
    </row>
    <row r="1144">
      <c r="A1144" s="8" t="str">
        <f>IFERROR(__xludf.DUMMYFUNCTION("""COMPUTED_VALUE"""),"CA-2015-126669")</f>
        <v>CA-2015-126669</v>
      </c>
      <c r="B1144" s="9">
        <f>IFERROR(__xludf.DUMMYFUNCTION("""COMPUTED_VALUE"""),42315.0)</f>
        <v>42315</v>
      </c>
      <c r="C1144" s="8" t="str">
        <f>IFERROR(__xludf.DUMMYFUNCTION("""COMPUTED_VALUE"""),"Doug O'Connell")</f>
        <v>Doug O'Connell</v>
      </c>
      <c r="D1144" s="8" t="str">
        <f>IFERROR(__xludf.DUMMYFUNCTION("""COMPUTED_VALUE"""),"Consumer")</f>
        <v>Consumer</v>
      </c>
      <c r="E1144" s="8" t="str">
        <f>IFERROR(__xludf.DUMMYFUNCTION("""COMPUTED_VALUE"""),"Central")</f>
        <v>Central</v>
      </c>
      <c r="F1144" s="10">
        <f>IFERROR(__xludf.DUMMYFUNCTION("""COMPUTED_VALUE"""),76.64)</f>
        <v>76.64</v>
      </c>
      <c r="G1144" s="11">
        <f>IFERROR(__xludf.DUMMYFUNCTION("""COMPUTED_VALUE"""),2.0)</f>
        <v>2</v>
      </c>
      <c r="H1144" s="11">
        <f>IFERROR(__xludf.DUMMYFUNCTION("""COMPUTED_VALUE"""),26.824)</f>
        <v>26.824</v>
      </c>
    </row>
    <row r="1145">
      <c r="A1145" s="8" t="str">
        <f>IFERROR(__xludf.DUMMYFUNCTION("""COMPUTED_VALUE"""),"CA-2015-126697")</f>
        <v>CA-2015-126697</v>
      </c>
      <c r="B1145" s="9">
        <f>IFERROR(__xludf.DUMMYFUNCTION("""COMPUTED_VALUE"""),42268.0)</f>
        <v>42268</v>
      </c>
      <c r="C1145" s="8" t="str">
        <f>IFERROR(__xludf.DUMMYFUNCTION("""COMPUTED_VALUE"""),"Stuart Van")</f>
        <v>Stuart Van</v>
      </c>
      <c r="D1145" s="8" t="str">
        <f>IFERROR(__xludf.DUMMYFUNCTION("""COMPUTED_VALUE"""),"Corporate")</f>
        <v>Corporate</v>
      </c>
      <c r="E1145" s="8" t="str">
        <f>IFERROR(__xludf.DUMMYFUNCTION("""COMPUTED_VALUE"""),"Central")</f>
        <v>Central</v>
      </c>
      <c r="F1145" s="10">
        <f>IFERROR(__xludf.DUMMYFUNCTION("""COMPUTED_VALUE"""),946.344)</f>
        <v>946.344</v>
      </c>
      <c r="G1145" s="11">
        <f>IFERROR(__xludf.DUMMYFUNCTION("""COMPUTED_VALUE"""),7.0)</f>
        <v>7</v>
      </c>
      <c r="H1145" s="11">
        <f>IFERROR(__xludf.DUMMYFUNCTION("""COMPUTED_VALUE"""),118.293)</f>
        <v>118.293</v>
      </c>
    </row>
    <row r="1146">
      <c r="A1146" s="8" t="str">
        <f>IFERROR(__xludf.DUMMYFUNCTION("""COMPUTED_VALUE"""),"CA-2015-126725")</f>
        <v>CA-2015-126725</v>
      </c>
      <c r="B1146" s="9">
        <f>IFERROR(__xludf.DUMMYFUNCTION("""COMPUTED_VALUE"""),42325.0)</f>
        <v>42325</v>
      </c>
      <c r="C1146" s="8" t="str">
        <f>IFERROR(__xludf.DUMMYFUNCTION("""COMPUTED_VALUE"""),"Brian Stugart")</f>
        <v>Brian Stugart</v>
      </c>
      <c r="D1146" s="8" t="str">
        <f>IFERROR(__xludf.DUMMYFUNCTION("""COMPUTED_VALUE"""),"Consumer")</f>
        <v>Consumer</v>
      </c>
      <c r="E1146" s="8" t="str">
        <f>IFERROR(__xludf.DUMMYFUNCTION("""COMPUTED_VALUE"""),"West")</f>
        <v>West</v>
      </c>
      <c r="F1146" s="10">
        <f>IFERROR(__xludf.DUMMYFUNCTION("""COMPUTED_VALUE"""),415.968)</f>
        <v>415.968</v>
      </c>
      <c r="G1146" s="11">
        <f>IFERROR(__xludf.DUMMYFUNCTION("""COMPUTED_VALUE"""),4.0)</f>
        <v>4</v>
      </c>
      <c r="H1146" s="11">
        <f>IFERROR(__xludf.DUMMYFUNCTION("""COMPUTED_VALUE"""),51.996)</f>
        <v>51.996</v>
      </c>
    </row>
    <row r="1147">
      <c r="A1147" s="8" t="str">
        <f>IFERROR(__xludf.DUMMYFUNCTION("""COMPUTED_VALUE"""),"CA-2015-126739")</f>
        <v>CA-2015-126739</v>
      </c>
      <c r="B1147" s="9">
        <f>IFERROR(__xludf.DUMMYFUNCTION("""COMPUTED_VALUE"""),42309.0)</f>
        <v>42309</v>
      </c>
      <c r="C1147" s="8" t="str">
        <f>IFERROR(__xludf.DUMMYFUNCTION("""COMPUTED_VALUE"""),"Justin Hirsh")</f>
        <v>Justin Hirsh</v>
      </c>
      <c r="D1147" s="8" t="str">
        <f>IFERROR(__xludf.DUMMYFUNCTION("""COMPUTED_VALUE"""),"Consumer")</f>
        <v>Consumer</v>
      </c>
      <c r="E1147" s="8" t="str">
        <f>IFERROR(__xludf.DUMMYFUNCTION("""COMPUTED_VALUE"""),"East")</f>
        <v>East</v>
      </c>
      <c r="F1147" s="10">
        <f>IFERROR(__xludf.DUMMYFUNCTION("""COMPUTED_VALUE"""),327.564)</f>
        <v>327.564</v>
      </c>
      <c r="G1147" s="11">
        <f>IFERROR(__xludf.DUMMYFUNCTION("""COMPUTED_VALUE"""),4.0)</f>
        <v>4</v>
      </c>
      <c r="H1147" s="11">
        <f>IFERROR(__xludf.DUMMYFUNCTION("""COMPUTED_VALUE"""),21.8376)</f>
        <v>21.8376</v>
      </c>
    </row>
    <row r="1148">
      <c r="A1148" s="8" t="str">
        <f>IFERROR(__xludf.DUMMYFUNCTION("""COMPUTED_VALUE"""),"CA-2015-126970")</f>
        <v>CA-2015-126970</v>
      </c>
      <c r="B1148" s="9">
        <f>IFERROR(__xludf.DUMMYFUNCTION("""COMPUTED_VALUE"""),42267.0)</f>
        <v>42267</v>
      </c>
      <c r="C1148" s="8" t="str">
        <f>IFERROR(__xludf.DUMMYFUNCTION("""COMPUTED_VALUE"""),"Theone Pippenger")</f>
        <v>Theone Pippenger</v>
      </c>
      <c r="D1148" s="8" t="str">
        <f>IFERROR(__xludf.DUMMYFUNCTION("""COMPUTED_VALUE"""),"Consumer")</f>
        <v>Consumer</v>
      </c>
      <c r="E1148" s="8" t="str">
        <f>IFERROR(__xludf.DUMMYFUNCTION("""COMPUTED_VALUE"""),"Central")</f>
        <v>Central</v>
      </c>
      <c r="F1148" s="10">
        <f>IFERROR(__xludf.DUMMYFUNCTION("""COMPUTED_VALUE"""),2.808)</f>
        <v>2.808</v>
      </c>
      <c r="G1148" s="11">
        <f>IFERROR(__xludf.DUMMYFUNCTION("""COMPUTED_VALUE"""),3.0)</f>
        <v>3</v>
      </c>
      <c r="H1148" s="11">
        <f>IFERROR(__xludf.DUMMYFUNCTION("""COMPUTED_VALUE"""),-4.4928)</f>
        <v>-4.4928</v>
      </c>
    </row>
    <row r="1149">
      <c r="A1149" s="8" t="str">
        <f>IFERROR(__xludf.DUMMYFUNCTION("""COMPUTED_VALUE"""),"CA-2015-127019")</f>
        <v>CA-2015-127019</v>
      </c>
      <c r="B1149" s="9">
        <f>IFERROR(__xludf.DUMMYFUNCTION("""COMPUTED_VALUE"""),42359.0)</f>
        <v>42359</v>
      </c>
      <c r="C1149" s="8" t="str">
        <f>IFERROR(__xludf.DUMMYFUNCTION("""COMPUTED_VALUE"""),"Elpida Rittenbach")</f>
        <v>Elpida Rittenbach</v>
      </c>
      <c r="D1149" s="8" t="str">
        <f>IFERROR(__xludf.DUMMYFUNCTION("""COMPUTED_VALUE"""),"Corporate")</f>
        <v>Corporate</v>
      </c>
      <c r="E1149" s="8" t="str">
        <f>IFERROR(__xludf.DUMMYFUNCTION("""COMPUTED_VALUE"""),"West")</f>
        <v>West</v>
      </c>
      <c r="F1149" s="10">
        <f>IFERROR(__xludf.DUMMYFUNCTION("""COMPUTED_VALUE"""),60.984)</f>
        <v>60.984</v>
      </c>
      <c r="G1149" s="11">
        <f>IFERROR(__xludf.DUMMYFUNCTION("""COMPUTED_VALUE"""),7.0)</f>
        <v>7</v>
      </c>
      <c r="H1149" s="11">
        <f>IFERROR(__xludf.DUMMYFUNCTION("""COMPUTED_VALUE"""),4.5738)</f>
        <v>4.5738</v>
      </c>
    </row>
    <row r="1150">
      <c r="A1150" s="8" t="str">
        <f>IFERROR(__xludf.DUMMYFUNCTION("""COMPUTED_VALUE"""),"CA-2015-127110")</f>
        <v>CA-2015-127110</v>
      </c>
      <c r="B1150" s="9">
        <f>IFERROR(__xludf.DUMMYFUNCTION("""COMPUTED_VALUE"""),42180.0)</f>
        <v>42180</v>
      </c>
      <c r="C1150" s="8" t="str">
        <f>IFERROR(__xludf.DUMMYFUNCTION("""COMPUTED_VALUE"""),"Cathy Hwang")</f>
        <v>Cathy Hwang</v>
      </c>
      <c r="D1150" s="8" t="str">
        <f>IFERROR(__xludf.DUMMYFUNCTION("""COMPUTED_VALUE"""),"Home Office")</f>
        <v>Home Office</v>
      </c>
      <c r="E1150" s="8" t="str">
        <f>IFERROR(__xludf.DUMMYFUNCTION("""COMPUTED_VALUE"""),"East")</f>
        <v>East</v>
      </c>
      <c r="F1150" s="10">
        <f>IFERROR(__xludf.DUMMYFUNCTION("""COMPUTED_VALUE"""),31.104)</f>
        <v>31.104</v>
      </c>
      <c r="G1150" s="11">
        <f>IFERROR(__xludf.DUMMYFUNCTION("""COMPUTED_VALUE"""),6.0)</f>
        <v>6</v>
      </c>
      <c r="H1150" s="11">
        <f>IFERROR(__xludf.DUMMYFUNCTION("""COMPUTED_VALUE"""),10.8864)</f>
        <v>10.8864</v>
      </c>
    </row>
    <row r="1151">
      <c r="A1151" s="8" t="str">
        <f>IFERROR(__xludf.DUMMYFUNCTION("""COMPUTED_VALUE"""),"CA-2015-127173")</f>
        <v>CA-2015-127173</v>
      </c>
      <c r="B1151" s="9">
        <f>IFERROR(__xludf.DUMMYFUNCTION("""COMPUTED_VALUE"""),42273.0)</f>
        <v>42273</v>
      </c>
      <c r="C1151" s="8" t="str">
        <f>IFERROR(__xludf.DUMMYFUNCTION("""COMPUTED_VALUE"""),"Gene McClure")</f>
        <v>Gene McClure</v>
      </c>
      <c r="D1151" s="8" t="str">
        <f>IFERROR(__xludf.DUMMYFUNCTION("""COMPUTED_VALUE"""),"Consumer")</f>
        <v>Consumer</v>
      </c>
      <c r="E1151" s="8" t="str">
        <f>IFERROR(__xludf.DUMMYFUNCTION("""COMPUTED_VALUE"""),"East")</f>
        <v>East</v>
      </c>
      <c r="F1151" s="10">
        <f>IFERROR(__xludf.DUMMYFUNCTION("""COMPUTED_VALUE"""),34.44)</f>
        <v>34.44</v>
      </c>
      <c r="G1151" s="11">
        <f>IFERROR(__xludf.DUMMYFUNCTION("""COMPUTED_VALUE"""),3.0)</f>
        <v>3</v>
      </c>
      <c r="H1151" s="11">
        <f>IFERROR(__xludf.DUMMYFUNCTION("""COMPUTED_VALUE"""),16.1868)</f>
        <v>16.1868</v>
      </c>
    </row>
    <row r="1152">
      <c r="A1152" s="8" t="str">
        <f>IFERROR(__xludf.DUMMYFUNCTION("""COMPUTED_VALUE"""),"CA-2015-127327")</f>
        <v>CA-2015-127327</v>
      </c>
      <c r="B1152" s="9">
        <f>IFERROR(__xludf.DUMMYFUNCTION("""COMPUTED_VALUE"""),42038.0)</f>
        <v>42038</v>
      </c>
      <c r="C1152" s="8" t="str">
        <f>IFERROR(__xludf.DUMMYFUNCTION("""COMPUTED_VALUE"""),"Pauline Webber")</f>
        <v>Pauline Webber</v>
      </c>
      <c r="D1152" s="8" t="str">
        <f>IFERROR(__xludf.DUMMYFUNCTION("""COMPUTED_VALUE"""),"Corporate")</f>
        <v>Corporate</v>
      </c>
      <c r="E1152" s="8" t="str">
        <f>IFERROR(__xludf.DUMMYFUNCTION("""COMPUTED_VALUE"""),"East")</f>
        <v>East</v>
      </c>
      <c r="F1152" s="10">
        <f>IFERROR(__xludf.DUMMYFUNCTION("""COMPUTED_VALUE"""),90.882)</f>
        <v>90.882</v>
      </c>
      <c r="G1152" s="11">
        <f>IFERROR(__xludf.DUMMYFUNCTION("""COMPUTED_VALUE"""),1.0)</f>
        <v>1</v>
      </c>
      <c r="H1152" s="11">
        <f>IFERROR(__xludf.DUMMYFUNCTION("""COMPUTED_VALUE"""),15.147)</f>
        <v>15.147</v>
      </c>
    </row>
    <row r="1153">
      <c r="A1153" s="8" t="str">
        <f>IFERROR(__xludf.DUMMYFUNCTION("""COMPUTED_VALUE"""),"CA-2015-127418")</f>
        <v>CA-2015-127418</v>
      </c>
      <c r="B1153" s="9">
        <f>IFERROR(__xludf.DUMMYFUNCTION("""COMPUTED_VALUE"""),42168.0)</f>
        <v>42168</v>
      </c>
      <c r="C1153" s="8" t="str">
        <f>IFERROR(__xludf.DUMMYFUNCTION("""COMPUTED_VALUE"""),"Jennifer Jackson")</f>
        <v>Jennifer Jackson</v>
      </c>
      <c r="D1153" s="8" t="str">
        <f>IFERROR(__xludf.DUMMYFUNCTION("""COMPUTED_VALUE"""),"Consumer")</f>
        <v>Consumer</v>
      </c>
      <c r="E1153" s="8" t="str">
        <f>IFERROR(__xludf.DUMMYFUNCTION("""COMPUTED_VALUE"""),"West")</f>
        <v>West</v>
      </c>
      <c r="F1153" s="10">
        <f>IFERROR(__xludf.DUMMYFUNCTION("""COMPUTED_VALUE"""),36.624)</f>
        <v>36.624</v>
      </c>
      <c r="G1153" s="11">
        <f>IFERROR(__xludf.DUMMYFUNCTION("""COMPUTED_VALUE"""),3.0)</f>
        <v>3</v>
      </c>
      <c r="H1153" s="11">
        <f>IFERROR(__xludf.DUMMYFUNCTION("""COMPUTED_VALUE"""),13.734)</f>
        <v>13.734</v>
      </c>
    </row>
    <row r="1154">
      <c r="A1154" s="8" t="str">
        <f>IFERROR(__xludf.DUMMYFUNCTION("""COMPUTED_VALUE"""),"CA-2015-127453")</f>
        <v>CA-2015-127453</v>
      </c>
      <c r="B1154" s="9">
        <f>IFERROR(__xludf.DUMMYFUNCTION("""COMPUTED_VALUE"""),42357.0)</f>
        <v>42357</v>
      </c>
      <c r="C1154" s="8" t="str">
        <f>IFERROR(__xludf.DUMMYFUNCTION("""COMPUTED_VALUE"""),"Jay Kimmel")</f>
        <v>Jay Kimmel</v>
      </c>
      <c r="D1154" s="8" t="str">
        <f>IFERROR(__xludf.DUMMYFUNCTION("""COMPUTED_VALUE"""),"Consumer")</f>
        <v>Consumer</v>
      </c>
      <c r="E1154" s="8" t="str">
        <f>IFERROR(__xludf.DUMMYFUNCTION("""COMPUTED_VALUE"""),"East")</f>
        <v>East</v>
      </c>
      <c r="F1154" s="10">
        <f>IFERROR(__xludf.DUMMYFUNCTION("""COMPUTED_VALUE"""),434.352)</f>
        <v>434.352</v>
      </c>
      <c r="G1154" s="11">
        <f>IFERROR(__xludf.DUMMYFUNCTION("""COMPUTED_VALUE"""),3.0)</f>
        <v>3</v>
      </c>
      <c r="H1154" s="11">
        <f>IFERROR(__xludf.DUMMYFUNCTION("""COMPUTED_VALUE"""),43.4352)</f>
        <v>43.4352</v>
      </c>
    </row>
    <row r="1155">
      <c r="A1155" s="8" t="str">
        <f>IFERROR(__xludf.DUMMYFUNCTION("""COMPUTED_VALUE"""),"CA-2015-127481")</f>
        <v>CA-2015-127481</v>
      </c>
      <c r="B1155" s="9">
        <f>IFERROR(__xludf.DUMMYFUNCTION("""COMPUTED_VALUE"""),42350.0)</f>
        <v>42350</v>
      </c>
      <c r="C1155" s="8" t="str">
        <f>IFERROR(__xludf.DUMMYFUNCTION("""COMPUTED_VALUE"""),"Jonathan Doherty")</f>
        <v>Jonathan Doherty</v>
      </c>
      <c r="D1155" s="8" t="str">
        <f>IFERROR(__xludf.DUMMYFUNCTION("""COMPUTED_VALUE"""),"Corporate")</f>
        <v>Corporate</v>
      </c>
      <c r="E1155" s="8" t="str">
        <f>IFERROR(__xludf.DUMMYFUNCTION("""COMPUTED_VALUE"""),"West")</f>
        <v>West</v>
      </c>
      <c r="F1155" s="10">
        <f>IFERROR(__xludf.DUMMYFUNCTION("""COMPUTED_VALUE"""),32.4)</f>
        <v>32.4</v>
      </c>
      <c r="G1155" s="11">
        <f>IFERROR(__xludf.DUMMYFUNCTION("""COMPUTED_VALUE"""),5.0)</f>
        <v>5</v>
      </c>
      <c r="H1155" s="11">
        <f>IFERROR(__xludf.DUMMYFUNCTION("""COMPUTED_VALUE"""),15.876)</f>
        <v>15.876</v>
      </c>
    </row>
    <row r="1156">
      <c r="A1156" s="8" t="str">
        <f>IFERROR(__xludf.DUMMYFUNCTION("""COMPUTED_VALUE"""),"CA-2015-127502")</f>
        <v>CA-2015-127502</v>
      </c>
      <c r="B1156" s="9">
        <f>IFERROR(__xludf.DUMMYFUNCTION("""COMPUTED_VALUE"""),42348.0)</f>
        <v>42348</v>
      </c>
      <c r="C1156" s="8" t="str">
        <f>IFERROR(__xludf.DUMMYFUNCTION("""COMPUTED_VALUE"""),"Meg Tillman")</f>
        <v>Meg Tillman</v>
      </c>
      <c r="D1156" s="8" t="str">
        <f>IFERROR(__xludf.DUMMYFUNCTION("""COMPUTED_VALUE"""),"Consumer")</f>
        <v>Consumer</v>
      </c>
      <c r="E1156" s="8" t="str">
        <f>IFERROR(__xludf.DUMMYFUNCTION("""COMPUTED_VALUE"""),"West")</f>
        <v>West</v>
      </c>
      <c r="F1156" s="10">
        <f>IFERROR(__xludf.DUMMYFUNCTION("""COMPUTED_VALUE"""),5.76)</f>
        <v>5.76</v>
      </c>
      <c r="G1156" s="11">
        <f>IFERROR(__xludf.DUMMYFUNCTION("""COMPUTED_VALUE"""),2.0)</f>
        <v>2</v>
      </c>
      <c r="H1156" s="11">
        <f>IFERROR(__xludf.DUMMYFUNCTION("""COMPUTED_VALUE"""),2.8224)</f>
        <v>2.8224</v>
      </c>
    </row>
    <row r="1157">
      <c r="A1157" s="8" t="str">
        <f>IFERROR(__xludf.DUMMYFUNCTION("""COMPUTED_VALUE"""),"CA-2015-127509")</f>
        <v>CA-2015-127509</v>
      </c>
      <c r="B1157" s="9">
        <f>IFERROR(__xludf.DUMMYFUNCTION("""COMPUTED_VALUE"""),42317.0)</f>
        <v>42317</v>
      </c>
      <c r="C1157" s="8" t="str">
        <f>IFERROR(__xludf.DUMMYFUNCTION("""COMPUTED_VALUE"""),"Adam Shillingsburg")</f>
        <v>Adam Shillingsburg</v>
      </c>
      <c r="D1157" s="8" t="str">
        <f>IFERROR(__xludf.DUMMYFUNCTION("""COMPUTED_VALUE"""),"Consumer")</f>
        <v>Consumer</v>
      </c>
      <c r="E1157" s="8" t="str">
        <f>IFERROR(__xludf.DUMMYFUNCTION("""COMPUTED_VALUE"""),"Central")</f>
        <v>Central</v>
      </c>
      <c r="F1157" s="10">
        <f>IFERROR(__xludf.DUMMYFUNCTION("""COMPUTED_VALUE"""),17.22)</f>
        <v>17.22</v>
      </c>
      <c r="G1157" s="11">
        <f>IFERROR(__xludf.DUMMYFUNCTION("""COMPUTED_VALUE"""),3.0)</f>
        <v>3</v>
      </c>
      <c r="H1157" s="11">
        <f>IFERROR(__xludf.DUMMYFUNCTION("""COMPUTED_VALUE"""),7.9212)</f>
        <v>7.9212</v>
      </c>
    </row>
    <row r="1158">
      <c r="A1158" s="8" t="str">
        <f>IFERROR(__xludf.DUMMYFUNCTION("""COMPUTED_VALUE"""),"CA-2015-127544")</f>
        <v>CA-2015-127544</v>
      </c>
      <c r="B1158" s="9">
        <f>IFERROR(__xludf.DUMMYFUNCTION("""COMPUTED_VALUE"""),42224.0)</f>
        <v>42224</v>
      </c>
      <c r="C1158" s="8" t="str">
        <f>IFERROR(__xludf.DUMMYFUNCTION("""COMPUTED_VALUE"""),"Rob Dowd")</f>
        <v>Rob Dowd</v>
      </c>
      <c r="D1158" s="8" t="str">
        <f>IFERROR(__xludf.DUMMYFUNCTION("""COMPUTED_VALUE"""),"Consumer")</f>
        <v>Consumer</v>
      </c>
      <c r="E1158" s="8" t="str">
        <f>IFERROR(__xludf.DUMMYFUNCTION("""COMPUTED_VALUE"""),"East")</f>
        <v>East</v>
      </c>
      <c r="F1158" s="10">
        <f>IFERROR(__xludf.DUMMYFUNCTION("""COMPUTED_VALUE"""),79.99)</f>
        <v>79.99</v>
      </c>
      <c r="G1158" s="11">
        <f>IFERROR(__xludf.DUMMYFUNCTION("""COMPUTED_VALUE"""),1.0)</f>
        <v>1</v>
      </c>
      <c r="H1158" s="11">
        <f>IFERROR(__xludf.DUMMYFUNCTION("""COMPUTED_VALUE"""),28.7964)</f>
        <v>28.7964</v>
      </c>
    </row>
    <row r="1159">
      <c r="A1159" s="8" t="str">
        <f>IFERROR(__xludf.DUMMYFUNCTION("""COMPUTED_VALUE"""),"CA-2015-127593")</f>
        <v>CA-2015-127593</v>
      </c>
      <c r="B1159" s="9">
        <f>IFERROR(__xludf.DUMMYFUNCTION("""COMPUTED_VALUE"""),42268.0)</f>
        <v>42268</v>
      </c>
      <c r="C1159" s="8" t="str">
        <f>IFERROR(__xludf.DUMMYFUNCTION("""COMPUTED_VALUE"""),"Duane Huffman")</f>
        <v>Duane Huffman</v>
      </c>
      <c r="D1159" s="8" t="str">
        <f>IFERROR(__xludf.DUMMYFUNCTION("""COMPUTED_VALUE"""),"Home Office")</f>
        <v>Home Office</v>
      </c>
      <c r="E1159" s="8" t="str">
        <f>IFERROR(__xludf.DUMMYFUNCTION("""COMPUTED_VALUE"""),"East")</f>
        <v>East</v>
      </c>
      <c r="F1159" s="10">
        <f>IFERROR(__xludf.DUMMYFUNCTION("""COMPUTED_VALUE"""),85.3)</f>
        <v>85.3</v>
      </c>
      <c r="G1159" s="11">
        <f>IFERROR(__xludf.DUMMYFUNCTION("""COMPUTED_VALUE"""),2.0)</f>
        <v>2</v>
      </c>
      <c r="H1159" s="11">
        <f>IFERROR(__xludf.DUMMYFUNCTION("""COMPUTED_VALUE"""),14.501)</f>
        <v>14.501</v>
      </c>
    </row>
    <row r="1160">
      <c r="A1160" s="8" t="str">
        <f>IFERROR(__xludf.DUMMYFUNCTION("""COMPUTED_VALUE"""),"CA-2015-127607")</f>
        <v>CA-2015-127607</v>
      </c>
      <c r="B1160" s="9">
        <f>IFERROR(__xludf.DUMMYFUNCTION("""COMPUTED_VALUE"""),42083.0)</f>
        <v>42083</v>
      </c>
      <c r="C1160" s="8" t="str">
        <f>IFERROR(__xludf.DUMMYFUNCTION("""COMPUTED_VALUE"""),"Joe Kamberova")</f>
        <v>Joe Kamberova</v>
      </c>
      <c r="D1160" s="8" t="str">
        <f>IFERROR(__xludf.DUMMYFUNCTION("""COMPUTED_VALUE"""),"Consumer")</f>
        <v>Consumer</v>
      </c>
      <c r="E1160" s="8" t="str">
        <f>IFERROR(__xludf.DUMMYFUNCTION("""COMPUTED_VALUE"""),"Central")</f>
        <v>Central</v>
      </c>
      <c r="F1160" s="10">
        <f>IFERROR(__xludf.DUMMYFUNCTION("""COMPUTED_VALUE"""),2.512)</f>
        <v>2.512</v>
      </c>
      <c r="G1160" s="11">
        <f>IFERROR(__xludf.DUMMYFUNCTION("""COMPUTED_VALUE"""),2.0)</f>
        <v>2</v>
      </c>
      <c r="H1160" s="11">
        <f>IFERROR(__xludf.DUMMYFUNCTION("""COMPUTED_VALUE"""),-4.396)</f>
        <v>-4.396</v>
      </c>
    </row>
    <row r="1161">
      <c r="A1161" s="8" t="str">
        <f>IFERROR(__xludf.DUMMYFUNCTION("""COMPUTED_VALUE"""),"CA-2015-127754")</f>
        <v>CA-2015-127754</v>
      </c>
      <c r="B1161" s="9">
        <f>IFERROR(__xludf.DUMMYFUNCTION("""COMPUTED_VALUE"""),42211.0)</f>
        <v>42211</v>
      </c>
      <c r="C1161" s="8" t="str">
        <f>IFERROR(__xludf.DUMMYFUNCTION("""COMPUTED_VALUE"""),"Cyma Kinney")</f>
        <v>Cyma Kinney</v>
      </c>
      <c r="D1161" s="8" t="str">
        <f>IFERROR(__xludf.DUMMYFUNCTION("""COMPUTED_VALUE"""),"Corporate")</f>
        <v>Corporate</v>
      </c>
      <c r="E1161" s="8" t="str">
        <f>IFERROR(__xludf.DUMMYFUNCTION("""COMPUTED_VALUE"""),"West")</f>
        <v>West</v>
      </c>
      <c r="F1161" s="10">
        <f>IFERROR(__xludf.DUMMYFUNCTION("""COMPUTED_VALUE"""),266.352)</f>
        <v>266.352</v>
      </c>
      <c r="G1161" s="11">
        <f>IFERROR(__xludf.DUMMYFUNCTION("""COMPUTED_VALUE"""),3.0)</f>
        <v>3</v>
      </c>
      <c r="H1161" s="11">
        <f>IFERROR(__xludf.DUMMYFUNCTION("""COMPUTED_VALUE"""),13.3176)</f>
        <v>13.3176</v>
      </c>
    </row>
    <row r="1162">
      <c r="A1162" s="8" t="str">
        <f>IFERROR(__xludf.DUMMYFUNCTION("""COMPUTED_VALUE"""),"CA-2015-127824")</f>
        <v>CA-2015-127824</v>
      </c>
      <c r="B1162" s="9">
        <f>IFERROR(__xludf.DUMMYFUNCTION("""COMPUTED_VALUE"""),42295.0)</f>
        <v>42295</v>
      </c>
      <c r="C1162" s="8" t="str">
        <f>IFERROR(__xludf.DUMMYFUNCTION("""COMPUTED_VALUE"""),"John Castell")</f>
        <v>John Castell</v>
      </c>
      <c r="D1162" s="8" t="str">
        <f>IFERROR(__xludf.DUMMYFUNCTION("""COMPUTED_VALUE"""),"Consumer")</f>
        <v>Consumer</v>
      </c>
      <c r="E1162" s="8" t="str">
        <f>IFERROR(__xludf.DUMMYFUNCTION("""COMPUTED_VALUE"""),"West")</f>
        <v>West</v>
      </c>
      <c r="F1162" s="10">
        <f>IFERROR(__xludf.DUMMYFUNCTION("""COMPUTED_VALUE"""),249.584)</f>
        <v>249.584</v>
      </c>
      <c r="G1162" s="11">
        <f>IFERROR(__xludf.DUMMYFUNCTION("""COMPUTED_VALUE"""),2.0)</f>
        <v>2</v>
      </c>
      <c r="H1162" s="11">
        <f>IFERROR(__xludf.DUMMYFUNCTION("""COMPUTED_VALUE"""),15.599)</f>
        <v>15.599</v>
      </c>
    </row>
    <row r="1163">
      <c r="A1163" s="8" t="str">
        <f>IFERROR(__xludf.DUMMYFUNCTION("""COMPUTED_VALUE"""),"CA-2015-128013")</f>
        <v>CA-2015-128013</v>
      </c>
      <c r="B1163" s="9">
        <f>IFERROR(__xludf.DUMMYFUNCTION("""COMPUTED_VALUE"""),42225.0)</f>
        <v>42225</v>
      </c>
      <c r="C1163" s="8" t="str">
        <f>IFERROR(__xludf.DUMMYFUNCTION("""COMPUTED_VALUE"""),"Monica Federle")</f>
        <v>Monica Federle</v>
      </c>
      <c r="D1163" s="8" t="str">
        <f>IFERROR(__xludf.DUMMYFUNCTION("""COMPUTED_VALUE"""),"Corporate")</f>
        <v>Corporate</v>
      </c>
      <c r="E1163" s="8" t="str">
        <f>IFERROR(__xludf.DUMMYFUNCTION("""COMPUTED_VALUE"""),"East")</f>
        <v>East</v>
      </c>
      <c r="F1163" s="10">
        <f>IFERROR(__xludf.DUMMYFUNCTION("""COMPUTED_VALUE"""),10.02)</f>
        <v>10.02</v>
      </c>
      <c r="G1163" s="11">
        <f>IFERROR(__xludf.DUMMYFUNCTION("""COMPUTED_VALUE"""),3.0)</f>
        <v>3</v>
      </c>
      <c r="H1163" s="11">
        <f>IFERROR(__xludf.DUMMYFUNCTION("""COMPUTED_VALUE"""),4.4088)</f>
        <v>4.4088</v>
      </c>
    </row>
    <row r="1164">
      <c r="A1164" s="8" t="str">
        <f>IFERROR(__xludf.DUMMYFUNCTION("""COMPUTED_VALUE"""),"CA-2015-128027")</f>
        <v>CA-2015-128027</v>
      </c>
      <c r="B1164" s="9">
        <f>IFERROR(__xludf.DUMMYFUNCTION("""COMPUTED_VALUE"""),42261.0)</f>
        <v>42261</v>
      </c>
      <c r="C1164" s="8" t="str">
        <f>IFERROR(__xludf.DUMMYFUNCTION("""COMPUTED_VALUE"""),"Christopher Martinez")</f>
        <v>Christopher Martinez</v>
      </c>
      <c r="D1164" s="8" t="str">
        <f>IFERROR(__xludf.DUMMYFUNCTION("""COMPUTED_VALUE"""),"Consumer")</f>
        <v>Consumer</v>
      </c>
      <c r="E1164" s="8" t="str">
        <f>IFERROR(__xludf.DUMMYFUNCTION("""COMPUTED_VALUE"""),"South")</f>
        <v>South</v>
      </c>
      <c r="F1164" s="10">
        <f>IFERROR(__xludf.DUMMYFUNCTION("""COMPUTED_VALUE"""),269.49)</f>
        <v>269.49</v>
      </c>
      <c r="G1164" s="11">
        <f>IFERROR(__xludf.DUMMYFUNCTION("""COMPUTED_VALUE"""),3.0)</f>
        <v>3</v>
      </c>
      <c r="H1164" s="11">
        <f>IFERROR(__xludf.DUMMYFUNCTION("""COMPUTED_VALUE"""),5.3898)</f>
        <v>5.3898</v>
      </c>
    </row>
    <row r="1165">
      <c r="A1165" s="8" t="str">
        <f>IFERROR(__xludf.DUMMYFUNCTION("""COMPUTED_VALUE"""),"CA-2015-128083")</f>
        <v>CA-2015-128083</v>
      </c>
      <c r="B1165" s="9">
        <f>IFERROR(__xludf.DUMMYFUNCTION("""COMPUTED_VALUE"""),42075.0)</f>
        <v>42075</v>
      </c>
      <c r="C1165" s="8" t="str">
        <f>IFERROR(__xludf.DUMMYFUNCTION("""COMPUTED_VALUE"""),"Edward Becker")</f>
        <v>Edward Becker</v>
      </c>
      <c r="D1165" s="8" t="str">
        <f>IFERROR(__xludf.DUMMYFUNCTION("""COMPUTED_VALUE"""),"Corporate")</f>
        <v>Corporate</v>
      </c>
      <c r="E1165" s="8" t="str">
        <f>IFERROR(__xludf.DUMMYFUNCTION("""COMPUTED_VALUE"""),"South")</f>
        <v>South</v>
      </c>
      <c r="F1165" s="10">
        <f>IFERROR(__xludf.DUMMYFUNCTION("""COMPUTED_VALUE"""),8.688)</f>
        <v>8.688</v>
      </c>
      <c r="G1165" s="11">
        <f>IFERROR(__xludf.DUMMYFUNCTION("""COMPUTED_VALUE"""),3.0)</f>
        <v>3</v>
      </c>
      <c r="H1165" s="11">
        <f>IFERROR(__xludf.DUMMYFUNCTION("""COMPUTED_VALUE"""),2.9322)</f>
        <v>2.9322</v>
      </c>
    </row>
    <row r="1166">
      <c r="A1166" s="8" t="str">
        <f>IFERROR(__xludf.DUMMYFUNCTION("""COMPUTED_VALUE"""),"CA-2015-128125")</f>
        <v>CA-2015-128125</v>
      </c>
      <c r="B1166" s="9">
        <f>IFERROR(__xludf.DUMMYFUNCTION("""COMPUTED_VALUE"""),42094.0)</f>
        <v>42094</v>
      </c>
      <c r="C1166" s="8" t="str">
        <f>IFERROR(__xludf.DUMMYFUNCTION("""COMPUTED_VALUE"""),"Ed Braxton")</f>
        <v>Ed Braxton</v>
      </c>
      <c r="D1166" s="8" t="str">
        <f>IFERROR(__xludf.DUMMYFUNCTION("""COMPUTED_VALUE"""),"Corporate")</f>
        <v>Corporate</v>
      </c>
      <c r="E1166" s="8" t="str">
        <f>IFERROR(__xludf.DUMMYFUNCTION("""COMPUTED_VALUE"""),"Central")</f>
        <v>Central</v>
      </c>
      <c r="F1166" s="10">
        <f>IFERROR(__xludf.DUMMYFUNCTION("""COMPUTED_VALUE"""),98.376)</f>
        <v>98.376</v>
      </c>
      <c r="G1166" s="11">
        <f>IFERROR(__xludf.DUMMYFUNCTION("""COMPUTED_VALUE"""),3.0)</f>
        <v>3</v>
      </c>
      <c r="H1166" s="11">
        <f>IFERROR(__xludf.DUMMYFUNCTION("""COMPUTED_VALUE"""),35.6613)</f>
        <v>35.6613</v>
      </c>
    </row>
    <row r="1167">
      <c r="A1167" s="8" t="str">
        <f>IFERROR(__xludf.DUMMYFUNCTION("""COMPUTED_VALUE"""),"CA-2015-128139")</f>
        <v>CA-2015-128139</v>
      </c>
      <c r="B1167" s="9">
        <f>IFERROR(__xludf.DUMMYFUNCTION("""COMPUTED_VALUE"""),42188.0)</f>
        <v>42188</v>
      </c>
      <c r="C1167" s="8" t="str">
        <f>IFERROR(__xludf.DUMMYFUNCTION("""COMPUTED_VALUE"""),"Bruce Degenhardt")</f>
        <v>Bruce Degenhardt</v>
      </c>
      <c r="D1167" s="8" t="str">
        <f>IFERROR(__xludf.DUMMYFUNCTION("""COMPUTED_VALUE"""),"Consumer")</f>
        <v>Consumer</v>
      </c>
      <c r="E1167" s="8" t="str">
        <f>IFERROR(__xludf.DUMMYFUNCTION("""COMPUTED_VALUE"""),"South")</f>
        <v>South</v>
      </c>
      <c r="F1167" s="10">
        <f>IFERROR(__xludf.DUMMYFUNCTION("""COMPUTED_VALUE"""),70.98)</f>
        <v>70.98</v>
      </c>
      <c r="G1167" s="11">
        <f>IFERROR(__xludf.DUMMYFUNCTION("""COMPUTED_VALUE"""),1.0)</f>
        <v>1</v>
      </c>
      <c r="H1167" s="11">
        <f>IFERROR(__xludf.DUMMYFUNCTION("""COMPUTED_VALUE"""),4.9686)</f>
        <v>4.9686</v>
      </c>
    </row>
    <row r="1168">
      <c r="A1168" s="8" t="str">
        <f>IFERROR(__xludf.DUMMYFUNCTION("""COMPUTED_VALUE"""),"CA-2015-128167")</f>
        <v>CA-2015-128167</v>
      </c>
      <c r="B1168" s="9">
        <f>IFERROR(__xludf.DUMMYFUNCTION("""COMPUTED_VALUE"""),42177.0)</f>
        <v>42177</v>
      </c>
      <c r="C1168" s="8" t="str">
        <f>IFERROR(__xludf.DUMMYFUNCTION("""COMPUTED_VALUE"""),"Ken Lonsdale")</f>
        <v>Ken Lonsdale</v>
      </c>
      <c r="D1168" s="8" t="str">
        <f>IFERROR(__xludf.DUMMYFUNCTION("""COMPUTED_VALUE"""),"Consumer")</f>
        <v>Consumer</v>
      </c>
      <c r="E1168" s="8" t="str">
        <f>IFERROR(__xludf.DUMMYFUNCTION("""COMPUTED_VALUE"""),"West")</f>
        <v>West</v>
      </c>
      <c r="F1168" s="10">
        <f>IFERROR(__xludf.DUMMYFUNCTION("""COMPUTED_VALUE"""),4.96)</f>
        <v>4.96</v>
      </c>
      <c r="G1168" s="11">
        <f>IFERROR(__xludf.DUMMYFUNCTION("""COMPUTED_VALUE"""),4.0)</f>
        <v>4</v>
      </c>
      <c r="H1168" s="11">
        <f>IFERROR(__xludf.DUMMYFUNCTION("""COMPUTED_VALUE"""),2.3312)</f>
        <v>2.3312</v>
      </c>
    </row>
    <row r="1169">
      <c r="A1169" s="8" t="str">
        <f>IFERROR(__xludf.DUMMYFUNCTION("""COMPUTED_VALUE"""),"CA-2015-128356")</f>
        <v>CA-2015-128356</v>
      </c>
      <c r="B1169" s="9">
        <f>IFERROR(__xludf.DUMMYFUNCTION("""COMPUTED_VALUE"""),42279.0)</f>
        <v>42279</v>
      </c>
      <c r="C1169" s="8" t="str">
        <f>IFERROR(__xludf.DUMMYFUNCTION("""COMPUTED_VALUE"""),"Resi Pölking")</f>
        <v>Resi Pölking</v>
      </c>
      <c r="D1169" s="8" t="str">
        <f>IFERROR(__xludf.DUMMYFUNCTION("""COMPUTED_VALUE"""),"Consumer")</f>
        <v>Consumer</v>
      </c>
      <c r="E1169" s="8" t="str">
        <f>IFERROR(__xludf.DUMMYFUNCTION("""COMPUTED_VALUE"""),"West")</f>
        <v>West</v>
      </c>
      <c r="F1169" s="10">
        <f>IFERROR(__xludf.DUMMYFUNCTION("""COMPUTED_VALUE"""),10.944)</f>
        <v>10.944</v>
      </c>
      <c r="G1169" s="11">
        <f>IFERROR(__xludf.DUMMYFUNCTION("""COMPUTED_VALUE"""),2.0)</f>
        <v>2</v>
      </c>
      <c r="H1169" s="11">
        <f>IFERROR(__xludf.DUMMYFUNCTION("""COMPUTED_VALUE"""),0.9576)</f>
        <v>0.9576</v>
      </c>
    </row>
    <row r="1170">
      <c r="A1170" s="8" t="str">
        <f>IFERROR(__xludf.DUMMYFUNCTION("""COMPUTED_VALUE"""),"CA-2015-128608")</f>
        <v>CA-2015-128608</v>
      </c>
      <c r="B1170" s="9">
        <f>IFERROR(__xludf.DUMMYFUNCTION("""COMPUTED_VALUE"""),42016.0)</f>
        <v>42016</v>
      </c>
      <c r="C1170" s="8" t="str">
        <f>IFERROR(__xludf.DUMMYFUNCTION("""COMPUTED_VALUE"""),"Cindy Schnelling")</f>
        <v>Cindy Schnelling</v>
      </c>
      <c r="D1170" s="8" t="str">
        <f>IFERROR(__xludf.DUMMYFUNCTION("""COMPUTED_VALUE"""),"Corporate")</f>
        <v>Corporate</v>
      </c>
      <c r="E1170" s="8" t="str">
        <f>IFERROR(__xludf.DUMMYFUNCTION("""COMPUTED_VALUE"""),"East")</f>
        <v>East</v>
      </c>
      <c r="F1170" s="10">
        <f>IFERROR(__xludf.DUMMYFUNCTION("""COMPUTED_VALUE"""),10.368)</f>
        <v>10.368</v>
      </c>
      <c r="G1170" s="11">
        <f>IFERROR(__xludf.DUMMYFUNCTION("""COMPUTED_VALUE"""),2.0)</f>
        <v>2</v>
      </c>
      <c r="H1170" s="11">
        <f>IFERROR(__xludf.DUMMYFUNCTION("""COMPUTED_VALUE"""),1.5552)</f>
        <v>1.5552</v>
      </c>
    </row>
    <row r="1171">
      <c r="A1171" s="8" t="str">
        <f>IFERROR(__xludf.DUMMYFUNCTION("""COMPUTED_VALUE"""),"CA-2015-128860")</f>
        <v>CA-2015-128860</v>
      </c>
      <c r="B1171" s="9">
        <f>IFERROR(__xludf.DUMMYFUNCTION("""COMPUTED_VALUE"""),42184.0)</f>
        <v>42184</v>
      </c>
      <c r="C1171" s="8" t="str">
        <f>IFERROR(__xludf.DUMMYFUNCTION("""COMPUTED_VALUE"""),"Steven Cartwright")</f>
        <v>Steven Cartwright</v>
      </c>
      <c r="D1171" s="8" t="str">
        <f>IFERROR(__xludf.DUMMYFUNCTION("""COMPUTED_VALUE"""),"Consumer")</f>
        <v>Consumer</v>
      </c>
      <c r="E1171" s="8" t="str">
        <f>IFERROR(__xludf.DUMMYFUNCTION("""COMPUTED_VALUE"""),"East")</f>
        <v>East</v>
      </c>
      <c r="F1171" s="10">
        <f>IFERROR(__xludf.DUMMYFUNCTION("""COMPUTED_VALUE"""),20.104)</f>
        <v>20.104</v>
      </c>
      <c r="G1171" s="11">
        <f>IFERROR(__xludf.DUMMYFUNCTION("""COMPUTED_VALUE"""),1.0)</f>
        <v>1</v>
      </c>
      <c r="H1171" s="11">
        <f>IFERROR(__xludf.DUMMYFUNCTION("""COMPUTED_VALUE"""),1.7591)</f>
        <v>1.7591</v>
      </c>
    </row>
    <row r="1172">
      <c r="A1172" s="8" t="str">
        <f>IFERROR(__xludf.DUMMYFUNCTION("""COMPUTED_VALUE"""),"CA-2015-128958")</f>
        <v>CA-2015-128958</v>
      </c>
      <c r="B1172" s="9">
        <f>IFERROR(__xludf.DUMMYFUNCTION("""COMPUTED_VALUE"""),42028.0)</f>
        <v>42028</v>
      </c>
      <c r="C1172" s="8" t="str">
        <f>IFERROR(__xludf.DUMMYFUNCTION("""COMPUTED_VALUE"""),"Cyra Reiten")</f>
        <v>Cyra Reiten</v>
      </c>
      <c r="D1172" s="8" t="str">
        <f>IFERROR(__xludf.DUMMYFUNCTION("""COMPUTED_VALUE"""),"Home Office")</f>
        <v>Home Office</v>
      </c>
      <c r="E1172" s="8" t="str">
        <f>IFERROR(__xludf.DUMMYFUNCTION("""COMPUTED_VALUE"""),"South")</f>
        <v>South</v>
      </c>
      <c r="F1172" s="10">
        <f>IFERROR(__xludf.DUMMYFUNCTION("""COMPUTED_VALUE"""),13.12)</f>
        <v>13.12</v>
      </c>
      <c r="G1172" s="11">
        <f>IFERROR(__xludf.DUMMYFUNCTION("""COMPUTED_VALUE"""),5.0)</f>
        <v>5</v>
      </c>
      <c r="H1172" s="11">
        <f>IFERROR(__xludf.DUMMYFUNCTION("""COMPUTED_VALUE"""),2.132)</f>
        <v>2.132</v>
      </c>
    </row>
    <row r="1173">
      <c r="A1173" s="8" t="str">
        <f>IFERROR(__xludf.DUMMYFUNCTION("""COMPUTED_VALUE"""),"CA-2015-128993")</f>
        <v>CA-2015-128993</v>
      </c>
      <c r="B1173" s="9">
        <f>IFERROR(__xludf.DUMMYFUNCTION("""COMPUTED_VALUE"""),42259.0)</f>
        <v>42259</v>
      </c>
      <c r="C1173" s="8" t="str">
        <f>IFERROR(__xludf.DUMMYFUNCTION("""COMPUTED_VALUE"""),"Craig Carreira")</f>
        <v>Craig Carreira</v>
      </c>
      <c r="D1173" s="8" t="str">
        <f>IFERROR(__xludf.DUMMYFUNCTION("""COMPUTED_VALUE"""),"Consumer")</f>
        <v>Consumer</v>
      </c>
      <c r="E1173" s="8" t="str">
        <f>IFERROR(__xludf.DUMMYFUNCTION("""COMPUTED_VALUE"""),"West")</f>
        <v>West</v>
      </c>
      <c r="F1173" s="10">
        <f>IFERROR(__xludf.DUMMYFUNCTION("""COMPUTED_VALUE"""),21.98)</f>
        <v>21.98</v>
      </c>
      <c r="G1173" s="11">
        <f>IFERROR(__xludf.DUMMYFUNCTION("""COMPUTED_VALUE"""),2.0)</f>
        <v>2</v>
      </c>
      <c r="H1173" s="11">
        <f>IFERROR(__xludf.DUMMYFUNCTION("""COMPUTED_VALUE"""),8.5722)</f>
        <v>8.5722</v>
      </c>
    </row>
    <row r="1174">
      <c r="A1174" s="8" t="str">
        <f>IFERROR(__xludf.DUMMYFUNCTION("""COMPUTED_VALUE"""),"CA-2015-129042")</f>
        <v>CA-2015-129042</v>
      </c>
      <c r="B1174" s="9">
        <f>IFERROR(__xludf.DUMMYFUNCTION("""COMPUTED_VALUE"""),42350.0)</f>
        <v>42350</v>
      </c>
      <c r="C1174" s="8" t="str">
        <f>IFERROR(__xludf.DUMMYFUNCTION("""COMPUTED_VALUE"""),"Eric Murdock")</f>
        <v>Eric Murdock</v>
      </c>
      <c r="D1174" s="8" t="str">
        <f>IFERROR(__xludf.DUMMYFUNCTION("""COMPUTED_VALUE"""),"Consumer")</f>
        <v>Consumer</v>
      </c>
      <c r="E1174" s="8" t="str">
        <f>IFERROR(__xludf.DUMMYFUNCTION("""COMPUTED_VALUE"""),"East")</f>
        <v>East</v>
      </c>
      <c r="F1174" s="10">
        <f>IFERROR(__xludf.DUMMYFUNCTION("""COMPUTED_VALUE"""),8.22)</f>
        <v>8.22</v>
      </c>
      <c r="G1174" s="11">
        <f>IFERROR(__xludf.DUMMYFUNCTION("""COMPUTED_VALUE"""),3.0)</f>
        <v>3</v>
      </c>
      <c r="H1174" s="11">
        <f>IFERROR(__xludf.DUMMYFUNCTION("""COMPUTED_VALUE"""),2.2194)</f>
        <v>2.2194</v>
      </c>
    </row>
    <row r="1175">
      <c r="A1175" s="8" t="str">
        <f>IFERROR(__xludf.DUMMYFUNCTION("""COMPUTED_VALUE"""),"CA-2015-129098")</f>
        <v>CA-2015-129098</v>
      </c>
      <c r="B1175" s="9">
        <f>IFERROR(__xludf.DUMMYFUNCTION("""COMPUTED_VALUE"""),42286.0)</f>
        <v>42286</v>
      </c>
      <c r="C1175" s="8" t="str">
        <f>IFERROR(__xludf.DUMMYFUNCTION("""COMPUTED_VALUE"""),"Dave Kipp")</f>
        <v>Dave Kipp</v>
      </c>
      <c r="D1175" s="8" t="str">
        <f>IFERROR(__xludf.DUMMYFUNCTION("""COMPUTED_VALUE"""),"Consumer")</f>
        <v>Consumer</v>
      </c>
      <c r="E1175" s="8" t="str">
        <f>IFERROR(__xludf.DUMMYFUNCTION("""COMPUTED_VALUE"""),"South")</f>
        <v>South</v>
      </c>
      <c r="F1175" s="10">
        <f>IFERROR(__xludf.DUMMYFUNCTION("""COMPUTED_VALUE"""),30.84)</f>
        <v>30.84</v>
      </c>
      <c r="G1175" s="11">
        <f>IFERROR(__xludf.DUMMYFUNCTION("""COMPUTED_VALUE"""),2.0)</f>
        <v>2</v>
      </c>
      <c r="H1175" s="11">
        <f>IFERROR(__xludf.DUMMYFUNCTION("""COMPUTED_VALUE"""),8.3268)</f>
        <v>8.3268</v>
      </c>
    </row>
    <row r="1176">
      <c r="A1176" s="8" t="str">
        <f>IFERROR(__xludf.DUMMYFUNCTION("""COMPUTED_VALUE"""),"CA-2015-129112")</f>
        <v>CA-2015-129112</v>
      </c>
      <c r="B1176" s="9">
        <f>IFERROR(__xludf.DUMMYFUNCTION("""COMPUTED_VALUE"""),42337.0)</f>
        <v>42337</v>
      </c>
      <c r="C1176" s="8" t="str">
        <f>IFERROR(__xludf.DUMMYFUNCTION("""COMPUTED_VALUE"""),"Anthony Witt")</f>
        <v>Anthony Witt</v>
      </c>
      <c r="D1176" s="8" t="str">
        <f>IFERROR(__xludf.DUMMYFUNCTION("""COMPUTED_VALUE"""),"Consumer")</f>
        <v>Consumer</v>
      </c>
      <c r="E1176" s="8" t="str">
        <f>IFERROR(__xludf.DUMMYFUNCTION("""COMPUTED_VALUE"""),"Central")</f>
        <v>Central</v>
      </c>
      <c r="F1176" s="10">
        <f>IFERROR(__xludf.DUMMYFUNCTION("""COMPUTED_VALUE"""),21.48)</f>
        <v>21.48</v>
      </c>
      <c r="G1176" s="11">
        <f>IFERROR(__xludf.DUMMYFUNCTION("""COMPUTED_VALUE"""),3.0)</f>
        <v>3</v>
      </c>
      <c r="H1176" s="11">
        <f>IFERROR(__xludf.DUMMYFUNCTION("""COMPUTED_VALUE"""),-0.2685)</f>
        <v>-0.2685</v>
      </c>
    </row>
    <row r="1177">
      <c r="A1177" s="8" t="str">
        <f>IFERROR(__xludf.DUMMYFUNCTION("""COMPUTED_VALUE"""),"CA-2015-129217")</f>
        <v>CA-2015-129217</v>
      </c>
      <c r="B1177" s="9">
        <f>IFERROR(__xludf.DUMMYFUNCTION("""COMPUTED_VALUE"""),42134.0)</f>
        <v>42134</v>
      </c>
      <c r="C1177" s="8" t="str">
        <f>IFERROR(__xludf.DUMMYFUNCTION("""COMPUTED_VALUE"""),"Dennis Pardue")</f>
        <v>Dennis Pardue</v>
      </c>
      <c r="D1177" s="8" t="str">
        <f>IFERROR(__xludf.DUMMYFUNCTION("""COMPUTED_VALUE"""),"Home Office")</f>
        <v>Home Office</v>
      </c>
      <c r="E1177" s="8" t="str">
        <f>IFERROR(__xludf.DUMMYFUNCTION("""COMPUTED_VALUE"""),"Central")</f>
        <v>Central</v>
      </c>
      <c r="F1177" s="10">
        <f>IFERROR(__xludf.DUMMYFUNCTION("""COMPUTED_VALUE"""),70.97)</f>
        <v>70.97</v>
      </c>
      <c r="G1177" s="11">
        <f>IFERROR(__xludf.DUMMYFUNCTION("""COMPUTED_VALUE"""),5.0)</f>
        <v>5</v>
      </c>
      <c r="H1177" s="11">
        <f>IFERROR(__xludf.DUMMYFUNCTION("""COMPUTED_VALUE"""),-191.619)</f>
        <v>-191.619</v>
      </c>
    </row>
    <row r="1178">
      <c r="A1178" s="8" t="str">
        <f>IFERROR(__xludf.DUMMYFUNCTION("""COMPUTED_VALUE"""),"CA-2015-129322")</f>
        <v>CA-2015-129322</v>
      </c>
      <c r="B1178" s="9">
        <f>IFERROR(__xludf.DUMMYFUNCTION("""COMPUTED_VALUE"""),42224.0)</f>
        <v>42224</v>
      </c>
      <c r="C1178" s="8" t="str">
        <f>IFERROR(__xludf.DUMMYFUNCTION("""COMPUTED_VALUE"""),"Denny Blanton")</f>
        <v>Denny Blanton</v>
      </c>
      <c r="D1178" s="8" t="str">
        <f>IFERROR(__xludf.DUMMYFUNCTION("""COMPUTED_VALUE"""),"Consumer")</f>
        <v>Consumer</v>
      </c>
      <c r="E1178" s="8" t="str">
        <f>IFERROR(__xludf.DUMMYFUNCTION("""COMPUTED_VALUE"""),"East")</f>
        <v>East</v>
      </c>
      <c r="F1178" s="10">
        <f>IFERROR(__xludf.DUMMYFUNCTION("""COMPUTED_VALUE"""),39.66)</f>
        <v>39.66</v>
      </c>
      <c r="G1178" s="11">
        <f>IFERROR(__xludf.DUMMYFUNCTION("""COMPUTED_VALUE"""),2.0)</f>
        <v>2</v>
      </c>
      <c r="H1178" s="11">
        <f>IFERROR(__xludf.DUMMYFUNCTION("""COMPUTED_VALUE"""),11.898)</f>
        <v>11.898</v>
      </c>
    </row>
    <row r="1179">
      <c r="A1179" s="8" t="str">
        <f>IFERROR(__xludf.DUMMYFUNCTION("""COMPUTED_VALUE"""),"CA-2015-129392")</f>
        <v>CA-2015-129392</v>
      </c>
      <c r="B1179" s="9">
        <f>IFERROR(__xludf.DUMMYFUNCTION("""COMPUTED_VALUE"""),42193.0)</f>
        <v>42193</v>
      </c>
      <c r="C1179" s="8" t="str">
        <f>IFERROR(__xludf.DUMMYFUNCTION("""COMPUTED_VALUE"""),"Darrin Martin")</f>
        <v>Darrin Martin</v>
      </c>
      <c r="D1179" s="8" t="str">
        <f>IFERROR(__xludf.DUMMYFUNCTION("""COMPUTED_VALUE"""),"Consumer")</f>
        <v>Consumer</v>
      </c>
      <c r="E1179" s="8" t="str">
        <f>IFERROR(__xludf.DUMMYFUNCTION("""COMPUTED_VALUE"""),"Central")</f>
        <v>Central</v>
      </c>
      <c r="F1179" s="10">
        <f>IFERROR(__xludf.DUMMYFUNCTION("""COMPUTED_VALUE"""),21.12)</f>
        <v>21.12</v>
      </c>
      <c r="G1179" s="11">
        <f>IFERROR(__xludf.DUMMYFUNCTION("""COMPUTED_VALUE"""),5.0)</f>
        <v>5</v>
      </c>
      <c r="H1179" s="11">
        <f>IFERROR(__xludf.DUMMYFUNCTION("""COMPUTED_VALUE"""),6.6)</f>
        <v>6.6</v>
      </c>
    </row>
    <row r="1180">
      <c r="A1180" s="8" t="str">
        <f>IFERROR(__xludf.DUMMYFUNCTION("""COMPUTED_VALUE"""),"CA-2015-129476")</f>
        <v>CA-2015-129476</v>
      </c>
      <c r="B1180" s="9">
        <f>IFERROR(__xludf.DUMMYFUNCTION("""COMPUTED_VALUE"""),42292.0)</f>
        <v>42292</v>
      </c>
      <c r="C1180" s="8" t="str">
        <f>IFERROR(__xludf.DUMMYFUNCTION("""COMPUTED_VALUE"""),"Pete Armstrong")</f>
        <v>Pete Armstrong</v>
      </c>
      <c r="D1180" s="8" t="str">
        <f>IFERROR(__xludf.DUMMYFUNCTION("""COMPUTED_VALUE"""),"Home Office")</f>
        <v>Home Office</v>
      </c>
      <c r="E1180" s="8" t="str">
        <f>IFERROR(__xludf.DUMMYFUNCTION("""COMPUTED_VALUE"""),"Central")</f>
        <v>Central</v>
      </c>
      <c r="F1180" s="10">
        <f>IFERROR(__xludf.DUMMYFUNCTION("""COMPUTED_VALUE"""),339.96)</f>
        <v>339.96</v>
      </c>
      <c r="G1180" s="11">
        <f>IFERROR(__xludf.DUMMYFUNCTION("""COMPUTED_VALUE"""),5.0)</f>
        <v>5</v>
      </c>
      <c r="H1180" s="11">
        <f>IFERROR(__xludf.DUMMYFUNCTION("""COMPUTED_VALUE"""),67.992)</f>
        <v>67.992</v>
      </c>
    </row>
    <row r="1181">
      <c r="A1181" s="8" t="str">
        <f>IFERROR(__xludf.DUMMYFUNCTION("""COMPUTED_VALUE"""),"CA-2015-129525")</f>
        <v>CA-2015-129525</v>
      </c>
      <c r="B1181" s="9">
        <f>IFERROR(__xludf.DUMMYFUNCTION("""COMPUTED_VALUE"""),42323.0)</f>
        <v>42323</v>
      </c>
      <c r="C1181" s="8" t="str">
        <f>IFERROR(__xludf.DUMMYFUNCTION("""COMPUTED_VALUE"""),"Victoria Pisteka")</f>
        <v>Victoria Pisteka</v>
      </c>
      <c r="D1181" s="8" t="str">
        <f>IFERROR(__xludf.DUMMYFUNCTION("""COMPUTED_VALUE"""),"Corporate")</f>
        <v>Corporate</v>
      </c>
      <c r="E1181" s="8" t="str">
        <f>IFERROR(__xludf.DUMMYFUNCTION("""COMPUTED_VALUE"""),"East")</f>
        <v>East</v>
      </c>
      <c r="F1181" s="10">
        <f>IFERROR(__xludf.DUMMYFUNCTION("""COMPUTED_VALUE"""),166.92)</f>
        <v>166.92</v>
      </c>
      <c r="G1181" s="11">
        <f>IFERROR(__xludf.DUMMYFUNCTION("""COMPUTED_VALUE"""),13.0)</f>
        <v>13</v>
      </c>
      <c r="H1181" s="11">
        <f>IFERROR(__xludf.DUMMYFUNCTION("""COMPUTED_VALUE"""),-116.844)</f>
        <v>-116.844</v>
      </c>
    </row>
    <row r="1182">
      <c r="A1182" s="8" t="str">
        <f>IFERROR(__xludf.DUMMYFUNCTION("""COMPUTED_VALUE"""),"CA-2015-129532")</f>
        <v>CA-2015-129532</v>
      </c>
      <c r="B1182" s="9">
        <f>IFERROR(__xludf.DUMMYFUNCTION("""COMPUTED_VALUE"""),42346.0)</f>
        <v>42346</v>
      </c>
      <c r="C1182" s="8" t="str">
        <f>IFERROR(__xludf.DUMMYFUNCTION("""COMPUTED_VALUE"""),"Yana Sorensen")</f>
        <v>Yana Sorensen</v>
      </c>
      <c r="D1182" s="8" t="str">
        <f>IFERROR(__xludf.DUMMYFUNCTION("""COMPUTED_VALUE"""),"Corporate")</f>
        <v>Corporate</v>
      </c>
      <c r="E1182" s="8" t="str">
        <f>IFERROR(__xludf.DUMMYFUNCTION("""COMPUTED_VALUE"""),"West")</f>
        <v>West</v>
      </c>
      <c r="F1182" s="10">
        <f>IFERROR(__xludf.DUMMYFUNCTION("""COMPUTED_VALUE"""),221.96)</f>
        <v>221.96</v>
      </c>
      <c r="G1182" s="11">
        <f>IFERROR(__xludf.DUMMYFUNCTION("""COMPUTED_VALUE"""),2.0)</f>
        <v>2</v>
      </c>
      <c r="H1182" s="11">
        <f>IFERROR(__xludf.DUMMYFUNCTION("""COMPUTED_VALUE"""),4.4392)</f>
        <v>4.4392</v>
      </c>
    </row>
    <row r="1183">
      <c r="A1183" s="8" t="str">
        <f>IFERROR(__xludf.DUMMYFUNCTION("""COMPUTED_VALUE"""),"CA-2015-129546")</f>
        <v>CA-2015-129546</v>
      </c>
      <c r="B1183" s="9">
        <f>IFERROR(__xludf.DUMMYFUNCTION("""COMPUTED_VALUE"""),42275.0)</f>
        <v>42275</v>
      </c>
      <c r="C1183" s="8" t="str">
        <f>IFERROR(__xludf.DUMMYFUNCTION("""COMPUTED_VALUE"""),"Roy Phan")</f>
        <v>Roy Phan</v>
      </c>
      <c r="D1183" s="8" t="str">
        <f>IFERROR(__xludf.DUMMYFUNCTION("""COMPUTED_VALUE"""),"Corporate")</f>
        <v>Corporate</v>
      </c>
      <c r="E1183" s="8" t="str">
        <f>IFERROR(__xludf.DUMMYFUNCTION("""COMPUTED_VALUE"""),"West")</f>
        <v>West</v>
      </c>
      <c r="F1183" s="10">
        <f>IFERROR(__xludf.DUMMYFUNCTION("""COMPUTED_VALUE"""),186.15)</f>
        <v>186.15</v>
      </c>
      <c r="G1183" s="11">
        <f>IFERROR(__xludf.DUMMYFUNCTION("""COMPUTED_VALUE"""),3.0)</f>
        <v>3</v>
      </c>
      <c r="H1183" s="11">
        <f>IFERROR(__xludf.DUMMYFUNCTION("""COMPUTED_VALUE"""),55.845)</f>
        <v>55.845</v>
      </c>
    </row>
    <row r="1184">
      <c r="A1184" s="8" t="str">
        <f>IFERROR(__xludf.DUMMYFUNCTION("""COMPUTED_VALUE"""),"CA-2015-129700")</f>
        <v>CA-2015-129700</v>
      </c>
      <c r="B1184" s="9">
        <f>IFERROR(__xludf.DUMMYFUNCTION("""COMPUTED_VALUE"""),42128.0)</f>
        <v>42128</v>
      </c>
      <c r="C1184" s="8" t="str">
        <f>IFERROR(__xludf.DUMMYFUNCTION("""COMPUTED_VALUE"""),"Laura Armstrong")</f>
        <v>Laura Armstrong</v>
      </c>
      <c r="D1184" s="8" t="str">
        <f>IFERROR(__xludf.DUMMYFUNCTION("""COMPUTED_VALUE"""),"Corporate")</f>
        <v>Corporate</v>
      </c>
      <c r="E1184" s="8" t="str">
        <f>IFERROR(__xludf.DUMMYFUNCTION("""COMPUTED_VALUE"""),"Central")</f>
        <v>Central</v>
      </c>
      <c r="F1184" s="10">
        <f>IFERROR(__xludf.DUMMYFUNCTION("""COMPUTED_VALUE"""),22.288)</f>
        <v>22.288</v>
      </c>
      <c r="G1184" s="11">
        <f>IFERROR(__xludf.DUMMYFUNCTION("""COMPUTED_VALUE"""),7.0)</f>
        <v>7</v>
      </c>
      <c r="H1184" s="11">
        <f>IFERROR(__xludf.DUMMYFUNCTION("""COMPUTED_VALUE"""),-8.9152)</f>
        <v>-8.9152</v>
      </c>
    </row>
    <row r="1185">
      <c r="A1185" s="8" t="str">
        <f>IFERROR(__xludf.DUMMYFUNCTION("""COMPUTED_VALUE"""),"CA-2015-129770")</f>
        <v>CA-2015-129770</v>
      </c>
      <c r="B1185" s="9">
        <f>IFERROR(__xludf.DUMMYFUNCTION("""COMPUTED_VALUE"""),42056.0)</f>
        <v>42056</v>
      </c>
      <c r="C1185" s="8" t="str">
        <f>IFERROR(__xludf.DUMMYFUNCTION("""COMPUTED_VALUE"""),"Joe Elijah")</f>
        <v>Joe Elijah</v>
      </c>
      <c r="D1185" s="8" t="str">
        <f>IFERROR(__xludf.DUMMYFUNCTION("""COMPUTED_VALUE"""),"Consumer")</f>
        <v>Consumer</v>
      </c>
      <c r="E1185" s="8" t="str">
        <f>IFERROR(__xludf.DUMMYFUNCTION("""COMPUTED_VALUE"""),"West")</f>
        <v>West</v>
      </c>
      <c r="F1185" s="10">
        <f>IFERROR(__xludf.DUMMYFUNCTION("""COMPUTED_VALUE"""),49.12)</f>
        <v>49.12</v>
      </c>
      <c r="G1185" s="11">
        <f>IFERROR(__xludf.DUMMYFUNCTION("""COMPUTED_VALUE"""),4.0)</f>
        <v>4</v>
      </c>
      <c r="H1185" s="11">
        <f>IFERROR(__xludf.DUMMYFUNCTION("""COMPUTED_VALUE"""),23.0864)</f>
        <v>23.0864</v>
      </c>
    </row>
    <row r="1186">
      <c r="A1186" s="8" t="str">
        <f>IFERROR(__xludf.DUMMYFUNCTION("""COMPUTED_VALUE"""),"CA-2015-129854")</f>
        <v>CA-2015-129854</v>
      </c>
      <c r="B1186" s="9">
        <f>IFERROR(__xludf.DUMMYFUNCTION("""COMPUTED_VALUE"""),42238.0)</f>
        <v>42238</v>
      </c>
      <c r="C1186" s="8" t="str">
        <f>IFERROR(__xludf.DUMMYFUNCTION("""COMPUTED_VALUE"""),"Roger Barcio")</f>
        <v>Roger Barcio</v>
      </c>
      <c r="D1186" s="8" t="str">
        <f>IFERROR(__xludf.DUMMYFUNCTION("""COMPUTED_VALUE"""),"Home Office")</f>
        <v>Home Office</v>
      </c>
      <c r="E1186" s="8" t="str">
        <f>IFERROR(__xludf.DUMMYFUNCTION("""COMPUTED_VALUE"""),"East")</f>
        <v>East</v>
      </c>
      <c r="F1186" s="10">
        <f>IFERROR(__xludf.DUMMYFUNCTION("""COMPUTED_VALUE"""),16.52)</f>
        <v>16.52</v>
      </c>
      <c r="G1186" s="11">
        <f>IFERROR(__xludf.DUMMYFUNCTION("""COMPUTED_VALUE"""),4.0)</f>
        <v>4</v>
      </c>
      <c r="H1186" s="11">
        <f>IFERROR(__xludf.DUMMYFUNCTION("""COMPUTED_VALUE"""),7.5992)</f>
        <v>7.5992</v>
      </c>
    </row>
    <row r="1187">
      <c r="A1187" s="8" t="str">
        <f>IFERROR(__xludf.DUMMYFUNCTION("""COMPUTED_VALUE"""),"CA-2015-129896")</f>
        <v>CA-2015-129896</v>
      </c>
      <c r="B1187" s="9">
        <f>IFERROR(__xludf.DUMMYFUNCTION("""COMPUTED_VALUE"""),42170.0)</f>
        <v>42170</v>
      </c>
      <c r="C1187" s="8" t="str">
        <f>IFERROR(__xludf.DUMMYFUNCTION("""COMPUTED_VALUE"""),"Peter Fuller")</f>
        <v>Peter Fuller</v>
      </c>
      <c r="D1187" s="8" t="str">
        <f>IFERROR(__xludf.DUMMYFUNCTION("""COMPUTED_VALUE"""),"Consumer")</f>
        <v>Consumer</v>
      </c>
      <c r="E1187" s="8" t="str">
        <f>IFERROR(__xludf.DUMMYFUNCTION("""COMPUTED_VALUE"""),"West")</f>
        <v>West</v>
      </c>
      <c r="F1187" s="10">
        <f>IFERROR(__xludf.DUMMYFUNCTION("""COMPUTED_VALUE"""),9.568)</f>
        <v>9.568</v>
      </c>
      <c r="G1187" s="11">
        <f>IFERROR(__xludf.DUMMYFUNCTION("""COMPUTED_VALUE"""),2.0)</f>
        <v>2</v>
      </c>
      <c r="H1187" s="11">
        <f>IFERROR(__xludf.DUMMYFUNCTION("""COMPUTED_VALUE"""),2.99)</f>
        <v>2.99</v>
      </c>
    </row>
    <row r="1188">
      <c r="A1188" s="8" t="str">
        <f>IFERROR(__xludf.DUMMYFUNCTION("""COMPUTED_VALUE"""),"CA-2015-129917")</f>
        <v>CA-2015-129917</v>
      </c>
      <c r="B1188" s="9">
        <f>IFERROR(__xludf.DUMMYFUNCTION("""COMPUTED_VALUE"""),42279.0)</f>
        <v>42279</v>
      </c>
      <c r="C1188" s="8" t="str">
        <f>IFERROR(__xludf.DUMMYFUNCTION("""COMPUTED_VALUE"""),"Henry MacAllister")</f>
        <v>Henry MacAllister</v>
      </c>
      <c r="D1188" s="8" t="str">
        <f>IFERROR(__xludf.DUMMYFUNCTION("""COMPUTED_VALUE"""),"Consumer")</f>
        <v>Consumer</v>
      </c>
      <c r="E1188" s="8" t="str">
        <f>IFERROR(__xludf.DUMMYFUNCTION("""COMPUTED_VALUE"""),"West")</f>
        <v>West</v>
      </c>
      <c r="F1188" s="10">
        <f>IFERROR(__xludf.DUMMYFUNCTION("""COMPUTED_VALUE"""),11.808)</f>
        <v>11.808</v>
      </c>
      <c r="G1188" s="11">
        <f>IFERROR(__xludf.DUMMYFUNCTION("""COMPUTED_VALUE"""),3.0)</f>
        <v>3</v>
      </c>
      <c r="H1188" s="11">
        <f>IFERROR(__xludf.DUMMYFUNCTION("""COMPUTED_VALUE"""),4.1328)</f>
        <v>4.1328</v>
      </c>
    </row>
    <row r="1189">
      <c r="A1189" s="8" t="str">
        <f>IFERROR(__xludf.DUMMYFUNCTION("""COMPUTED_VALUE"""),"CA-2015-130022")</f>
        <v>CA-2015-130022</v>
      </c>
      <c r="B1189" s="9">
        <f>IFERROR(__xludf.DUMMYFUNCTION("""COMPUTED_VALUE"""),42226.0)</f>
        <v>42226</v>
      </c>
      <c r="C1189" s="8" t="str">
        <f>IFERROR(__xludf.DUMMYFUNCTION("""COMPUTED_VALUE"""),"Julie Kriz")</f>
        <v>Julie Kriz</v>
      </c>
      <c r="D1189" s="8" t="str">
        <f>IFERROR(__xludf.DUMMYFUNCTION("""COMPUTED_VALUE"""),"Home Office")</f>
        <v>Home Office</v>
      </c>
      <c r="E1189" s="8" t="str">
        <f>IFERROR(__xludf.DUMMYFUNCTION("""COMPUTED_VALUE"""),"Central")</f>
        <v>Central</v>
      </c>
      <c r="F1189" s="10">
        <f>IFERROR(__xludf.DUMMYFUNCTION("""COMPUTED_VALUE"""),3.75)</f>
        <v>3.75</v>
      </c>
      <c r="G1189" s="11">
        <f>IFERROR(__xludf.DUMMYFUNCTION("""COMPUTED_VALUE"""),1.0)</f>
        <v>1</v>
      </c>
      <c r="H1189" s="11">
        <f>IFERROR(__xludf.DUMMYFUNCTION("""COMPUTED_VALUE"""),1.8)</f>
        <v>1.8</v>
      </c>
    </row>
    <row r="1190">
      <c r="A1190" s="8" t="str">
        <f>IFERROR(__xludf.DUMMYFUNCTION("""COMPUTED_VALUE"""),"CA-2015-130113")</f>
        <v>CA-2015-130113</v>
      </c>
      <c r="B1190" s="9">
        <f>IFERROR(__xludf.DUMMYFUNCTION("""COMPUTED_VALUE"""),42365.0)</f>
        <v>42365</v>
      </c>
      <c r="C1190" s="8" t="str">
        <f>IFERROR(__xludf.DUMMYFUNCTION("""COMPUTED_VALUE"""),"Aaron Hawkins")</f>
        <v>Aaron Hawkins</v>
      </c>
      <c r="D1190" s="8" t="str">
        <f>IFERROR(__xludf.DUMMYFUNCTION("""COMPUTED_VALUE"""),"Corporate")</f>
        <v>Corporate</v>
      </c>
      <c r="E1190" s="8" t="str">
        <f>IFERROR(__xludf.DUMMYFUNCTION("""COMPUTED_VALUE"""),"West")</f>
        <v>West</v>
      </c>
      <c r="F1190" s="10">
        <f>IFERROR(__xludf.DUMMYFUNCTION("""COMPUTED_VALUE"""),323.1)</f>
        <v>323.1</v>
      </c>
      <c r="G1190" s="11">
        <f>IFERROR(__xludf.DUMMYFUNCTION("""COMPUTED_VALUE"""),2.0)</f>
        <v>2</v>
      </c>
      <c r="H1190" s="11">
        <f>IFERROR(__xludf.DUMMYFUNCTION("""COMPUTED_VALUE"""),61.389)</f>
        <v>61.389</v>
      </c>
    </row>
    <row r="1191">
      <c r="A1191" s="8" t="str">
        <f>IFERROR(__xludf.DUMMYFUNCTION("""COMPUTED_VALUE"""),"CA-2015-130183")</f>
        <v>CA-2015-130183</v>
      </c>
      <c r="B1191" s="9">
        <f>IFERROR(__xludf.DUMMYFUNCTION("""COMPUTED_VALUE"""),42321.0)</f>
        <v>42321</v>
      </c>
      <c r="C1191" s="8" t="str">
        <f>IFERROR(__xludf.DUMMYFUNCTION("""COMPUTED_VALUE"""),"Patrick O'Brill")</f>
        <v>Patrick O'Brill</v>
      </c>
      <c r="D1191" s="8" t="str">
        <f>IFERROR(__xludf.DUMMYFUNCTION("""COMPUTED_VALUE"""),"Consumer")</f>
        <v>Consumer</v>
      </c>
      <c r="E1191" s="8" t="str">
        <f>IFERROR(__xludf.DUMMYFUNCTION("""COMPUTED_VALUE"""),"Central")</f>
        <v>Central</v>
      </c>
      <c r="F1191" s="10">
        <f>IFERROR(__xludf.DUMMYFUNCTION("""COMPUTED_VALUE"""),613.9992)</f>
        <v>613.9992</v>
      </c>
      <c r="G1191" s="11">
        <f>IFERROR(__xludf.DUMMYFUNCTION("""COMPUTED_VALUE"""),3.0)</f>
        <v>3</v>
      </c>
      <c r="H1191" s="11">
        <f>IFERROR(__xludf.DUMMYFUNCTION("""COMPUTED_VALUE"""),-18.0588)</f>
        <v>-18.0588</v>
      </c>
    </row>
    <row r="1192">
      <c r="A1192" s="8" t="str">
        <f>IFERROR(__xludf.DUMMYFUNCTION("""COMPUTED_VALUE"""),"CA-2015-130204")</f>
        <v>CA-2015-130204</v>
      </c>
      <c r="B1192" s="9">
        <f>IFERROR(__xludf.DUMMYFUNCTION("""COMPUTED_VALUE"""),42250.0)</f>
        <v>42250</v>
      </c>
      <c r="C1192" s="8" t="str">
        <f>IFERROR(__xludf.DUMMYFUNCTION("""COMPUTED_VALUE"""),"David Bremer")</f>
        <v>David Bremer</v>
      </c>
      <c r="D1192" s="8" t="str">
        <f>IFERROR(__xludf.DUMMYFUNCTION("""COMPUTED_VALUE"""),"Corporate")</f>
        <v>Corporate</v>
      </c>
      <c r="E1192" s="8" t="str">
        <f>IFERROR(__xludf.DUMMYFUNCTION("""COMPUTED_VALUE"""),"West")</f>
        <v>West</v>
      </c>
      <c r="F1192" s="10">
        <f>IFERROR(__xludf.DUMMYFUNCTION("""COMPUTED_VALUE"""),31.44)</f>
        <v>31.44</v>
      </c>
      <c r="G1192" s="11">
        <f>IFERROR(__xludf.DUMMYFUNCTION("""COMPUTED_VALUE"""),3.0)</f>
        <v>3</v>
      </c>
      <c r="H1192" s="11">
        <f>IFERROR(__xludf.DUMMYFUNCTION("""COMPUTED_VALUE"""),8.4888)</f>
        <v>8.4888</v>
      </c>
    </row>
    <row r="1193">
      <c r="A1193" s="8" t="str">
        <f>IFERROR(__xludf.DUMMYFUNCTION("""COMPUTED_VALUE"""),"CA-2015-130218")</f>
        <v>CA-2015-130218</v>
      </c>
      <c r="B1193" s="9">
        <f>IFERROR(__xludf.DUMMYFUNCTION("""COMPUTED_VALUE"""),42086.0)</f>
        <v>42086</v>
      </c>
      <c r="C1193" s="8" t="str">
        <f>IFERROR(__xludf.DUMMYFUNCTION("""COMPUTED_VALUE"""),"Sheri Gordon")</f>
        <v>Sheri Gordon</v>
      </c>
      <c r="D1193" s="8" t="str">
        <f>IFERROR(__xludf.DUMMYFUNCTION("""COMPUTED_VALUE"""),"Consumer")</f>
        <v>Consumer</v>
      </c>
      <c r="E1193" s="8" t="str">
        <f>IFERROR(__xludf.DUMMYFUNCTION("""COMPUTED_VALUE"""),"South")</f>
        <v>South</v>
      </c>
      <c r="F1193" s="10">
        <f>IFERROR(__xludf.DUMMYFUNCTION("""COMPUTED_VALUE"""),31.56)</f>
        <v>31.56</v>
      </c>
      <c r="G1193" s="11">
        <f>IFERROR(__xludf.DUMMYFUNCTION("""COMPUTED_VALUE"""),4.0)</f>
        <v>4</v>
      </c>
      <c r="H1193" s="11">
        <f>IFERROR(__xludf.DUMMYFUNCTION("""COMPUTED_VALUE"""),14.202)</f>
        <v>14.202</v>
      </c>
    </row>
    <row r="1194">
      <c r="A1194" s="8" t="str">
        <f>IFERROR(__xludf.DUMMYFUNCTION("""COMPUTED_VALUE"""),"CA-2015-130253")</f>
        <v>CA-2015-130253</v>
      </c>
      <c r="B1194" s="9">
        <f>IFERROR(__xludf.DUMMYFUNCTION("""COMPUTED_VALUE"""),42352.0)</f>
        <v>42352</v>
      </c>
      <c r="C1194" s="8" t="str">
        <f>IFERROR(__xludf.DUMMYFUNCTION("""COMPUTED_VALUE"""),"Paul Prost")</f>
        <v>Paul Prost</v>
      </c>
      <c r="D1194" s="8" t="str">
        <f>IFERROR(__xludf.DUMMYFUNCTION("""COMPUTED_VALUE"""),"Home Office")</f>
        <v>Home Office</v>
      </c>
      <c r="E1194" s="8" t="str">
        <f>IFERROR(__xludf.DUMMYFUNCTION("""COMPUTED_VALUE"""),"West")</f>
        <v>West</v>
      </c>
      <c r="F1194" s="10">
        <f>IFERROR(__xludf.DUMMYFUNCTION("""COMPUTED_VALUE"""),15.24)</f>
        <v>15.24</v>
      </c>
      <c r="G1194" s="11">
        <f>IFERROR(__xludf.DUMMYFUNCTION("""COMPUTED_VALUE"""),3.0)</f>
        <v>3</v>
      </c>
      <c r="H1194" s="11">
        <f>IFERROR(__xludf.DUMMYFUNCTION("""COMPUTED_VALUE"""),5.1816)</f>
        <v>5.1816</v>
      </c>
    </row>
    <row r="1195">
      <c r="A1195" s="8" t="str">
        <f>IFERROR(__xludf.DUMMYFUNCTION("""COMPUTED_VALUE"""),"CA-2015-130365")</f>
        <v>CA-2015-130365</v>
      </c>
      <c r="B1195" s="9">
        <f>IFERROR(__xludf.DUMMYFUNCTION("""COMPUTED_VALUE"""),42119.0)</f>
        <v>42119</v>
      </c>
      <c r="C1195" s="8" t="str">
        <f>IFERROR(__xludf.DUMMYFUNCTION("""COMPUTED_VALUE"""),"Zuschuss Carroll")</f>
        <v>Zuschuss Carroll</v>
      </c>
      <c r="D1195" s="8" t="str">
        <f>IFERROR(__xludf.DUMMYFUNCTION("""COMPUTED_VALUE"""),"Consumer")</f>
        <v>Consumer</v>
      </c>
      <c r="E1195" s="8" t="str">
        <f>IFERROR(__xludf.DUMMYFUNCTION("""COMPUTED_VALUE"""),"Central")</f>
        <v>Central</v>
      </c>
      <c r="F1195" s="10">
        <f>IFERROR(__xludf.DUMMYFUNCTION("""COMPUTED_VALUE"""),221.024)</f>
        <v>221.024</v>
      </c>
      <c r="G1195" s="11">
        <f>IFERROR(__xludf.DUMMYFUNCTION("""COMPUTED_VALUE"""),2.0)</f>
        <v>2</v>
      </c>
      <c r="H1195" s="11">
        <f>IFERROR(__xludf.DUMMYFUNCTION("""COMPUTED_VALUE"""),-55.256)</f>
        <v>-55.256</v>
      </c>
    </row>
    <row r="1196">
      <c r="A1196" s="8" t="str">
        <f>IFERROR(__xludf.DUMMYFUNCTION("""COMPUTED_VALUE"""),"CA-2015-130456")</f>
        <v>CA-2015-130456</v>
      </c>
      <c r="B1196" s="9">
        <f>IFERROR(__xludf.DUMMYFUNCTION("""COMPUTED_VALUE"""),42237.0)</f>
        <v>42237</v>
      </c>
      <c r="C1196" s="8" t="str">
        <f>IFERROR(__xludf.DUMMYFUNCTION("""COMPUTED_VALUE"""),"David Smith")</f>
        <v>David Smith</v>
      </c>
      <c r="D1196" s="8" t="str">
        <f>IFERROR(__xludf.DUMMYFUNCTION("""COMPUTED_VALUE"""),"Corporate")</f>
        <v>Corporate</v>
      </c>
      <c r="E1196" s="8" t="str">
        <f>IFERROR(__xludf.DUMMYFUNCTION("""COMPUTED_VALUE"""),"West")</f>
        <v>West</v>
      </c>
      <c r="F1196" s="10">
        <f>IFERROR(__xludf.DUMMYFUNCTION("""COMPUTED_VALUE"""),586.398)</f>
        <v>586.398</v>
      </c>
      <c r="G1196" s="11">
        <f>IFERROR(__xludf.DUMMYFUNCTION("""COMPUTED_VALUE"""),6.0)</f>
        <v>6</v>
      </c>
      <c r="H1196" s="11">
        <f>IFERROR(__xludf.DUMMYFUNCTION("""COMPUTED_VALUE"""),34.494)</f>
        <v>34.494</v>
      </c>
    </row>
    <row r="1197">
      <c r="A1197" s="8" t="str">
        <f>IFERROR(__xludf.DUMMYFUNCTION("""COMPUTED_VALUE"""),"CA-2015-130554")</f>
        <v>CA-2015-130554</v>
      </c>
      <c r="B1197" s="9">
        <f>IFERROR(__xludf.DUMMYFUNCTION("""COMPUTED_VALUE"""),42101.0)</f>
        <v>42101</v>
      </c>
      <c r="C1197" s="8" t="str">
        <f>IFERROR(__xludf.DUMMYFUNCTION("""COMPUTED_VALUE"""),"Frank Merwin")</f>
        <v>Frank Merwin</v>
      </c>
      <c r="D1197" s="8" t="str">
        <f>IFERROR(__xludf.DUMMYFUNCTION("""COMPUTED_VALUE"""),"Home Office")</f>
        <v>Home Office</v>
      </c>
      <c r="E1197" s="8" t="str">
        <f>IFERROR(__xludf.DUMMYFUNCTION("""COMPUTED_VALUE"""),"East")</f>
        <v>East</v>
      </c>
      <c r="F1197" s="10">
        <f>IFERROR(__xludf.DUMMYFUNCTION("""COMPUTED_VALUE"""),11.736)</f>
        <v>11.736</v>
      </c>
      <c r="G1197" s="11">
        <f>IFERROR(__xludf.DUMMYFUNCTION("""COMPUTED_VALUE"""),3.0)</f>
        <v>3</v>
      </c>
      <c r="H1197" s="11">
        <f>IFERROR(__xludf.DUMMYFUNCTION("""COMPUTED_VALUE"""),1.0269)</f>
        <v>1.0269</v>
      </c>
    </row>
    <row r="1198">
      <c r="A1198" s="8" t="str">
        <f>IFERROR(__xludf.DUMMYFUNCTION("""COMPUTED_VALUE"""),"CA-2015-130610")</f>
        <v>CA-2015-130610</v>
      </c>
      <c r="B1198" s="9">
        <f>IFERROR(__xludf.DUMMYFUNCTION("""COMPUTED_VALUE"""),42190.0)</f>
        <v>42190</v>
      </c>
      <c r="C1198" s="8" t="str">
        <f>IFERROR(__xludf.DUMMYFUNCTION("""COMPUTED_VALUE"""),"Victor Preis")</f>
        <v>Victor Preis</v>
      </c>
      <c r="D1198" s="8" t="str">
        <f>IFERROR(__xludf.DUMMYFUNCTION("""COMPUTED_VALUE"""),"Home Office")</f>
        <v>Home Office</v>
      </c>
      <c r="E1198" s="8" t="str">
        <f>IFERROR(__xludf.DUMMYFUNCTION("""COMPUTED_VALUE"""),"Central")</f>
        <v>Central</v>
      </c>
      <c r="F1198" s="10">
        <f>IFERROR(__xludf.DUMMYFUNCTION("""COMPUTED_VALUE"""),19.0)</f>
        <v>19</v>
      </c>
      <c r="G1198" s="11">
        <f>IFERROR(__xludf.DUMMYFUNCTION("""COMPUTED_VALUE"""),5.0)</f>
        <v>5</v>
      </c>
      <c r="H1198" s="11">
        <f>IFERROR(__xludf.DUMMYFUNCTION("""COMPUTED_VALUE"""),8.93)</f>
        <v>8.93</v>
      </c>
    </row>
    <row r="1199">
      <c r="A1199" s="8" t="str">
        <f>IFERROR(__xludf.DUMMYFUNCTION("""COMPUTED_VALUE"""),"CA-2015-130659")</f>
        <v>CA-2015-130659</v>
      </c>
      <c r="B1199" s="9">
        <f>IFERROR(__xludf.DUMMYFUNCTION("""COMPUTED_VALUE"""),42342.0)</f>
        <v>42342</v>
      </c>
      <c r="C1199" s="8" t="str">
        <f>IFERROR(__xludf.DUMMYFUNCTION("""COMPUTED_VALUE"""),"Maribeth Schnelling")</f>
        <v>Maribeth Schnelling</v>
      </c>
      <c r="D1199" s="8" t="str">
        <f>IFERROR(__xludf.DUMMYFUNCTION("""COMPUTED_VALUE"""),"Consumer")</f>
        <v>Consumer</v>
      </c>
      <c r="E1199" s="8" t="str">
        <f>IFERROR(__xludf.DUMMYFUNCTION("""COMPUTED_VALUE"""),"East")</f>
        <v>East</v>
      </c>
      <c r="F1199" s="10">
        <f>IFERROR(__xludf.DUMMYFUNCTION("""COMPUTED_VALUE"""),17.94)</f>
        <v>17.94</v>
      </c>
      <c r="G1199" s="11">
        <f>IFERROR(__xludf.DUMMYFUNCTION("""COMPUTED_VALUE"""),3.0)</f>
        <v>3</v>
      </c>
      <c r="H1199" s="11">
        <f>IFERROR(__xludf.DUMMYFUNCTION("""COMPUTED_VALUE"""),8.7906)</f>
        <v>8.7906</v>
      </c>
    </row>
    <row r="1200">
      <c r="A1200" s="8" t="str">
        <f>IFERROR(__xludf.DUMMYFUNCTION("""COMPUTED_VALUE"""),"CA-2015-130736")</f>
        <v>CA-2015-130736</v>
      </c>
      <c r="B1200" s="9">
        <f>IFERROR(__xludf.DUMMYFUNCTION("""COMPUTED_VALUE"""),42345.0)</f>
        <v>42345</v>
      </c>
      <c r="C1200" s="8" t="str">
        <f>IFERROR(__xludf.DUMMYFUNCTION("""COMPUTED_VALUE"""),"Jeremy Farry")</f>
        <v>Jeremy Farry</v>
      </c>
      <c r="D1200" s="8" t="str">
        <f>IFERROR(__xludf.DUMMYFUNCTION("""COMPUTED_VALUE"""),"Consumer")</f>
        <v>Consumer</v>
      </c>
      <c r="E1200" s="8" t="str">
        <f>IFERROR(__xludf.DUMMYFUNCTION("""COMPUTED_VALUE"""),"West")</f>
        <v>West</v>
      </c>
      <c r="F1200" s="10">
        <f>IFERROR(__xludf.DUMMYFUNCTION("""COMPUTED_VALUE"""),3.96)</f>
        <v>3.96</v>
      </c>
      <c r="G1200" s="11">
        <f>IFERROR(__xludf.DUMMYFUNCTION("""COMPUTED_VALUE"""),2.0)</f>
        <v>2</v>
      </c>
      <c r="H1200" s="11">
        <f>IFERROR(__xludf.DUMMYFUNCTION("""COMPUTED_VALUE"""),0.0)</f>
        <v>0</v>
      </c>
    </row>
    <row r="1201">
      <c r="A1201" s="8" t="str">
        <f>IFERROR(__xludf.DUMMYFUNCTION("""COMPUTED_VALUE"""),"CA-2015-130785")</f>
        <v>CA-2015-130785</v>
      </c>
      <c r="B1201" s="9">
        <f>IFERROR(__xludf.DUMMYFUNCTION("""COMPUTED_VALUE"""),42252.0)</f>
        <v>42252</v>
      </c>
      <c r="C1201" s="8" t="str">
        <f>IFERROR(__xludf.DUMMYFUNCTION("""COMPUTED_VALUE"""),"Arthur Gainer")</f>
        <v>Arthur Gainer</v>
      </c>
      <c r="D1201" s="8" t="str">
        <f>IFERROR(__xludf.DUMMYFUNCTION("""COMPUTED_VALUE"""),"Consumer")</f>
        <v>Consumer</v>
      </c>
      <c r="E1201" s="8" t="str">
        <f>IFERROR(__xludf.DUMMYFUNCTION("""COMPUTED_VALUE"""),"West")</f>
        <v>West</v>
      </c>
      <c r="F1201" s="10">
        <f>IFERROR(__xludf.DUMMYFUNCTION("""COMPUTED_VALUE"""),411.332)</f>
        <v>411.332</v>
      </c>
      <c r="G1201" s="11">
        <f>IFERROR(__xludf.DUMMYFUNCTION("""COMPUTED_VALUE"""),4.0)</f>
        <v>4</v>
      </c>
      <c r="H1201" s="11">
        <f>IFERROR(__xludf.DUMMYFUNCTION("""COMPUTED_VALUE"""),-4.8392)</f>
        <v>-4.8392</v>
      </c>
    </row>
    <row r="1202">
      <c r="A1202" s="8" t="str">
        <f>IFERROR(__xludf.DUMMYFUNCTION("""COMPUTED_VALUE"""),"CA-2015-130792")</f>
        <v>CA-2015-130792</v>
      </c>
      <c r="B1202" s="9">
        <f>IFERROR(__xludf.DUMMYFUNCTION("""COMPUTED_VALUE"""),42122.0)</f>
        <v>42122</v>
      </c>
      <c r="C1202" s="8" t="str">
        <f>IFERROR(__xludf.DUMMYFUNCTION("""COMPUTED_VALUE"""),"Russell Applegate")</f>
        <v>Russell Applegate</v>
      </c>
      <c r="D1202" s="8" t="str">
        <f>IFERROR(__xludf.DUMMYFUNCTION("""COMPUTED_VALUE"""),"Consumer")</f>
        <v>Consumer</v>
      </c>
      <c r="E1202" s="8" t="str">
        <f>IFERROR(__xludf.DUMMYFUNCTION("""COMPUTED_VALUE"""),"Central")</f>
        <v>Central</v>
      </c>
      <c r="F1202" s="10">
        <f>IFERROR(__xludf.DUMMYFUNCTION("""COMPUTED_VALUE"""),8.652)</f>
        <v>8.652</v>
      </c>
      <c r="G1202" s="11">
        <f>IFERROR(__xludf.DUMMYFUNCTION("""COMPUTED_VALUE"""),3.0)</f>
        <v>3</v>
      </c>
      <c r="H1202" s="11">
        <f>IFERROR(__xludf.DUMMYFUNCTION("""COMPUTED_VALUE"""),-20.3322)</f>
        <v>-20.3322</v>
      </c>
    </row>
    <row r="1203">
      <c r="A1203" s="8" t="str">
        <f>IFERROR(__xludf.DUMMYFUNCTION("""COMPUTED_VALUE"""),"CA-2015-130848")</f>
        <v>CA-2015-130848</v>
      </c>
      <c r="B1203" s="9">
        <f>IFERROR(__xludf.DUMMYFUNCTION("""COMPUTED_VALUE"""),42302.0)</f>
        <v>42302</v>
      </c>
      <c r="C1203" s="8" t="str">
        <f>IFERROR(__xludf.DUMMYFUNCTION("""COMPUTED_VALUE"""),"Deirdre Greer")</f>
        <v>Deirdre Greer</v>
      </c>
      <c r="D1203" s="8" t="str">
        <f>IFERROR(__xludf.DUMMYFUNCTION("""COMPUTED_VALUE"""),"Corporate")</f>
        <v>Corporate</v>
      </c>
      <c r="E1203" s="8" t="str">
        <f>IFERROR(__xludf.DUMMYFUNCTION("""COMPUTED_VALUE"""),"West")</f>
        <v>West</v>
      </c>
      <c r="F1203" s="10">
        <f>IFERROR(__xludf.DUMMYFUNCTION("""COMPUTED_VALUE"""),582.336)</f>
        <v>582.336</v>
      </c>
      <c r="G1203" s="11">
        <f>IFERROR(__xludf.DUMMYFUNCTION("""COMPUTED_VALUE"""),8.0)</f>
        <v>8</v>
      </c>
      <c r="H1203" s="11">
        <f>IFERROR(__xludf.DUMMYFUNCTION("""COMPUTED_VALUE"""),-29.1168)</f>
        <v>-29.1168</v>
      </c>
    </row>
    <row r="1204">
      <c r="A1204" s="8" t="str">
        <f>IFERROR(__xludf.DUMMYFUNCTION("""COMPUTED_VALUE"""),"CA-2015-130855")</f>
        <v>CA-2015-130855</v>
      </c>
      <c r="B1204" s="9">
        <f>IFERROR(__xludf.DUMMYFUNCTION("""COMPUTED_VALUE"""),42367.0)</f>
        <v>42367</v>
      </c>
      <c r="C1204" s="8" t="str">
        <f>IFERROR(__xludf.DUMMYFUNCTION("""COMPUTED_VALUE"""),"Roy Französisch")</f>
        <v>Roy Französisch</v>
      </c>
      <c r="D1204" s="8" t="str">
        <f>IFERROR(__xludf.DUMMYFUNCTION("""COMPUTED_VALUE"""),"Consumer")</f>
        <v>Consumer</v>
      </c>
      <c r="E1204" s="8" t="str">
        <f>IFERROR(__xludf.DUMMYFUNCTION("""COMPUTED_VALUE"""),"East")</f>
        <v>East</v>
      </c>
      <c r="F1204" s="10">
        <f>IFERROR(__xludf.DUMMYFUNCTION("""COMPUTED_VALUE"""),6.36)</f>
        <v>6.36</v>
      </c>
      <c r="G1204" s="11">
        <f>IFERROR(__xludf.DUMMYFUNCTION("""COMPUTED_VALUE"""),2.0)</f>
        <v>2</v>
      </c>
      <c r="H1204" s="11">
        <f>IFERROR(__xludf.DUMMYFUNCTION("""COMPUTED_VALUE"""),0.0636)</f>
        <v>0.0636</v>
      </c>
    </row>
    <row r="1205">
      <c r="A1205" s="8" t="str">
        <f>IFERROR(__xludf.DUMMYFUNCTION("""COMPUTED_VALUE"""),"CA-2015-130876")</f>
        <v>CA-2015-130876</v>
      </c>
      <c r="B1205" s="9">
        <f>IFERROR(__xludf.DUMMYFUNCTION("""COMPUTED_VALUE"""),42136.0)</f>
        <v>42136</v>
      </c>
      <c r="C1205" s="8" t="str">
        <f>IFERROR(__xludf.DUMMYFUNCTION("""COMPUTED_VALUE"""),"Annie Zypern")</f>
        <v>Annie Zypern</v>
      </c>
      <c r="D1205" s="8" t="str">
        <f>IFERROR(__xludf.DUMMYFUNCTION("""COMPUTED_VALUE"""),"Consumer")</f>
        <v>Consumer</v>
      </c>
      <c r="E1205" s="8" t="str">
        <f>IFERROR(__xludf.DUMMYFUNCTION("""COMPUTED_VALUE"""),"East")</f>
        <v>East</v>
      </c>
      <c r="F1205" s="10">
        <f>IFERROR(__xludf.DUMMYFUNCTION("""COMPUTED_VALUE"""),36.63)</f>
        <v>36.63</v>
      </c>
      <c r="G1205" s="11">
        <f>IFERROR(__xludf.DUMMYFUNCTION("""COMPUTED_VALUE"""),3.0)</f>
        <v>3</v>
      </c>
      <c r="H1205" s="11">
        <f>IFERROR(__xludf.DUMMYFUNCTION("""COMPUTED_VALUE"""),9.8901)</f>
        <v>9.8901</v>
      </c>
    </row>
    <row r="1206">
      <c r="A1206" s="8" t="str">
        <f>IFERROR(__xludf.DUMMYFUNCTION("""COMPUTED_VALUE"""),"CA-2015-130883")</f>
        <v>CA-2015-130883</v>
      </c>
      <c r="B1206" s="9">
        <f>IFERROR(__xludf.DUMMYFUNCTION("""COMPUTED_VALUE"""),42273.0)</f>
        <v>42273</v>
      </c>
      <c r="C1206" s="8" t="str">
        <f>IFERROR(__xludf.DUMMYFUNCTION("""COMPUTED_VALUE"""),"Tracy Blumstein")</f>
        <v>Tracy Blumstein</v>
      </c>
      <c r="D1206" s="8" t="str">
        <f>IFERROR(__xludf.DUMMYFUNCTION("""COMPUTED_VALUE"""),"Consumer")</f>
        <v>Consumer</v>
      </c>
      <c r="E1206" s="8" t="str">
        <f>IFERROR(__xludf.DUMMYFUNCTION("""COMPUTED_VALUE"""),"West")</f>
        <v>West</v>
      </c>
      <c r="F1206" s="10">
        <f>IFERROR(__xludf.DUMMYFUNCTION("""COMPUTED_VALUE"""),141.76)</f>
        <v>141.76</v>
      </c>
      <c r="G1206" s="11">
        <f>IFERROR(__xludf.DUMMYFUNCTION("""COMPUTED_VALUE"""),5.0)</f>
        <v>5</v>
      </c>
      <c r="H1206" s="11">
        <f>IFERROR(__xludf.DUMMYFUNCTION("""COMPUTED_VALUE"""),47.844)</f>
        <v>47.844</v>
      </c>
    </row>
    <row r="1207">
      <c r="A1207" s="8" t="str">
        <f>IFERROR(__xludf.DUMMYFUNCTION("""COMPUTED_VALUE"""),"CA-2015-130890")</f>
        <v>CA-2015-130890</v>
      </c>
      <c r="B1207" s="9">
        <f>IFERROR(__xludf.DUMMYFUNCTION("""COMPUTED_VALUE"""),42310.0)</f>
        <v>42310</v>
      </c>
      <c r="C1207" s="8" t="str">
        <f>IFERROR(__xludf.DUMMYFUNCTION("""COMPUTED_VALUE"""),"Jas O'Carroll")</f>
        <v>Jas O'Carroll</v>
      </c>
      <c r="D1207" s="8" t="str">
        <f>IFERROR(__xludf.DUMMYFUNCTION("""COMPUTED_VALUE"""),"Consumer")</f>
        <v>Consumer</v>
      </c>
      <c r="E1207" s="8" t="str">
        <f>IFERROR(__xludf.DUMMYFUNCTION("""COMPUTED_VALUE"""),"West")</f>
        <v>West</v>
      </c>
      <c r="F1207" s="10">
        <f>IFERROR(__xludf.DUMMYFUNCTION("""COMPUTED_VALUE"""),1038.84)</f>
        <v>1038.84</v>
      </c>
      <c r="G1207" s="11">
        <f>IFERROR(__xludf.DUMMYFUNCTION("""COMPUTED_VALUE"""),5.0)</f>
        <v>5</v>
      </c>
      <c r="H1207" s="11">
        <f>IFERROR(__xludf.DUMMYFUNCTION("""COMPUTED_VALUE"""),51.942)</f>
        <v>51.942</v>
      </c>
    </row>
    <row r="1208">
      <c r="A1208" s="8" t="str">
        <f>IFERROR(__xludf.DUMMYFUNCTION("""COMPUTED_VALUE"""),"CA-2015-130974")</f>
        <v>CA-2015-130974</v>
      </c>
      <c r="B1208" s="9">
        <f>IFERROR(__xludf.DUMMYFUNCTION("""COMPUTED_VALUE"""),42335.0)</f>
        <v>42335</v>
      </c>
      <c r="C1208" s="8" t="str">
        <f>IFERROR(__xludf.DUMMYFUNCTION("""COMPUTED_VALUE"""),"Matt Abelman")</f>
        <v>Matt Abelman</v>
      </c>
      <c r="D1208" s="8" t="str">
        <f>IFERROR(__xludf.DUMMYFUNCTION("""COMPUTED_VALUE"""),"Home Office")</f>
        <v>Home Office</v>
      </c>
      <c r="E1208" s="8" t="str">
        <f>IFERROR(__xludf.DUMMYFUNCTION("""COMPUTED_VALUE"""),"East")</f>
        <v>East</v>
      </c>
      <c r="F1208" s="10">
        <f>IFERROR(__xludf.DUMMYFUNCTION("""COMPUTED_VALUE"""),40.08)</f>
        <v>40.08</v>
      </c>
      <c r="G1208" s="11">
        <f>IFERROR(__xludf.DUMMYFUNCTION("""COMPUTED_VALUE"""),6.0)</f>
        <v>6</v>
      </c>
      <c r="H1208" s="11">
        <f>IFERROR(__xludf.DUMMYFUNCTION("""COMPUTED_VALUE"""),19.2384)</f>
        <v>19.2384</v>
      </c>
    </row>
    <row r="1209">
      <c r="A1209" s="8" t="str">
        <f>IFERROR(__xludf.DUMMYFUNCTION("""COMPUTED_VALUE"""),"CA-2015-130995")</f>
        <v>CA-2015-130995</v>
      </c>
      <c r="B1209" s="9">
        <f>IFERROR(__xludf.DUMMYFUNCTION("""COMPUTED_VALUE"""),42309.0)</f>
        <v>42309</v>
      </c>
      <c r="C1209" s="8" t="str">
        <f>IFERROR(__xludf.DUMMYFUNCTION("""COMPUTED_VALUE"""),"Quincy Jones")</f>
        <v>Quincy Jones</v>
      </c>
      <c r="D1209" s="8" t="str">
        <f>IFERROR(__xludf.DUMMYFUNCTION("""COMPUTED_VALUE"""),"Corporate")</f>
        <v>Corporate</v>
      </c>
      <c r="E1209" s="8" t="str">
        <f>IFERROR(__xludf.DUMMYFUNCTION("""COMPUTED_VALUE"""),"East")</f>
        <v>East</v>
      </c>
      <c r="F1209" s="10">
        <f>IFERROR(__xludf.DUMMYFUNCTION("""COMPUTED_VALUE"""),4.95)</f>
        <v>4.95</v>
      </c>
      <c r="G1209" s="11">
        <f>IFERROR(__xludf.DUMMYFUNCTION("""COMPUTED_VALUE"""),1.0)</f>
        <v>1</v>
      </c>
      <c r="H1209" s="11">
        <f>IFERROR(__xludf.DUMMYFUNCTION("""COMPUTED_VALUE"""),1.3365)</f>
        <v>1.3365</v>
      </c>
    </row>
    <row r="1210">
      <c r="A1210" s="8" t="str">
        <f>IFERROR(__xludf.DUMMYFUNCTION("""COMPUTED_VALUE"""),"CA-2015-131072")</f>
        <v>CA-2015-131072</v>
      </c>
      <c r="B1210" s="9">
        <f>IFERROR(__xludf.DUMMYFUNCTION("""COMPUTED_VALUE"""),42313.0)</f>
        <v>42313</v>
      </c>
      <c r="C1210" s="8" t="str">
        <f>IFERROR(__xludf.DUMMYFUNCTION("""COMPUTED_VALUE"""),"Ken Lonsdale")</f>
        <v>Ken Lonsdale</v>
      </c>
      <c r="D1210" s="8" t="str">
        <f>IFERROR(__xludf.DUMMYFUNCTION("""COMPUTED_VALUE"""),"Consumer")</f>
        <v>Consumer</v>
      </c>
      <c r="E1210" s="8" t="str">
        <f>IFERROR(__xludf.DUMMYFUNCTION("""COMPUTED_VALUE"""),"West")</f>
        <v>West</v>
      </c>
      <c r="F1210" s="10">
        <f>IFERROR(__xludf.DUMMYFUNCTION("""COMPUTED_VALUE"""),98.352)</f>
        <v>98.352</v>
      </c>
      <c r="G1210" s="11">
        <f>IFERROR(__xludf.DUMMYFUNCTION("""COMPUTED_VALUE"""),3.0)</f>
        <v>3</v>
      </c>
      <c r="H1210" s="11">
        <f>IFERROR(__xludf.DUMMYFUNCTION("""COMPUTED_VALUE"""),35.6526)</f>
        <v>35.6526</v>
      </c>
    </row>
    <row r="1211">
      <c r="A1211" s="8" t="str">
        <f>IFERROR(__xludf.DUMMYFUNCTION("""COMPUTED_VALUE"""),"CA-2015-131128")</f>
        <v>CA-2015-131128</v>
      </c>
      <c r="B1211" s="9">
        <f>IFERROR(__xludf.DUMMYFUNCTION("""COMPUTED_VALUE"""),42296.0)</f>
        <v>42296</v>
      </c>
      <c r="C1211" s="8" t="str">
        <f>IFERROR(__xludf.DUMMYFUNCTION("""COMPUTED_VALUE"""),"Tracy Blumstein")</f>
        <v>Tracy Blumstein</v>
      </c>
      <c r="D1211" s="8" t="str">
        <f>IFERROR(__xludf.DUMMYFUNCTION("""COMPUTED_VALUE"""),"Consumer")</f>
        <v>Consumer</v>
      </c>
      <c r="E1211" s="8" t="str">
        <f>IFERROR(__xludf.DUMMYFUNCTION("""COMPUTED_VALUE"""),"East")</f>
        <v>East</v>
      </c>
      <c r="F1211" s="10">
        <f>IFERROR(__xludf.DUMMYFUNCTION("""COMPUTED_VALUE"""),34.44)</f>
        <v>34.44</v>
      </c>
      <c r="G1211" s="11">
        <f>IFERROR(__xludf.DUMMYFUNCTION("""COMPUTED_VALUE"""),3.0)</f>
        <v>3</v>
      </c>
      <c r="H1211" s="11">
        <f>IFERROR(__xludf.DUMMYFUNCTION("""COMPUTED_VALUE"""),17.22)</f>
        <v>17.22</v>
      </c>
    </row>
    <row r="1212">
      <c r="A1212" s="8" t="str">
        <f>IFERROR(__xludf.DUMMYFUNCTION("""COMPUTED_VALUE"""),"CA-2015-131338")</f>
        <v>CA-2015-131338</v>
      </c>
      <c r="B1212" s="9">
        <f>IFERROR(__xludf.DUMMYFUNCTION("""COMPUTED_VALUE"""),42225.0)</f>
        <v>42225</v>
      </c>
      <c r="C1212" s="8" t="str">
        <f>IFERROR(__xludf.DUMMYFUNCTION("""COMPUTED_VALUE"""),"Naresj Patel")</f>
        <v>Naresj Patel</v>
      </c>
      <c r="D1212" s="8" t="str">
        <f>IFERROR(__xludf.DUMMYFUNCTION("""COMPUTED_VALUE"""),"Consumer")</f>
        <v>Consumer</v>
      </c>
      <c r="E1212" s="8" t="str">
        <f>IFERROR(__xludf.DUMMYFUNCTION("""COMPUTED_VALUE"""),"East")</f>
        <v>East</v>
      </c>
      <c r="F1212" s="10">
        <f>IFERROR(__xludf.DUMMYFUNCTION("""COMPUTED_VALUE"""),307.98)</f>
        <v>307.98</v>
      </c>
      <c r="G1212" s="11">
        <f>IFERROR(__xludf.DUMMYFUNCTION("""COMPUTED_VALUE"""),2.0)</f>
        <v>2</v>
      </c>
      <c r="H1212" s="11">
        <f>IFERROR(__xludf.DUMMYFUNCTION("""COMPUTED_VALUE"""),89.3142)</f>
        <v>89.3142</v>
      </c>
    </row>
    <row r="1213">
      <c r="A1213" s="8" t="str">
        <f>IFERROR(__xludf.DUMMYFUNCTION("""COMPUTED_VALUE"""),"CA-2015-131352")</f>
        <v>CA-2015-131352</v>
      </c>
      <c r="B1213" s="9">
        <f>IFERROR(__xludf.DUMMYFUNCTION("""COMPUTED_VALUE"""),42285.0)</f>
        <v>42285</v>
      </c>
      <c r="C1213" s="8" t="str">
        <f>IFERROR(__xludf.DUMMYFUNCTION("""COMPUTED_VALUE"""),"Gene Hale")</f>
        <v>Gene Hale</v>
      </c>
      <c r="D1213" s="8" t="str">
        <f>IFERROR(__xludf.DUMMYFUNCTION("""COMPUTED_VALUE"""),"Corporate")</f>
        <v>Corporate</v>
      </c>
      <c r="E1213" s="8" t="str">
        <f>IFERROR(__xludf.DUMMYFUNCTION("""COMPUTED_VALUE"""),"Central")</f>
        <v>Central</v>
      </c>
      <c r="F1213" s="10">
        <f>IFERROR(__xludf.DUMMYFUNCTION("""COMPUTED_VALUE"""),72.78)</f>
        <v>72.78</v>
      </c>
      <c r="G1213" s="11">
        <f>IFERROR(__xludf.DUMMYFUNCTION("""COMPUTED_VALUE"""),3.0)</f>
        <v>3</v>
      </c>
      <c r="H1213" s="11">
        <f>IFERROR(__xludf.DUMMYFUNCTION("""COMPUTED_VALUE"""),-70.9605)</f>
        <v>-70.9605</v>
      </c>
    </row>
    <row r="1214">
      <c r="A1214" s="8" t="str">
        <f>IFERROR(__xludf.DUMMYFUNCTION("""COMPUTED_VALUE"""),"CA-2015-131422")</f>
        <v>CA-2015-131422</v>
      </c>
      <c r="B1214" s="9">
        <f>IFERROR(__xludf.DUMMYFUNCTION("""COMPUTED_VALUE"""),42313.0)</f>
        <v>42313</v>
      </c>
      <c r="C1214" s="8" t="str">
        <f>IFERROR(__xludf.DUMMYFUNCTION("""COMPUTED_VALUE"""),"George Bell")</f>
        <v>George Bell</v>
      </c>
      <c r="D1214" s="8" t="str">
        <f>IFERROR(__xludf.DUMMYFUNCTION("""COMPUTED_VALUE"""),"Corporate")</f>
        <v>Corporate</v>
      </c>
      <c r="E1214" s="8" t="str">
        <f>IFERROR(__xludf.DUMMYFUNCTION("""COMPUTED_VALUE"""),"South")</f>
        <v>South</v>
      </c>
      <c r="F1214" s="10">
        <f>IFERROR(__xludf.DUMMYFUNCTION("""COMPUTED_VALUE"""),207.0)</f>
        <v>207</v>
      </c>
      <c r="G1214" s="11">
        <f>IFERROR(__xludf.DUMMYFUNCTION("""COMPUTED_VALUE"""),3.0)</f>
        <v>3</v>
      </c>
      <c r="H1214" s="11">
        <f>IFERROR(__xludf.DUMMYFUNCTION("""COMPUTED_VALUE"""),25.875)</f>
        <v>25.875</v>
      </c>
    </row>
    <row r="1215">
      <c r="A1215" s="8" t="str">
        <f>IFERROR(__xludf.DUMMYFUNCTION("""COMPUTED_VALUE"""),"CA-2015-131457")</f>
        <v>CA-2015-131457</v>
      </c>
      <c r="B1215" s="9">
        <f>IFERROR(__xludf.DUMMYFUNCTION("""COMPUTED_VALUE"""),42308.0)</f>
        <v>42308</v>
      </c>
      <c r="C1215" s="8" t="str">
        <f>IFERROR(__xludf.DUMMYFUNCTION("""COMPUTED_VALUE"""),"Mary Zewe")</f>
        <v>Mary Zewe</v>
      </c>
      <c r="D1215" s="8" t="str">
        <f>IFERROR(__xludf.DUMMYFUNCTION("""COMPUTED_VALUE"""),"Corporate")</f>
        <v>Corporate</v>
      </c>
      <c r="E1215" s="8" t="str">
        <f>IFERROR(__xludf.DUMMYFUNCTION("""COMPUTED_VALUE"""),"West")</f>
        <v>West</v>
      </c>
      <c r="F1215" s="10">
        <f>IFERROR(__xludf.DUMMYFUNCTION("""COMPUTED_VALUE"""),14.28)</f>
        <v>14.28</v>
      </c>
      <c r="G1215" s="11">
        <f>IFERROR(__xludf.DUMMYFUNCTION("""COMPUTED_VALUE"""),7.0)</f>
        <v>7</v>
      </c>
      <c r="H1215" s="11">
        <f>IFERROR(__xludf.DUMMYFUNCTION("""COMPUTED_VALUE"""),6.7116)</f>
        <v>6.7116</v>
      </c>
    </row>
    <row r="1216">
      <c r="A1216" s="8" t="str">
        <f>IFERROR(__xludf.DUMMYFUNCTION("""COMPUTED_VALUE"""),"CA-2015-131534")</f>
        <v>CA-2015-131534</v>
      </c>
      <c r="B1216" s="9">
        <f>IFERROR(__xludf.DUMMYFUNCTION("""COMPUTED_VALUE"""),42091.0)</f>
        <v>42091</v>
      </c>
      <c r="C1216" s="8" t="str">
        <f>IFERROR(__xludf.DUMMYFUNCTION("""COMPUTED_VALUE"""),"Alan Barnes")</f>
        <v>Alan Barnes</v>
      </c>
      <c r="D1216" s="8" t="str">
        <f>IFERROR(__xludf.DUMMYFUNCTION("""COMPUTED_VALUE"""),"Consumer")</f>
        <v>Consumer</v>
      </c>
      <c r="E1216" s="8" t="str">
        <f>IFERROR(__xludf.DUMMYFUNCTION("""COMPUTED_VALUE"""),"West")</f>
        <v>West</v>
      </c>
      <c r="F1216" s="10">
        <f>IFERROR(__xludf.DUMMYFUNCTION("""COMPUTED_VALUE"""),166.24)</f>
        <v>166.24</v>
      </c>
      <c r="G1216" s="11">
        <f>IFERROR(__xludf.DUMMYFUNCTION("""COMPUTED_VALUE"""),1.0)</f>
        <v>1</v>
      </c>
      <c r="H1216" s="11">
        <f>IFERROR(__xludf.DUMMYFUNCTION("""COMPUTED_VALUE"""),24.936)</f>
        <v>24.936</v>
      </c>
    </row>
    <row r="1217">
      <c r="A1217" s="8" t="str">
        <f>IFERROR(__xludf.DUMMYFUNCTION("""COMPUTED_VALUE"""),"CA-2015-131597")</f>
        <v>CA-2015-131597</v>
      </c>
      <c r="B1217" s="9">
        <f>IFERROR(__xludf.DUMMYFUNCTION("""COMPUTED_VALUE"""),42261.0)</f>
        <v>42261</v>
      </c>
      <c r="C1217" s="8" t="str">
        <f>IFERROR(__xludf.DUMMYFUNCTION("""COMPUTED_VALUE"""),"Stefania Perrino")</f>
        <v>Stefania Perrino</v>
      </c>
      <c r="D1217" s="8" t="str">
        <f>IFERROR(__xludf.DUMMYFUNCTION("""COMPUTED_VALUE"""),"Corporate")</f>
        <v>Corporate</v>
      </c>
      <c r="E1217" s="8" t="str">
        <f>IFERROR(__xludf.DUMMYFUNCTION("""COMPUTED_VALUE"""),"West")</f>
        <v>West</v>
      </c>
      <c r="F1217" s="10">
        <f>IFERROR(__xludf.DUMMYFUNCTION("""COMPUTED_VALUE"""),170.136)</f>
        <v>170.136</v>
      </c>
      <c r="G1217" s="11">
        <f>IFERROR(__xludf.DUMMYFUNCTION("""COMPUTED_VALUE"""),3.0)</f>
        <v>3</v>
      </c>
      <c r="H1217" s="11">
        <f>IFERROR(__xludf.DUMMYFUNCTION("""COMPUTED_VALUE"""),-8.5068)</f>
        <v>-8.5068</v>
      </c>
    </row>
    <row r="1218">
      <c r="A1218" s="8" t="str">
        <f>IFERROR(__xludf.DUMMYFUNCTION("""COMPUTED_VALUE"""),"CA-2015-131758")</f>
        <v>CA-2015-131758</v>
      </c>
      <c r="B1218" s="9">
        <f>IFERROR(__xludf.DUMMYFUNCTION("""COMPUTED_VALUE"""),42152.0)</f>
        <v>42152</v>
      </c>
      <c r="C1218" s="8" t="str">
        <f>IFERROR(__xludf.DUMMYFUNCTION("""COMPUTED_VALUE"""),"Karl Braun")</f>
        <v>Karl Braun</v>
      </c>
      <c r="D1218" s="8" t="str">
        <f>IFERROR(__xludf.DUMMYFUNCTION("""COMPUTED_VALUE"""),"Consumer")</f>
        <v>Consumer</v>
      </c>
      <c r="E1218" s="8" t="str">
        <f>IFERROR(__xludf.DUMMYFUNCTION("""COMPUTED_VALUE"""),"East")</f>
        <v>East</v>
      </c>
      <c r="F1218" s="10">
        <f>IFERROR(__xludf.DUMMYFUNCTION("""COMPUTED_VALUE"""),47.82)</f>
        <v>47.82</v>
      </c>
      <c r="G1218" s="11">
        <f>IFERROR(__xludf.DUMMYFUNCTION("""COMPUTED_VALUE"""),3.0)</f>
        <v>3</v>
      </c>
      <c r="H1218" s="11">
        <f>IFERROR(__xludf.DUMMYFUNCTION("""COMPUTED_VALUE"""),14.346)</f>
        <v>14.346</v>
      </c>
    </row>
    <row r="1219">
      <c r="A1219" s="8" t="str">
        <f>IFERROR(__xludf.DUMMYFUNCTION("""COMPUTED_VALUE"""),"CA-2015-131779")</f>
        <v>CA-2015-131779</v>
      </c>
      <c r="B1219" s="9">
        <f>IFERROR(__xludf.DUMMYFUNCTION("""COMPUTED_VALUE"""),42167.0)</f>
        <v>42167</v>
      </c>
      <c r="C1219" s="8" t="str">
        <f>IFERROR(__xludf.DUMMYFUNCTION("""COMPUTED_VALUE"""),"Laurel Elliston")</f>
        <v>Laurel Elliston</v>
      </c>
      <c r="D1219" s="8" t="str">
        <f>IFERROR(__xludf.DUMMYFUNCTION("""COMPUTED_VALUE"""),"Consumer")</f>
        <v>Consumer</v>
      </c>
      <c r="E1219" s="8" t="str">
        <f>IFERROR(__xludf.DUMMYFUNCTION("""COMPUTED_VALUE"""),"East")</f>
        <v>East</v>
      </c>
      <c r="F1219" s="10">
        <f>IFERROR(__xludf.DUMMYFUNCTION("""COMPUTED_VALUE"""),29.9)</f>
        <v>29.9</v>
      </c>
      <c r="G1219" s="11">
        <f>IFERROR(__xludf.DUMMYFUNCTION("""COMPUTED_VALUE"""),5.0)</f>
        <v>5</v>
      </c>
      <c r="H1219" s="11">
        <f>IFERROR(__xludf.DUMMYFUNCTION("""COMPUTED_VALUE"""),5.083)</f>
        <v>5.083</v>
      </c>
    </row>
    <row r="1220">
      <c r="A1220" s="8" t="str">
        <f>IFERROR(__xludf.DUMMYFUNCTION("""COMPUTED_VALUE"""),"CA-2015-131856")</f>
        <v>CA-2015-131856</v>
      </c>
      <c r="B1220" s="9">
        <f>IFERROR(__xludf.DUMMYFUNCTION("""COMPUTED_VALUE"""),42136.0)</f>
        <v>42136</v>
      </c>
      <c r="C1220" s="8" t="str">
        <f>IFERROR(__xludf.DUMMYFUNCTION("""COMPUTED_VALUE"""),"James Galang")</f>
        <v>James Galang</v>
      </c>
      <c r="D1220" s="8" t="str">
        <f>IFERROR(__xludf.DUMMYFUNCTION("""COMPUTED_VALUE"""),"Consumer")</f>
        <v>Consumer</v>
      </c>
      <c r="E1220" s="8" t="str">
        <f>IFERROR(__xludf.DUMMYFUNCTION("""COMPUTED_VALUE"""),"Central")</f>
        <v>Central</v>
      </c>
      <c r="F1220" s="10">
        <f>IFERROR(__xludf.DUMMYFUNCTION("""COMPUTED_VALUE"""),21.968)</f>
        <v>21.968</v>
      </c>
      <c r="G1220" s="11">
        <f>IFERROR(__xludf.DUMMYFUNCTION("""COMPUTED_VALUE"""),4.0)</f>
        <v>4</v>
      </c>
      <c r="H1220" s="11">
        <f>IFERROR(__xludf.DUMMYFUNCTION("""COMPUTED_VALUE"""),-15.9268)</f>
        <v>-15.9268</v>
      </c>
    </row>
    <row r="1221">
      <c r="A1221" s="8" t="str">
        <f>IFERROR(__xludf.DUMMYFUNCTION("""COMPUTED_VALUE"""),"CA-2015-131884")</f>
        <v>CA-2015-131884</v>
      </c>
      <c r="B1221" s="9">
        <f>IFERROR(__xludf.DUMMYFUNCTION("""COMPUTED_VALUE"""),42344.0)</f>
        <v>42344</v>
      </c>
      <c r="C1221" s="8" t="str">
        <f>IFERROR(__xludf.DUMMYFUNCTION("""COMPUTED_VALUE"""),"Dennis Kane")</f>
        <v>Dennis Kane</v>
      </c>
      <c r="D1221" s="8" t="str">
        <f>IFERROR(__xludf.DUMMYFUNCTION("""COMPUTED_VALUE"""),"Consumer")</f>
        <v>Consumer</v>
      </c>
      <c r="E1221" s="8" t="str">
        <f>IFERROR(__xludf.DUMMYFUNCTION("""COMPUTED_VALUE"""),"East")</f>
        <v>East</v>
      </c>
      <c r="F1221" s="10">
        <f>IFERROR(__xludf.DUMMYFUNCTION("""COMPUTED_VALUE"""),485.94)</f>
        <v>485.94</v>
      </c>
      <c r="G1221" s="11">
        <f>IFERROR(__xludf.DUMMYFUNCTION("""COMPUTED_VALUE"""),2.0)</f>
        <v>2</v>
      </c>
      <c r="H1221" s="11">
        <f>IFERROR(__xludf.DUMMYFUNCTION("""COMPUTED_VALUE"""),-89.089)</f>
        <v>-89.089</v>
      </c>
    </row>
    <row r="1222">
      <c r="A1222" s="8" t="str">
        <f>IFERROR(__xludf.DUMMYFUNCTION("""COMPUTED_VALUE"""),"CA-2015-132080")</f>
        <v>CA-2015-132080</v>
      </c>
      <c r="B1222" s="9">
        <f>IFERROR(__xludf.DUMMYFUNCTION("""COMPUTED_VALUE"""),42238.0)</f>
        <v>42238</v>
      </c>
      <c r="C1222" s="8" t="str">
        <f>IFERROR(__xludf.DUMMYFUNCTION("""COMPUTED_VALUE"""),"Dave Poirier")</f>
        <v>Dave Poirier</v>
      </c>
      <c r="D1222" s="8" t="str">
        <f>IFERROR(__xludf.DUMMYFUNCTION("""COMPUTED_VALUE"""),"Corporate")</f>
        <v>Corporate</v>
      </c>
      <c r="E1222" s="8" t="str">
        <f>IFERROR(__xludf.DUMMYFUNCTION("""COMPUTED_VALUE"""),"East")</f>
        <v>East</v>
      </c>
      <c r="F1222" s="10">
        <f>IFERROR(__xludf.DUMMYFUNCTION("""COMPUTED_VALUE"""),50.112)</f>
        <v>50.112</v>
      </c>
      <c r="G1222" s="11">
        <f>IFERROR(__xludf.DUMMYFUNCTION("""COMPUTED_VALUE"""),6.0)</f>
        <v>6</v>
      </c>
      <c r="H1222" s="11">
        <f>IFERROR(__xludf.DUMMYFUNCTION("""COMPUTED_VALUE"""),16.2864)</f>
        <v>16.2864</v>
      </c>
    </row>
    <row r="1223">
      <c r="A1223" s="8" t="str">
        <f>IFERROR(__xludf.DUMMYFUNCTION("""COMPUTED_VALUE"""),"CA-2015-132101")</f>
        <v>CA-2015-132101</v>
      </c>
      <c r="B1223" s="9">
        <f>IFERROR(__xludf.DUMMYFUNCTION("""COMPUTED_VALUE"""),42082.0)</f>
        <v>42082</v>
      </c>
      <c r="C1223" s="8" t="str">
        <f>IFERROR(__xludf.DUMMYFUNCTION("""COMPUTED_VALUE"""),"Jesus Ocampo")</f>
        <v>Jesus Ocampo</v>
      </c>
      <c r="D1223" s="8" t="str">
        <f>IFERROR(__xludf.DUMMYFUNCTION("""COMPUTED_VALUE"""),"Home Office")</f>
        <v>Home Office</v>
      </c>
      <c r="E1223" s="8" t="str">
        <f>IFERROR(__xludf.DUMMYFUNCTION("""COMPUTED_VALUE"""),"West")</f>
        <v>West</v>
      </c>
      <c r="F1223" s="10">
        <f>IFERROR(__xludf.DUMMYFUNCTION("""COMPUTED_VALUE"""),453.576)</f>
        <v>453.576</v>
      </c>
      <c r="G1223" s="11">
        <f>IFERROR(__xludf.DUMMYFUNCTION("""COMPUTED_VALUE"""),3.0)</f>
        <v>3</v>
      </c>
      <c r="H1223" s="11">
        <f>IFERROR(__xludf.DUMMYFUNCTION("""COMPUTED_VALUE"""),39.6879)</f>
        <v>39.6879</v>
      </c>
    </row>
    <row r="1224">
      <c r="A1224" s="8" t="str">
        <f>IFERROR(__xludf.DUMMYFUNCTION("""COMPUTED_VALUE"""),"CA-2015-132136")</f>
        <v>CA-2015-132136</v>
      </c>
      <c r="B1224" s="9">
        <f>IFERROR(__xludf.DUMMYFUNCTION("""COMPUTED_VALUE"""),42071.0)</f>
        <v>42071</v>
      </c>
      <c r="C1224" s="8" t="str">
        <f>IFERROR(__xludf.DUMMYFUNCTION("""COMPUTED_VALUE"""),"Frank Olsen")</f>
        <v>Frank Olsen</v>
      </c>
      <c r="D1224" s="8" t="str">
        <f>IFERROR(__xludf.DUMMYFUNCTION("""COMPUTED_VALUE"""),"Consumer")</f>
        <v>Consumer</v>
      </c>
      <c r="E1224" s="8" t="str">
        <f>IFERROR(__xludf.DUMMYFUNCTION("""COMPUTED_VALUE"""),"Central")</f>
        <v>Central</v>
      </c>
      <c r="F1224" s="10">
        <f>IFERROR(__xludf.DUMMYFUNCTION("""COMPUTED_VALUE"""),8.568)</f>
        <v>8.568</v>
      </c>
      <c r="G1224" s="11">
        <f>IFERROR(__xludf.DUMMYFUNCTION("""COMPUTED_VALUE"""),3.0)</f>
        <v>3</v>
      </c>
      <c r="H1224" s="11">
        <f>IFERROR(__xludf.DUMMYFUNCTION("""COMPUTED_VALUE"""),-14.5656)</f>
        <v>-14.5656</v>
      </c>
    </row>
    <row r="1225">
      <c r="A1225" s="8" t="str">
        <f>IFERROR(__xludf.DUMMYFUNCTION("""COMPUTED_VALUE"""),"CA-2015-132276")</f>
        <v>CA-2015-132276</v>
      </c>
      <c r="B1225" s="9">
        <f>IFERROR(__xludf.DUMMYFUNCTION("""COMPUTED_VALUE"""),42058.0)</f>
        <v>42058</v>
      </c>
      <c r="C1225" s="8" t="str">
        <f>IFERROR(__xludf.DUMMYFUNCTION("""COMPUTED_VALUE"""),"Lindsay Castell")</f>
        <v>Lindsay Castell</v>
      </c>
      <c r="D1225" s="8" t="str">
        <f>IFERROR(__xludf.DUMMYFUNCTION("""COMPUTED_VALUE"""),"Home Office")</f>
        <v>Home Office</v>
      </c>
      <c r="E1225" s="8" t="str">
        <f>IFERROR(__xludf.DUMMYFUNCTION("""COMPUTED_VALUE"""),"East")</f>
        <v>East</v>
      </c>
      <c r="F1225" s="10">
        <f>IFERROR(__xludf.DUMMYFUNCTION("""COMPUTED_VALUE"""),26.88)</f>
        <v>26.88</v>
      </c>
      <c r="G1225" s="11">
        <f>IFERROR(__xludf.DUMMYFUNCTION("""COMPUTED_VALUE"""),6.0)</f>
        <v>6</v>
      </c>
      <c r="H1225" s="11">
        <f>IFERROR(__xludf.DUMMYFUNCTION("""COMPUTED_VALUE"""),6.72)</f>
        <v>6.72</v>
      </c>
    </row>
    <row r="1226">
      <c r="A1226" s="8" t="str">
        <f>IFERROR(__xludf.DUMMYFUNCTION("""COMPUTED_VALUE"""),"CA-2015-132318")</f>
        <v>CA-2015-132318</v>
      </c>
      <c r="B1226" s="9">
        <f>IFERROR(__xludf.DUMMYFUNCTION("""COMPUTED_VALUE"""),42307.0)</f>
        <v>42307</v>
      </c>
      <c r="C1226" s="8" t="str">
        <f>IFERROR(__xludf.DUMMYFUNCTION("""COMPUTED_VALUE"""),"Thomas Thornton")</f>
        <v>Thomas Thornton</v>
      </c>
      <c r="D1226" s="8" t="str">
        <f>IFERROR(__xludf.DUMMYFUNCTION("""COMPUTED_VALUE"""),"Consumer")</f>
        <v>Consumer</v>
      </c>
      <c r="E1226" s="8" t="str">
        <f>IFERROR(__xludf.DUMMYFUNCTION("""COMPUTED_VALUE"""),"South")</f>
        <v>South</v>
      </c>
      <c r="F1226" s="10">
        <f>IFERROR(__xludf.DUMMYFUNCTION("""COMPUTED_VALUE"""),182.91)</f>
        <v>182.91</v>
      </c>
      <c r="G1226" s="11">
        <f>IFERROR(__xludf.DUMMYFUNCTION("""COMPUTED_VALUE"""),3.0)</f>
        <v>3</v>
      </c>
      <c r="H1226" s="11">
        <f>IFERROR(__xludf.DUMMYFUNCTION("""COMPUTED_VALUE"""),53.0439)</f>
        <v>53.0439</v>
      </c>
    </row>
    <row r="1227">
      <c r="A1227" s="8" t="str">
        <f>IFERROR(__xludf.DUMMYFUNCTION("""COMPUTED_VALUE"""),"CA-2015-132374")</f>
        <v>CA-2015-132374</v>
      </c>
      <c r="B1227" s="9">
        <f>IFERROR(__xludf.DUMMYFUNCTION("""COMPUTED_VALUE"""),42057.0)</f>
        <v>42057</v>
      </c>
      <c r="C1227" s="8" t="str">
        <f>IFERROR(__xludf.DUMMYFUNCTION("""COMPUTED_VALUE"""),"Penelope Sewall")</f>
        <v>Penelope Sewall</v>
      </c>
      <c r="D1227" s="8" t="str">
        <f>IFERROR(__xludf.DUMMYFUNCTION("""COMPUTED_VALUE"""),"Home Office")</f>
        <v>Home Office</v>
      </c>
      <c r="E1227" s="8" t="str">
        <f>IFERROR(__xludf.DUMMYFUNCTION("""COMPUTED_VALUE"""),"Central")</f>
        <v>Central</v>
      </c>
      <c r="F1227" s="10">
        <f>IFERROR(__xludf.DUMMYFUNCTION("""COMPUTED_VALUE"""),79.36)</f>
        <v>79.36</v>
      </c>
      <c r="G1227" s="11">
        <f>IFERROR(__xludf.DUMMYFUNCTION("""COMPUTED_VALUE"""),4.0)</f>
        <v>4</v>
      </c>
      <c r="H1227" s="11">
        <f>IFERROR(__xludf.DUMMYFUNCTION("""COMPUTED_VALUE"""),20.6336)</f>
        <v>20.6336</v>
      </c>
    </row>
    <row r="1228">
      <c r="A1228" s="8" t="str">
        <f>IFERROR(__xludf.DUMMYFUNCTION("""COMPUTED_VALUE"""),"CA-2015-132388")</f>
        <v>CA-2015-132388</v>
      </c>
      <c r="B1228" s="9">
        <f>IFERROR(__xludf.DUMMYFUNCTION("""COMPUTED_VALUE"""),42287.0)</f>
        <v>42287</v>
      </c>
      <c r="C1228" s="8" t="str">
        <f>IFERROR(__xludf.DUMMYFUNCTION("""COMPUTED_VALUE"""),"Katherine Nockton")</f>
        <v>Katherine Nockton</v>
      </c>
      <c r="D1228" s="8" t="str">
        <f>IFERROR(__xludf.DUMMYFUNCTION("""COMPUTED_VALUE"""),"Corporate")</f>
        <v>Corporate</v>
      </c>
      <c r="E1228" s="8" t="str">
        <f>IFERROR(__xludf.DUMMYFUNCTION("""COMPUTED_VALUE"""),"West")</f>
        <v>West</v>
      </c>
      <c r="F1228" s="10">
        <f>IFERROR(__xludf.DUMMYFUNCTION("""COMPUTED_VALUE"""),362.136)</f>
        <v>362.136</v>
      </c>
      <c r="G1228" s="11">
        <f>IFERROR(__xludf.DUMMYFUNCTION("""COMPUTED_VALUE"""),3.0)</f>
        <v>3</v>
      </c>
      <c r="H1228" s="11">
        <f>IFERROR(__xludf.DUMMYFUNCTION("""COMPUTED_VALUE"""),-54.3204)</f>
        <v>-54.3204</v>
      </c>
    </row>
    <row r="1229">
      <c r="A1229" s="8" t="str">
        <f>IFERROR(__xludf.DUMMYFUNCTION("""COMPUTED_VALUE"""),"CA-2015-132465")</f>
        <v>CA-2015-132465</v>
      </c>
      <c r="B1229" s="9">
        <f>IFERROR(__xludf.DUMMYFUNCTION("""COMPUTED_VALUE"""),42258.0)</f>
        <v>42258</v>
      </c>
      <c r="C1229" s="8" t="str">
        <f>IFERROR(__xludf.DUMMYFUNCTION("""COMPUTED_VALUE"""),"Don Miller")</f>
        <v>Don Miller</v>
      </c>
      <c r="D1229" s="8" t="str">
        <f>IFERROR(__xludf.DUMMYFUNCTION("""COMPUTED_VALUE"""),"Corporate")</f>
        <v>Corporate</v>
      </c>
      <c r="E1229" s="8" t="str">
        <f>IFERROR(__xludf.DUMMYFUNCTION("""COMPUTED_VALUE"""),"East")</f>
        <v>East</v>
      </c>
      <c r="F1229" s="10">
        <f>IFERROR(__xludf.DUMMYFUNCTION("""COMPUTED_VALUE"""),210.68)</f>
        <v>210.68</v>
      </c>
      <c r="G1229" s="11">
        <f>IFERROR(__xludf.DUMMYFUNCTION("""COMPUTED_VALUE"""),2.0)</f>
        <v>2</v>
      </c>
      <c r="H1229" s="11">
        <f>IFERROR(__xludf.DUMMYFUNCTION("""COMPUTED_VALUE"""),50.5632)</f>
        <v>50.5632</v>
      </c>
    </row>
    <row r="1230">
      <c r="A1230" s="8" t="str">
        <f>IFERROR(__xludf.DUMMYFUNCTION("""COMPUTED_VALUE"""),"CA-2015-132486")</f>
        <v>CA-2015-132486</v>
      </c>
      <c r="B1230" s="9">
        <f>IFERROR(__xludf.DUMMYFUNCTION("""COMPUTED_VALUE"""),42300.0)</f>
        <v>42300</v>
      </c>
      <c r="C1230" s="8" t="str">
        <f>IFERROR(__xludf.DUMMYFUNCTION("""COMPUTED_VALUE"""),"Jay Fein")</f>
        <v>Jay Fein</v>
      </c>
      <c r="D1230" s="8" t="str">
        <f>IFERROR(__xludf.DUMMYFUNCTION("""COMPUTED_VALUE"""),"Consumer")</f>
        <v>Consumer</v>
      </c>
      <c r="E1230" s="8" t="str">
        <f>IFERROR(__xludf.DUMMYFUNCTION("""COMPUTED_VALUE"""),"West")</f>
        <v>West</v>
      </c>
      <c r="F1230" s="10">
        <f>IFERROR(__xludf.DUMMYFUNCTION("""COMPUTED_VALUE"""),148.32)</f>
        <v>148.32</v>
      </c>
      <c r="G1230" s="11">
        <f>IFERROR(__xludf.DUMMYFUNCTION("""COMPUTED_VALUE"""),9.0)</f>
        <v>9</v>
      </c>
      <c r="H1230" s="11">
        <f>IFERROR(__xludf.DUMMYFUNCTION("""COMPUTED_VALUE"""),63.7776)</f>
        <v>63.7776</v>
      </c>
    </row>
    <row r="1231">
      <c r="A1231" s="8" t="str">
        <f>IFERROR(__xludf.DUMMYFUNCTION("""COMPUTED_VALUE"""),"CA-2015-132507")</f>
        <v>CA-2015-132507</v>
      </c>
      <c r="B1231" s="9">
        <f>IFERROR(__xludf.DUMMYFUNCTION("""COMPUTED_VALUE"""),42215.0)</f>
        <v>42215</v>
      </c>
      <c r="C1231" s="8" t="str">
        <f>IFERROR(__xludf.DUMMYFUNCTION("""COMPUTED_VALUE"""),"Corey Catlett")</f>
        <v>Corey Catlett</v>
      </c>
      <c r="D1231" s="8" t="str">
        <f>IFERROR(__xludf.DUMMYFUNCTION("""COMPUTED_VALUE"""),"Corporate")</f>
        <v>Corporate</v>
      </c>
      <c r="E1231" s="8" t="str">
        <f>IFERROR(__xludf.DUMMYFUNCTION("""COMPUTED_VALUE"""),"Central")</f>
        <v>Central</v>
      </c>
      <c r="F1231" s="10">
        <f>IFERROR(__xludf.DUMMYFUNCTION("""COMPUTED_VALUE"""),61.792)</f>
        <v>61.792</v>
      </c>
      <c r="G1231" s="11">
        <f>IFERROR(__xludf.DUMMYFUNCTION("""COMPUTED_VALUE"""),4.0)</f>
        <v>4</v>
      </c>
      <c r="H1231" s="11">
        <f>IFERROR(__xludf.DUMMYFUNCTION("""COMPUTED_VALUE"""),6.1792)</f>
        <v>6.1792</v>
      </c>
    </row>
    <row r="1232">
      <c r="A1232" s="8" t="str">
        <f>IFERROR(__xludf.DUMMYFUNCTION("""COMPUTED_VALUE"""),"CA-2015-132570")</f>
        <v>CA-2015-132570</v>
      </c>
      <c r="B1232" s="9">
        <f>IFERROR(__xludf.DUMMYFUNCTION("""COMPUTED_VALUE"""),42308.0)</f>
        <v>42308</v>
      </c>
      <c r="C1232" s="8" t="str">
        <f>IFERROR(__xludf.DUMMYFUNCTION("""COMPUTED_VALUE"""),"Kean Thornton")</f>
        <v>Kean Thornton</v>
      </c>
      <c r="D1232" s="8" t="str">
        <f>IFERROR(__xludf.DUMMYFUNCTION("""COMPUTED_VALUE"""),"Consumer")</f>
        <v>Consumer</v>
      </c>
      <c r="E1232" s="8" t="str">
        <f>IFERROR(__xludf.DUMMYFUNCTION("""COMPUTED_VALUE"""),"East")</f>
        <v>East</v>
      </c>
      <c r="F1232" s="10">
        <f>IFERROR(__xludf.DUMMYFUNCTION("""COMPUTED_VALUE"""),2.78)</f>
        <v>2.78</v>
      </c>
      <c r="G1232" s="11">
        <f>IFERROR(__xludf.DUMMYFUNCTION("""COMPUTED_VALUE"""),2.0)</f>
        <v>2</v>
      </c>
      <c r="H1232" s="11">
        <f>IFERROR(__xludf.DUMMYFUNCTION("""COMPUTED_VALUE"""),0.7228)</f>
        <v>0.7228</v>
      </c>
    </row>
    <row r="1233">
      <c r="A1233" s="8" t="str">
        <f>IFERROR(__xludf.DUMMYFUNCTION("""COMPUTED_VALUE"""),"CA-2015-132626")</f>
        <v>CA-2015-132626</v>
      </c>
      <c r="B1233" s="9">
        <f>IFERROR(__xludf.DUMMYFUNCTION("""COMPUTED_VALUE"""),42194.0)</f>
        <v>42194</v>
      </c>
      <c r="C1233" s="8" t="str">
        <f>IFERROR(__xludf.DUMMYFUNCTION("""COMPUTED_VALUE"""),"Brian Thompson")</f>
        <v>Brian Thompson</v>
      </c>
      <c r="D1233" s="8" t="str">
        <f>IFERROR(__xludf.DUMMYFUNCTION("""COMPUTED_VALUE"""),"Consumer")</f>
        <v>Consumer</v>
      </c>
      <c r="E1233" s="8" t="str">
        <f>IFERROR(__xludf.DUMMYFUNCTION("""COMPUTED_VALUE"""),"East")</f>
        <v>East</v>
      </c>
      <c r="F1233" s="10">
        <f>IFERROR(__xludf.DUMMYFUNCTION("""COMPUTED_VALUE"""),15.8)</f>
        <v>15.8</v>
      </c>
      <c r="G1233" s="11">
        <f>IFERROR(__xludf.DUMMYFUNCTION("""COMPUTED_VALUE"""),4.0)</f>
        <v>4</v>
      </c>
      <c r="H1233" s="11">
        <f>IFERROR(__xludf.DUMMYFUNCTION("""COMPUTED_VALUE"""),5.056)</f>
        <v>5.056</v>
      </c>
    </row>
    <row r="1234">
      <c r="A1234" s="8" t="str">
        <f>IFERROR(__xludf.DUMMYFUNCTION("""COMPUTED_VALUE"""),"CA-2015-132633")</f>
        <v>CA-2015-132633</v>
      </c>
      <c r="B1234" s="9">
        <f>IFERROR(__xludf.DUMMYFUNCTION("""COMPUTED_VALUE"""),42038.0)</f>
        <v>42038</v>
      </c>
      <c r="C1234" s="8" t="str">
        <f>IFERROR(__xludf.DUMMYFUNCTION("""COMPUTED_VALUE"""),"Ken Heidel")</f>
        <v>Ken Heidel</v>
      </c>
      <c r="D1234" s="8" t="str">
        <f>IFERROR(__xludf.DUMMYFUNCTION("""COMPUTED_VALUE"""),"Corporate")</f>
        <v>Corporate</v>
      </c>
      <c r="E1234" s="8" t="str">
        <f>IFERROR(__xludf.DUMMYFUNCTION("""COMPUTED_VALUE"""),"West")</f>
        <v>West</v>
      </c>
      <c r="F1234" s="10">
        <f>IFERROR(__xludf.DUMMYFUNCTION("""COMPUTED_VALUE"""),12.144)</f>
        <v>12.144</v>
      </c>
      <c r="G1234" s="11">
        <f>IFERROR(__xludf.DUMMYFUNCTION("""COMPUTED_VALUE"""),3.0)</f>
        <v>3</v>
      </c>
      <c r="H1234" s="11">
        <f>IFERROR(__xludf.DUMMYFUNCTION("""COMPUTED_VALUE"""),4.0986)</f>
        <v>4.0986</v>
      </c>
    </row>
    <row r="1235">
      <c r="A1235" s="8" t="str">
        <f>IFERROR(__xludf.DUMMYFUNCTION("""COMPUTED_VALUE"""),"CA-2015-132815")</f>
        <v>CA-2015-132815</v>
      </c>
      <c r="B1235" s="9">
        <f>IFERROR(__xludf.DUMMYFUNCTION("""COMPUTED_VALUE"""),42266.0)</f>
        <v>42266</v>
      </c>
      <c r="C1235" s="8" t="str">
        <f>IFERROR(__xludf.DUMMYFUNCTION("""COMPUTED_VALUE"""),"Rick Wilson")</f>
        <v>Rick Wilson</v>
      </c>
      <c r="D1235" s="8" t="str">
        <f>IFERROR(__xludf.DUMMYFUNCTION("""COMPUTED_VALUE"""),"Corporate")</f>
        <v>Corporate</v>
      </c>
      <c r="E1235" s="8" t="str">
        <f>IFERROR(__xludf.DUMMYFUNCTION("""COMPUTED_VALUE"""),"West")</f>
        <v>West</v>
      </c>
      <c r="F1235" s="10">
        <f>IFERROR(__xludf.DUMMYFUNCTION("""COMPUTED_VALUE"""),22.96)</f>
        <v>22.96</v>
      </c>
      <c r="G1235" s="11">
        <f>IFERROR(__xludf.DUMMYFUNCTION("""COMPUTED_VALUE"""),2.0)</f>
        <v>2</v>
      </c>
      <c r="H1235" s="11">
        <f>IFERROR(__xludf.DUMMYFUNCTION("""COMPUTED_VALUE"""),11.2504)</f>
        <v>11.2504</v>
      </c>
    </row>
    <row r="1236">
      <c r="A1236" s="8" t="str">
        <f>IFERROR(__xludf.DUMMYFUNCTION("""COMPUTED_VALUE"""),"CA-2015-132906")</f>
        <v>CA-2015-132906</v>
      </c>
      <c r="B1236" s="9">
        <f>IFERROR(__xludf.DUMMYFUNCTION("""COMPUTED_VALUE"""),42257.0)</f>
        <v>42257</v>
      </c>
      <c r="C1236" s="8" t="str">
        <f>IFERROR(__xludf.DUMMYFUNCTION("""COMPUTED_VALUE"""),"Charles Crestani")</f>
        <v>Charles Crestani</v>
      </c>
      <c r="D1236" s="8" t="str">
        <f>IFERROR(__xludf.DUMMYFUNCTION("""COMPUTED_VALUE"""),"Consumer")</f>
        <v>Consumer</v>
      </c>
      <c r="E1236" s="8" t="str">
        <f>IFERROR(__xludf.DUMMYFUNCTION("""COMPUTED_VALUE"""),"West")</f>
        <v>West</v>
      </c>
      <c r="F1236" s="10">
        <f>IFERROR(__xludf.DUMMYFUNCTION("""COMPUTED_VALUE"""),51.52)</f>
        <v>51.52</v>
      </c>
      <c r="G1236" s="11">
        <f>IFERROR(__xludf.DUMMYFUNCTION("""COMPUTED_VALUE"""),4.0)</f>
        <v>4</v>
      </c>
      <c r="H1236" s="11">
        <f>IFERROR(__xludf.DUMMYFUNCTION("""COMPUTED_VALUE"""),1.5456)</f>
        <v>1.5456</v>
      </c>
    </row>
    <row r="1237">
      <c r="A1237" s="8" t="str">
        <f>IFERROR(__xludf.DUMMYFUNCTION("""COMPUTED_VALUE"""),"CA-2015-132941")</f>
        <v>CA-2015-132941</v>
      </c>
      <c r="B1237" s="9">
        <f>IFERROR(__xludf.DUMMYFUNCTION("""COMPUTED_VALUE"""),42149.0)</f>
        <v>42149</v>
      </c>
      <c r="C1237" s="8" t="str">
        <f>IFERROR(__xludf.DUMMYFUNCTION("""COMPUTED_VALUE"""),"Muhammed MacIntyre")</f>
        <v>Muhammed MacIntyre</v>
      </c>
      <c r="D1237" s="8" t="str">
        <f>IFERROR(__xludf.DUMMYFUNCTION("""COMPUTED_VALUE"""),"Corporate")</f>
        <v>Corporate</v>
      </c>
      <c r="E1237" s="8" t="str">
        <f>IFERROR(__xludf.DUMMYFUNCTION("""COMPUTED_VALUE"""),"Central")</f>
        <v>Central</v>
      </c>
      <c r="F1237" s="10">
        <f>IFERROR(__xludf.DUMMYFUNCTION("""COMPUTED_VALUE"""),22.368)</f>
        <v>22.368</v>
      </c>
      <c r="G1237" s="11">
        <f>IFERROR(__xludf.DUMMYFUNCTION("""COMPUTED_VALUE"""),2.0)</f>
        <v>2</v>
      </c>
      <c r="H1237" s="11">
        <f>IFERROR(__xludf.DUMMYFUNCTION("""COMPUTED_VALUE"""),1.6776)</f>
        <v>1.6776</v>
      </c>
    </row>
    <row r="1238">
      <c r="A1238" s="8" t="str">
        <f>IFERROR(__xludf.DUMMYFUNCTION("""COMPUTED_VALUE"""),"CA-2015-132948")</f>
        <v>CA-2015-132948</v>
      </c>
      <c r="B1238" s="9">
        <f>IFERROR(__xludf.DUMMYFUNCTION("""COMPUTED_VALUE"""),42090.0)</f>
        <v>42090</v>
      </c>
      <c r="C1238" s="8" t="str">
        <f>IFERROR(__xludf.DUMMYFUNCTION("""COMPUTED_VALUE"""),"Mark Van Huff")</f>
        <v>Mark Van Huff</v>
      </c>
      <c r="D1238" s="8" t="str">
        <f>IFERROR(__xludf.DUMMYFUNCTION("""COMPUTED_VALUE"""),"Consumer")</f>
        <v>Consumer</v>
      </c>
      <c r="E1238" s="8" t="str">
        <f>IFERROR(__xludf.DUMMYFUNCTION("""COMPUTED_VALUE"""),"West")</f>
        <v>West</v>
      </c>
      <c r="F1238" s="10">
        <f>IFERROR(__xludf.DUMMYFUNCTION("""COMPUTED_VALUE"""),83.7)</f>
        <v>83.7</v>
      </c>
      <c r="G1238" s="11">
        <f>IFERROR(__xludf.DUMMYFUNCTION("""COMPUTED_VALUE"""),5.0)</f>
        <v>5</v>
      </c>
      <c r="H1238" s="11">
        <f>IFERROR(__xludf.DUMMYFUNCTION("""COMPUTED_VALUE"""),3.348)</f>
        <v>3.348</v>
      </c>
    </row>
    <row r="1239">
      <c r="A1239" s="8" t="str">
        <f>IFERROR(__xludf.DUMMYFUNCTION("""COMPUTED_VALUE"""),"CA-2015-133025")</f>
        <v>CA-2015-133025</v>
      </c>
      <c r="B1239" s="9">
        <f>IFERROR(__xludf.DUMMYFUNCTION("""COMPUTED_VALUE"""),42264.0)</f>
        <v>42264</v>
      </c>
      <c r="C1239" s="8" t="str">
        <f>IFERROR(__xludf.DUMMYFUNCTION("""COMPUTED_VALUE"""),"Meg O'Connel")</f>
        <v>Meg O'Connel</v>
      </c>
      <c r="D1239" s="8" t="str">
        <f>IFERROR(__xludf.DUMMYFUNCTION("""COMPUTED_VALUE"""),"Home Office")</f>
        <v>Home Office</v>
      </c>
      <c r="E1239" s="8" t="str">
        <f>IFERROR(__xludf.DUMMYFUNCTION("""COMPUTED_VALUE"""),"West")</f>
        <v>West</v>
      </c>
      <c r="F1239" s="10">
        <f>IFERROR(__xludf.DUMMYFUNCTION("""COMPUTED_VALUE"""),32.4)</f>
        <v>32.4</v>
      </c>
      <c r="G1239" s="11">
        <f>IFERROR(__xludf.DUMMYFUNCTION("""COMPUTED_VALUE"""),5.0)</f>
        <v>5</v>
      </c>
      <c r="H1239" s="11">
        <f>IFERROR(__xludf.DUMMYFUNCTION("""COMPUTED_VALUE"""),15.552)</f>
        <v>15.552</v>
      </c>
    </row>
    <row r="1240">
      <c r="A1240" s="8" t="str">
        <f>IFERROR(__xludf.DUMMYFUNCTION("""COMPUTED_VALUE"""),"CA-2015-133242")</f>
        <v>CA-2015-133242</v>
      </c>
      <c r="B1240" s="9">
        <f>IFERROR(__xludf.DUMMYFUNCTION("""COMPUTED_VALUE"""),42173.0)</f>
        <v>42173</v>
      </c>
      <c r="C1240" s="8" t="str">
        <f>IFERROR(__xludf.DUMMYFUNCTION("""COMPUTED_VALUE"""),"Keith Herrera")</f>
        <v>Keith Herrera</v>
      </c>
      <c r="D1240" s="8" t="str">
        <f>IFERROR(__xludf.DUMMYFUNCTION("""COMPUTED_VALUE"""),"Consumer")</f>
        <v>Consumer</v>
      </c>
      <c r="E1240" s="8" t="str">
        <f>IFERROR(__xludf.DUMMYFUNCTION("""COMPUTED_VALUE"""),"South")</f>
        <v>South</v>
      </c>
      <c r="F1240" s="10">
        <f>IFERROR(__xludf.DUMMYFUNCTION("""COMPUTED_VALUE"""),60.84)</f>
        <v>60.84</v>
      </c>
      <c r="G1240" s="11">
        <f>IFERROR(__xludf.DUMMYFUNCTION("""COMPUTED_VALUE"""),3.0)</f>
        <v>3</v>
      </c>
      <c r="H1240" s="11">
        <f>IFERROR(__xludf.DUMMYFUNCTION("""COMPUTED_VALUE"""),19.4688)</f>
        <v>19.4688</v>
      </c>
    </row>
    <row r="1241">
      <c r="A1241" s="8" t="str">
        <f>IFERROR(__xludf.DUMMYFUNCTION("""COMPUTED_VALUE"""),"CA-2015-133396")</f>
        <v>CA-2015-133396</v>
      </c>
      <c r="B1241" s="9">
        <f>IFERROR(__xludf.DUMMYFUNCTION("""COMPUTED_VALUE"""),42229.0)</f>
        <v>42229</v>
      </c>
      <c r="C1241" s="8" t="str">
        <f>IFERROR(__xludf.DUMMYFUNCTION("""COMPUTED_VALUE"""),"Grace Kelly")</f>
        <v>Grace Kelly</v>
      </c>
      <c r="D1241" s="8" t="str">
        <f>IFERROR(__xludf.DUMMYFUNCTION("""COMPUTED_VALUE"""),"Corporate")</f>
        <v>Corporate</v>
      </c>
      <c r="E1241" s="8" t="str">
        <f>IFERROR(__xludf.DUMMYFUNCTION("""COMPUTED_VALUE"""),"South")</f>
        <v>South</v>
      </c>
      <c r="F1241" s="10">
        <f>IFERROR(__xludf.DUMMYFUNCTION("""COMPUTED_VALUE"""),64.68)</f>
        <v>64.68</v>
      </c>
      <c r="G1241" s="11">
        <f>IFERROR(__xludf.DUMMYFUNCTION("""COMPUTED_VALUE"""),7.0)</f>
        <v>7</v>
      </c>
      <c r="H1241" s="11">
        <f>IFERROR(__xludf.DUMMYFUNCTION("""COMPUTED_VALUE"""),8.085)</f>
        <v>8.085</v>
      </c>
    </row>
    <row r="1242">
      <c r="A1242" s="8" t="str">
        <f>IFERROR(__xludf.DUMMYFUNCTION("""COMPUTED_VALUE"""),"CA-2015-133445")</f>
        <v>CA-2015-133445</v>
      </c>
      <c r="B1242" s="9">
        <f>IFERROR(__xludf.DUMMYFUNCTION("""COMPUTED_VALUE"""),42282.0)</f>
        <v>42282</v>
      </c>
      <c r="C1242" s="8" t="str">
        <f>IFERROR(__xludf.DUMMYFUNCTION("""COMPUTED_VALUE"""),"Jeremy Farry")</f>
        <v>Jeremy Farry</v>
      </c>
      <c r="D1242" s="8" t="str">
        <f>IFERROR(__xludf.DUMMYFUNCTION("""COMPUTED_VALUE"""),"Consumer")</f>
        <v>Consumer</v>
      </c>
      <c r="E1242" s="8" t="str">
        <f>IFERROR(__xludf.DUMMYFUNCTION("""COMPUTED_VALUE"""),"West")</f>
        <v>West</v>
      </c>
      <c r="F1242" s="10">
        <f>IFERROR(__xludf.DUMMYFUNCTION("""COMPUTED_VALUE"""),66.294)</f>
        <v>66.294</v>
      </c>
      <c r="G1242" s="11">
        <f>IFERROR(__xludf.DUMMYFUNCTION("""COMPUTED_VALUE"""),1.0)</f>
        <v>1</v>
      </c>
      <c r="H1242" s="11">
        <f>IFERROR(__xludf.DUMMYFUNCTION("""COMPUTED_VALUE"""),-103.8606)</f>
        <v>-103.8606</v>
      </c>
    </row>
    <row r="1243">
      <c r="A1243" s="8" t="str">
        <f>IFERROR(__xludf.DUMMYFUNCTION("""COMPUTED_VALUE"""),"CA-2015-133452")</f>
        <v>CA-2015-133452</v>
      </c>
      <c r="B1243" s="9">
        <f>IFERROR(__xludf.DUMMYFUNCTION("""COMPUTED_VALUE"""),42107.0)</f>
        <v>42107</v>
      </c>
      <c r="C1243" s="8" t="str">
        <f>IFERROR(__xludf.DUMMYFUNCTION("""COMPUTED_VALUE"""),"Zuschuss Carroll")</f>
        <v>Zuschuss Carroll</v>
      </c>
      <c r="D1243" s="8" t="str">
        <f>IFERROR(__xludf.DUMMYFUNCTION("""COMPUTED_VALUE"""),"Consumer")</f>
        <v>Consumer</v>
      </c>
      <c r="E1243" s="8" t="str">
        <f>IFERROR(__xludf.DUMMYFUNCTION("""COMPUTED_VALUE"""),"West")</f>
        <v>West</v>
      </c>
      <c r="F1243" s="10">
        <f>IFERROR(__xludf.DUMMYFUNCTION("""COMPUTED_VALUE"""),199.96)</f>
        <v>199.96</v>
      </c>
      <c r="G1243" s="11">
        <f>IFERROR(__xludf.DUMMYFUNCTION("""COMPUTED_VALUE"""),4.0)</f>
        <v>4</v>
      </c>
      <c r="H1243" s="11">
        <f>IFERROR(__xludf.DUMMYFUNCTION("""COMPUTED_VALUE"""),69.986)</f>
        <v>69.986</v>
      </c>
    </row>
    <row r="1244">
      <c r="A1244" s="8" t="str">
        <f>IFERROR(__xludf.DUMMYFUNCTION("""COMPUTED_VALUE"""),"CA-2015-133494")</f>
        <v>CA-2015-133494</v>
      </c>
      <c r="B1244" s="9">
        <f>IFERROR(__xludf.DUMMYFUNCTION("""COMPUTED_VALUE"""),42064.0)</f>
        <v>42064</v>
      </c>
      <c r="C1244" s="8" t="str">
        <f>IFERROR(__xludf.DUMMYFUNCTION("""COMPUTED_VALUE"""),"Resi Pölking")</f>
        <v>Resi Pölking</v>
      </c>
      <c r="D1244" s="8" t="str">
        <f>IFERROR(__xludf.DUMMYFUNCTION("""COMPUTED_VALUE"""),"Consumer")</f>
        <v>Consumer</v>
      </c>
      <c r="E1244" s="8" t="str">
        <f>IFERROR(__xludf.DUMMYFUNCTION("""COMPUTED_VALUE"""),"East")</f>
        <v>East</v>
      </c>
      <c r="F1244" s="10">
        <f>IFERROR(__xludf.DUMMYFUNCTION("""COMPUTED_VALUE"""),3.552)</f>
        <v>3.552</v>
      </c>
      <c r="G1244" s="11">
        <f>IFERROR(__xludf.DUMMYFUNCTION("""COMPUTED_VALUE"""),2.0)</f>
        <v>2</v>
      </c>
      <c r="H1244" s="11">
        <f>IFERROR(__xludf.DUMMYFUNCTION("""COMPUTED_VALUE"""),0.444)</f>
        <v>0.444</v>
      </c>
    </row>
    <row r="1245">
      <c r="A1245" s="8" t="str">
        <f>IFERROR(__xludf.DUMMYFUNCTION("""COMPUTED_VALUE"""),"CA-2015-133536")</f>
        <v>CA-2015-133536</v>
      </c>
      <c r="B1245" s="9">
        <f>IFERROR(__xludf.DUMMYFUNCTION("""COMPUTED_VALUE"""),42091.0)</f>
        <v>42091</v>
      </c>
      <c r="C1245" s="8" t="str">
        <f>IFERROR(__xludf.DUMMYFUNCTION("""COMPUTED_VALUE"""),"John Huston")</f>
        <v>John Huston</v>
      </c>
      <c r="D1245" s="8" t="str">
        <f>IFERROR(__xludf.DUMMYFUNCTION("""COMPUTED_VALUE"""),"Consumer")</f>
        <v>Consumer</v>
      </c>
      <c r="E1245" s="8" t="str">
        <f>IFERROR(__xludf.DUMMYFUNCTION("""COMPUTED_VALUE"""),"East")</f>
        <v>East</v>
      </c>
      <c r="F1245" s="10">
        <f>IFERROR(__xludf.DUMMYFUNCTION("""COMPUTED_VALUE"""),22.92)</f>
        <v>22.92</v>
      </c>
      <c r="G1245" s="11">
        <f>IFERROR(__xludf.DUMMYFUNCTION("""COMPUTED_VALUE"""),3.0)</f>
        <v>3</v>
      </c>
      <c r="H1245" s="11">
        <f>IFERROR(__xludf.DUMMYFUNCTION("""COMPUTED_VALUE"""),11.2308)</f>
        <v>11.2308</v>
      </c>
    </row>
    <row r="1246">
      <c r="A1246" s="8" t="str">
        <f>IFERROR(__xludf.DUMMYFUNCTION("""COMPUTED_VALUE"""),"CA-2015-133585")</f>
        <v>CA-2015-133585</v>
      </c>
      <c r="B1246" s="9">
        <f>IFERROR(__xludf.DUMMYFUNCTION("""COMPUTED_VALUE"""),42064.0)</f>
        <v>42064</v>
      </c>
      <c r="C1246" s="8" t="str">
        <f>IFERROR(__xludf.DUMMYFUNCTION("""COMPUTED_VALUE"""),"Craig Molinari")</f>
        <v>Craig Molinari</v>
      </c>
      <c r="D1246" s="8" t="str">
        <f>IFERROR(__xludf.DUMMYFUNCTION("""COMPUTED_VALUE"""),"Corporate")</f>
        <v>Corporate</v>
      </c>
      <c r="E1246" s="8" t="str">
        <f>IFERROR(__xludf.DUMMYFUNCTION("""COMPUTED_VALUE"""),"Central")</f>
        <v>Central</v>
      </c>
      <c r="F1246" s="10">
        <f>IFERROR(__xludf.DUMMYFUNCTION("""COMPUTED_VALUE"""),55.328)</f>
        <v>55.328</v>
      </c>
      <c r="G1246" s="11">
        <f>IFERROR(__xludf.DUMMYFUNCTION("""COMPUTED_VALUE"""),2.0)</f>
        <v>2</v>
      </c>
      <c r="H1246" s="11">
        <f>IFERROR(__xludf.DUMMYFUNCTION("""COMPUTED_VALUE"""),6.2244)</f>
        <v>6.2244</v>
      </c>
    </row>
    <row r="1247">
      <c r="A1247" s="8" t="str">
        <f>IFERROR(__xludf.DUMMYFUNCTION("""COMPUTED_VALUE"""),"CA-2015-133627")</f>
        <v>CA-2015-133627</v>
      </c>
      <c r="B1247" s="9">
        <f>IFERROR(__xludf.DUMMYFUNCTION("""COMPUTED_VALUE"""),42155.0)</f>
        <v>42155</v>
      </c>
      <c r="C1247" s="8" t="str">
        <f>IFERROR(__xludf.DUMMYFUNCTION("""COMPUTED_VALUE"""),"Sample Company A")</f>
        <v>Sample Company A</v>
      </c>
      <c r="D1247" s="8" t="str">
        <f>IFERROR(__xludf.DUMMYFUNCTION("""COMPUTED_VALUE"""),"Home Office")</f>
        <v>Home Office</v>
      </c>
      <c r="E1247" s="8" t="str">
        <f>IFERROR(__xludf.DUMMYFUNCTION("""COMPUTED_VALUE"""),"East")</f>
        <v>East</v>
      </c>
      <c r="F1247" s="10">
        <f>IFERROR(__xludf.DUMMYFUNCTION("""COMPUTED_VALUE"""),22.2)</f>
        <v>22.2</v>
      </c>
      <c r="G1247" s="11">
        <f>IFERROR(__xludf.DUMMYFUNCTION("""COMPUTED_VALUE"""),6.0)</f>
        <v>6</v>
      </c>
      <c r="H1247" s="11">
        <f>IFERROR(__xludf.DUMMYFUNCTION("""COMPUTED_VALUE"""),9.102)</f>
        <v>9.102</v>
      </c>
    </row>
    <row r="1248">
      <c r="A1248" s="8" t="str">
        <f>IFERROR(__xludf.DUMMYFUNCTION("""COMPUTED_VALUE"""),"CA-2015-133837")</f>
        <v>CA-2015-133837</v>
      </c>
      <c r="B1248" s="9">
        <f>IFERROR(__xludf.DUMMYFUNCTION("""COMPUTED_VALUE"""),42107.0)</f>
        <v>42107</v>
      </c>
      <c r="C1248" s="8" t="str">
        <f>IFERROR(__xludf.DUMMYFUNCTION("""COMPUTED_VALUE"""),"Thea Hendricks")</f>
        <v>Thea Hendricks</v>
      </c>
      <c r="D1248" s="8" t="str">
        <f>IFERROR(__xludf.DUMMYFUNCTION("""COMPUTED_VALUE"""),"Consumer")</f>
        <v>Consumer</v>
      </c>
      <c r="E1248" s="8" t="str">
        <f>IFERROR(__xludf.DUMMYFUNCTION("""COMPUTED_VALUE"""),"West")</f>
        <v>West</v>
      </c>
      <c r="F1248" s="10">
        <f>IFERROR(__xludf.DUMMYFUNCTION("""COMPUTED_VALUE"""),10.744)</f>
        <v>10.744</v>
      </c>
      <c r="G1248" s="11">
        <f>IFERROR(__xludf.DUMMYFUNCTION("""COMPUTED_VALUE"""),1.0)</f>
        <v>1</v>
      </c>
      <c r="H1248" s="11">
        <f>IFERROR(__xludf.DUMMYFUNCTION("""COMPUTED_VALUE"""),0.8058)</f>
        <v>0.8058</v>
      </c>
    </row>
    <row r="1249">
      <c r="A1249" s="8" t="str">
        <f>IFERROR(__xludf.DUMMYFUNCTION("""COMPUTED_VALUE"""),"CA-2015-133977")</f>
        <v>CA-2015-133977</v>
      </c>
      <c r="B1249" s="9">
        <f>IFERROR(__xludf.DUMMYFUNCTION("""COMPUTED_VALUE"""),42253.0)</f>
        <v>42253</v>
      </c>
      <c r="C1249" s="8" t="str">
        <f>IFERROR(__xludf.DUMMYFUNCTION("""COMPUTED_VALUE"""),"Alyssa Tate")</f>
        <v>Alyssa Tate</v>
      </c>
      <c r="D1249" s="8" t="str">
        <f>IFERROR(__xludf.DUMMYFUNCTION("""COMPUTED_VALUE"""),"Home Office")</f>
        <v>Home Office</v>
      </c>
      <c r="E1249" s="8" t="str">
        <f>IFERROR(__xludf.DUMMYFUNCTION("""COMPUTED_VALUE"""),"South")</f>
        <v>South</v>
      </c>
      <c r="F1249" s="10">
        <f>IFERROR(__xludf.DUMMYFUNCTION("""COMPUTED_VALUE"""),3.444)</f>
        <v>3.444</v>
      </c>
      <c r="G1249" s="11">
        <f>IFERROR(__xludf.DUMMYFUNCTION("""COMPUTED_VALUE"""),1.0)</f>
        <v>1</v>
      </c>
      <c r="H1249" s="11">
        <f>IFERROR(__xludf.DUMMYFUNCTION("""COMPUTED_VALUE"""),-2.5256)</f>
        <v>-2.5256</v>
      </c>
    </row>
    <row r="1250">
      <c r="A1250" s="8" t="str">
        <f>IFERROR(__xludf.DUMMYFUNCTION("""COMPUTED_VALUE"""),"CA-2015-134075")</f>
        <v>CA-2015-134075</v>
      </c>
      <c r="B1250" s="9">
        <f>IFERROR(__xludf.DUMMYFUNCTION("""COMPUTED_VALUE"""),42350.0)</f>
        <v>42350</v>
      </c>
      <c r="C1250" s="8" t="str">
        <f>IFERROR(__xludf.DUMMYFUNCTION("""COMPUTED_VALUE"""),"Helen Abelman")</f>
        <v>Helen Abelman</v>
      </c>
      <c r="D1250" s="8" t="str">
        <f>IFERROR(__xludf.DUMMYFUNCTION("""COMPUTED_VALUE"""),"Consumer")</f>
        <v>Consumer</v>
      </c>
      <c r="E1250" s="8" t="str">
        <f>IFERROR(__xludf.DUMMYFUNCTION("""COMPUTED_VALUE"""),"West")</f>
        <v>West</v>
      </c>
      <c r="F1250" s="10">
        <f>IFERROR(__xludf.DUMMYFUNCTION("""COMPUTED_VALUE"""),166.5)</f>
        <v>166.5</v>
      </c>
      <c r="G1250" s="11">
        <f>IFERROR(__xludf.DUMMYFUNCTION("""COMPUTED_VALUE"""),3.0)</f>
        <v>3</v>
      </c>
      <c r="H1250" s="11">
        <f>IFERROR(__xludf.DUMMYFUNCTION("""COMPUTED_VALUE"""),21.645)</f>
        <v>21.645</v>
      </c>
    </row>
    <row r="1251">
      <c r="A1251" s="8" t="str">
        <f>IFERROR(__xludf.DUMMYFUNCTION("""COMPUTED_VALUE"""),"CA-2015-134082")</f>
        <v>CA-2015-134082</v>
      </c>
      <c r="B1251" s="9">
        <f>IFERROR(__xludf.DUMMYFUNCTION("""COMPUTED_VALUE"""),42349.0)</f>
        <v>42349</v>
      </c>
      <c r="C1251" s="8" t="str">
        <f>IFERROR(__xludf.DUMMYFUNCTION("""COMPUTED_VALUE"""),"Jim Kriz")</f>
        <v>Jim Kriz</v>
      </c>
      <c r="D1251" s="8" t="str">
        <f>IFERROR(__xludf.DUMMYFUNCTION("""COMPUTED_VALUE"""),"Home Office")</f>
        <v>Home Office</v>
      </c>
      <c r="E1251" s="8" t="str">
        <f>IFERROR(__xludf.DUMMYFUNCTION("""COMPUTED_VALUE"""),"West")</f>
        <v>West</v>
      </c>
      <c r="F1251" s="10">
        <f>IFERROR(__xludf.DUMMYFUNCTION("""COMPUTED_VALUE"""),110.528)</f>
        <v>110.528</v>
      </c>
      <c r="G1251" s="11">
        <f>IFERROR(__xludf.DUMMYFUNCTION("""COMPUTED_VALUE"""),4.0)</f>
        <v>4</v>
      </c>
      <c r="H1251" s="11">
        <f>IFERROR(__xludf.DUMMYFUNCTION("""COMPUTED_VALUE"""),38.6848)</f>
        <v>38.6848</v>
      </c>
    </row>
    <row r="1252">
      <c r="A1252" s="8" t="str">
        <f>IFERROR(__xludf.DUMMYFUNCTION("""COMPUTED_VALUE"""),"CA-2015-134117")</f>
        <v>CA-2015-134117</v>
      </c>
      <c r="B1252" s="9">
        <f>IFERROR(__xludf.DUMMYFUNCTION("""COMPUTED_VALUE"""),42355.0)</f>
        <v>42355</v>
      </c>
      <c r="C1252" s="8" t="str">
        <f>IFERROR(__xludf.DUMMYFUNCTION("""COMPUTED_VALUE"""),"Paul Gonzalez")</f>
        <v>Paul Gonzalez</v>
      </c>
      <c r="D1252" s="8" t="str">
        <f>IFERROR(__xludf.DUMMYFUNCTION("""COMPUTED_VALUE"""),"Consumer")</f>
        <v>Consumer</v>
      </c>
      <c r="E1252" s="8" t="str">
        <f>IFERROR(__xludf.DUMMYFUNCTION("""COMPUTED_VALUE"""),"West")</f>
        <v>West</v>
      </c>
      <c r="F1252" s="10">
        <f>IFERROR(__xludf.DUMMYFUNCTION("""COMPUTED_VALUE"""),204.85)</f>
        <v>204.85</v>
      </c>
      <c r="G1252" s="11">
        <f>IFERROR(__xludf.DUMMYFUNCTION("""COMPUTED_VALUE"""),5.0)</f>
        <v>5</v>
      </c>
      <c r="H1252" s="11">
        <f>IFERROR(__xludf.DUMMYFUNCTION("""COMPUTED_VALUE"""),53.261)</f>
        <v>53.261</v>
      </c>
    </row>
    <row r="1253">
      <c r="A1253" s="8" t="str">
        <f>IFERROR(__xludf.DUMMYFUNCTION("""COMPUTED_VALUE"""),"CA-2015-134201")</f>
        <v>CA-2015-134201</v>
      </c>
      <c r="B1253" s="9">
        <f>IFERROR(__xludf.DUMMYFUNCTION("""COMPUTED_VALUE"""),42104.0)</f>
        <v>42104</v>
      </c>
      <c r="C1253" s="8" t="str">
        <f>IFERROR(__xludf.DUMMYFUNCTION("""COMPUTED_VALUE"""),"Eugene Hildebrand")</f>
        <v>Eugene Hildebrand</v>
      </c>
      <c r="D1253" s="8" t="str">
        <f>IFERROR(__xludf.DUMMYFUNCTION("""COMPUTED_VALUE"""),"Home Office")</f>
        <v>Home Office</v>
      </c>
      <c r="E1253" s="8" t="str">
        <f>IFERROR(__xludf.DUMMYFUNCTION("""COMPUTED_VALUE"""),"East")</f>
        <v>East</v>
      </c>
      <c r="F1253" s="10">
        <f>IFERROR(__xludf.DUMMYFUNCTION("""COMPUTED_VALUE"""),142.04)</f>
        <v>142.04</v>
      </c>
      <c r="G1253" s="11">
        <f>IFERROR(__xludf.DUMMYFUNCTION("""COMPUTED_VALUE"""),4.0)</f>
        <v>4</v>
      </c>
      <c r="H1253" s="11">
        <f>IFERROR(__xludf.DUMMYFUNCTION("""COMPUTED_VALUE"""),38.3508)</f>
        <v>38.3508</v>
      </c>
    </row>
    <row r="1254">
      <c r="A1254" s="8" t="str">
        <f>IFERROR(__xludf.DUMMYFUNCTION("""COMPUTED_VALUE"""),"CA-2015-134257")</f>
        <v>CA-2015-134257</v>
      </c>
      <c r="B1254" s="9">
        <f>IFERROR(__xludf.DUMMYFUNCTION("""COMPUTED_VALUE"""),42079.0)</f>
        <v>42079</v>
      </c>
      <c r="C1254" s="8" t="str">
        <f>IFERROR(__xludf.DUMMYFUNCTION("""COMPUTED_VALUE"""),"Maurice Satty")</f>
        <v>Maurice Satty</v>
      </c>
      <c r="D1254" s="8" t="str">
        <f>IFERROR(__xludf.DUMMYFUNCTION("""COMPUTED_VALUE"""),"Consumer")</f>
        <v>Consumer</v>
      </c>
      <c r="E1254" s="8" t="str">
        <f>IFERROR(__xludf.DUMMYFUNCTION("""COMPUTED_VALUE"""),"South")</f>
        <v>South</v>
      </c>
      <c r="F1254" s="10">
        <f>IFERROR(__xludf.DUMMYFUNCTION("""COMPUTED_VALUE"""),491.55)</f>
        <v>491.55</v>
      </c>
      <c r="G1254" s="11">
        <f>IFERROR(__xludf.DUMMYFUNCTION("""COMPUTED_VALUE"""),5.0)</f>
        <v>5</v>
      </c>
      <c r="H1254" s="11">
        <f>IFERROR(__xludf.DUMMYFUNCTION("""COMPUTED_VALUE"""),240.8595)</f>
        <v>240.8595</v>
      </c>
    </row>
    <row r="1255">
      <c r="A1255" s="8" t="str">
        <f>IFERROR(__xludf.DUMMYFUNCTION("""COMPUTED_VALUE"""),"CA-2015-134719")</f>
        <v>CA-2015-134719</v>
      </c>
      <c r="B1255" s="9">
        <f>IFERROR(__xludf.DUMMYFUNCTION("""COMPUTED_VALUE"""),42287.0)</f>
        <v>42287</v>
      </c>
      <c r="C1255" s="8" t="str">
        <f>IFERROR(__xludf.DUMMYFUNCTION("""COMPUTED_VALUE"""),"John Dryer")</f>
        <v>John Dryer</v>
      </c>
      <c r="D1255" s="8" t="str">
        <f>IFERROR(__xludf.DUMMYFUNCTION("""COMPUTED_VALUE"""),"Consumer")</f>
        <v>Consumer</v>
      </c>
      <c r="E1255" s="8" t="str">
        <f>IFERROR(__xludf.DUMMYFUNCTION("""COMPUTED_VALUE"""),"South")</f>
        <v>South</v>
      </c>
      <c r="F1255" s="10">
        <f>IFERROR(__xludf.DUMMYFUNCTION("""COMPUTED_VALUE"""),1801.632)</f>
        <v>1801.632</v>
      </c>
      <c r="G1255" s="11">
        <f>IFERROR(__xludf.DUMMYFUNCTION("""COMPUTED_VALUE"""),6.0)</f>
        <v>6</v>
      </c>
      <c r="H1255" s="11">
        <f>IFERROR(__xludf.DUMMYFUNCTION("""COMPUTED_VALUE"""),-337.806)</f>
        <v>-337.806</v>
      </c>
    </row>
    <row r="1256">
      <c r="A1256" s="8" t="str">
        <f>IFERROR(__xludf.DUMMYFUNCTION("""COMPUTED_VALUE"""),"CA-2015-134747")</f>
        <v>CA-2015-134747</v>
      </c>
      <c r="B1256" s="9">
        <f>IFERROR(__xludf.DUMMYFUNCTION("""COMPUTED_VALUE"""),42289.0)</f>
        <v>42289</v>
      </c>
      <c r="C1256" s="8" t="str">
        <f>IFERROR(__xludf.DUMMYFUNCTION("""COMPUTED_VALUE"""),"Daniel Lacy")</f>
        <v>Daniel Lacy</v>
      </c>
      <c r="D1256" s="8" t="str">
        <f>IFERROR(__xludf.DUMMYFUNCTION("""COMPUTED_VALUE"""),"Consumer")</f>
        <v>Consumer</v>
      </c>
      <c r="E1256" s="8" t="str">
        <f>IFERROR(__xludf.DUMMYFUNCTION("""COMPUTED_VALUE"""),"Central")</f>
        <v>Central</v>
      </c>
      <c r="F1256" s="10">
        <f>IFERROR(__xludf.DUMMYFUNCTION("""COMPUTED_VALUE"""),135.72)</f>
        <v>135.72</v>
      </c>
      <c r="G1256" s="11">
        <f>IFERROR(__xludf.DUMMYFUNCTION("""COMPUTED_VALUE"""),3.0)</f>
        <v>3</v>
      </c>
      <c r="H1256" s="11">
        <f>IFERROR(__xludf.DUMMYFUNCTION("""COMPUTED_VALUE"""),35.2872)</f>
        <v>35.2872</v>
      </c>
    </row>
    <row r="1257">
      <c r="A1257" s="8" t="str">
        <f>IFERROR(__xludf.DUMMYFUNCTION("""COMPUTED_VALUE"""),"CA-2015-134782")</f>
        <v>CA-2015-134782</v>
      </c>
      <c r="B1257" s="9">
        <f>IFERROR(__xludf.DUMMYFUNCTION("""COMPUTED_VALUE"""),42365.0)</f>
        <v>42365</v>
      </c>
      <c r="C1257" s="8" t="str">
        <f>IFERROR(__xludf.DUMMYFUNCTION("""COMPUTED_VALUE"""),"Maribeth Dona")</f>
        <v>Maribeth Dona</v>
      </c>
      <c r="D1257" s="8" t="str">
        <f>IFERROR(__xludf.DUMMYFUNCTION("""COMPUTED_VALUE"""),"Consumer")</f>
        <v>Consumer</v>
      </c>
      <c r="E1257" s="8" t="str">
        <f>IFERROR(__xludf.DUMMYFUNCTION("""COMPUTED_VALUE"""),"South")</f>
        <v>South</v>
      </c>
      <c r="F1257" s="10">
        <f>IFERROR(__xludf.DUMMYFUNCTION("""COMPUTED_VALUE"""),105.42)</f>
        <v>105.42</v>
      </c>
      <c r="G1257" s="11">
        <f>IFERROR(__xludf.DUMMYFUNCTION("""COMPUTED_VALUE"""),2.0)</f>
        <v>2</v>
      </c>
      <c r="H1257" s="11">
        <f>IFERROR(__xludf.DUMMYFUNCTION("""COMPUTED_VALUE"""),51.6558)</f>
        <v>51.6558</v>
      </c>
    </row>
    <row r="1258">
      <c r="A1258" s="8" t="str">
        <f>IFERROR(__xludf.DUMMYFUNCTION("""COMPUTED_VALUE"""),"CA-2015-134859")</f>
        <v>CA-2015-134859</v>
      </c>
      <c r="B1258" s="9">
        <f>IFERROR(__xludf.DUMMYFUNCTION("""COMPUTED_VALUE"""),42281.0)</f>
        <v>42281</v>
      </c>
      <c r="C1258" s="8" t="str">
        <f>IFERROR(__xludf.DUMMYFUNCTION("""COMPUTED_VALUE"""),"Julie Kriz")</f>
        <v>Julie Kriz</v>
      </c>
      <c r="D1258" s="8" t="str">
        <f>IFERROR(__xludf.DUMMYFUNCTION("""COMPUTED_VALUE"""),"Home Office")</f>
        <v>Home Office</v>
      </c>
      <c r="E1258" s="8" t="str">
        <f>IFERROR(__xludf.DUMMYFUNCTION("""COMPUTED_VALUE"""),"East")</f>
        <v>East</v>
      </c>
      <c r="F1258" s="10">
        <f>IFERROR(__xludf.DUMMYFUNCTION("""COMPUTED_VALUE"""),64.944)</f>
        <v>64.944</v>
      </c>
      <c r="G1258" s="11">
        <f>IFERROR(__xludf.DUMMYFUNCTION("""COMPUTED_VALUE"""),3.0)</f>
        <v>3</v>
      </c>
      <c r="H1258" s="11">
        <f>IFERROR(__xludf.DUMMYFUNCTION("""COMPUTED_VALUE"""),6.4944)</f>
        <v>6.4944</v>
      </c>
    </row>
    <row r="1259">
      <c r="A1259" s="8" t="str">
        <f>IFERROR(__xludf.DUMMYFUNCTION("""COMPUTED_VALUE"""),"CA-2015-134894")</f>
        <v>CA-2015-134894</v>
      </c>
      <c r="B1259" s="9">
        <f>IFERROR(__xludf.DUMMYFUNCTION("""COMPUTED_VALUE"""),42345.0)</f>
        <v>42345</v>
      </c>
      <c r="C1259" s="8" t="str">
        <f>IFERROR(__xludf.DUMMYFUNCTION("""COMPUTED_VALUE"""),"Darren Koutras")</f>
        <v>Darren Koutras</v>
      </c>
      <c r="D1259" s="8" t="str">
        <f>IFERROR(__xludf.DUMMYFUNCTION("""COMPUTED_VALUE"""),"Consumer")</f>
        <v>Consumer</v>
      </c>
      <c r="E1259" s="8" t="str">
        <f>IFERROR(__xludf.DUMMYFUNCTION("""COMPUTED_VALUE"""),"South")</f>
        <v>South</v>
      </c>
      <c r="F1259" s="10">
        <f>IFERROR(__xludf.DUMMYFUNCTION("""COMPUTED_VALUE"""),152.94)</f>
        <v>152.94</v>
      </c>
      <c r="G1259" s="11">
        <f>IFERROR(__xludf.DUMMYFUNCTION("""COMPUTED_VALUE"""),3.0)</f>
        <v>3</v>
      </c>
      <c r="H1259" s="11">
        <f>IFERROR(__xludf.DUMMYFUNCTION("""COMPUTED_VALUE"""),41.2938)</f>
        <v>41.2938</v>
      </c>
    </row>
    <row r="1260">
      <c r="A1260" s="8" t="str">
        <f>IFERROR(__xludf.DUMMYFUNCTION("""COMPUTED_VALUE"""),"CA-2015-134922")</f>
        <v>CA-2015-134922</v>
      </c>
      <c r="B1260" s="9">
        <f>IFERROR(__xludf.DUMMYFUNCTION("""COMPUTED_VALUE"""),42315.0)</f>
        <v>42315</v>
      </c>
      <c r="C1260" s="8" t="str">
        <f>IFERROR(__xludf.DUMMYFUNCTION("""COMPUTED_VALUE"""),"Karen Bern")</f>
        <v>Karen Bern</v>
      </c>
      <c r="D1260" s="8" t="str">
        <f>IFERROR(__xludf.DUMMYFUNCTION("""COMPUTED_VALUE"""),"Corporate")</f>
        <v>Corporate</v>
      </c>
      <c r="E1260" s="8" t="str">
        <f>IFERROR(__xludf.DUMMYFUNCTION("""COMPUTED_VALUE"""),"East")</f>
        <v>East</v>
      </c>
      <c r="F1260" s="10">
        <f>IFERROR(__xludf.DUMMYFUNCTION("""COMPUTED_VALUE"""),24.4)</f>
        <v>24.4</v>
      </c>
      <c r="G1260" s="11">
        <f>IFERROR(__xludf.DUMMYFUNCTION("""COMPUTED_VALUE"""),2.0)</f>
        <v>2</v>
      </c>
      <c r="H1260" s="11">
        <f>IFERROR(__xludf.DUMMYFUNCTION("""COMPUTED_VALUE"""),7.93)</f>
        <v>7.93</v>
      </c>
    </row>
    <row r="1261">
      <c r="A1261" s="8" t="str">
        <f>IFERROR(__xludf.DUMMYFUNCTION("""COMPUTED_VALUE"""),"CA-2015-134943")</f>
        <v>CA-2015-134943</v>
      </c>
      <c r="B1261" s="9">
        <f>IFERROR(__xludf.DUMMYFUNCTION("""COMPUTED_VALUE"""),42343.0)</f>
        <v>42343</v>
      </c>
      <c r="C1261" s="8" t="str">
        <f>IFERROR(__xludf.DUMMYFUNCTION("""COMPUTED_VALUE"""),"Stephanie Ulpright")</f>
        <v>Stephanie Ulpright</v>
      </c>
      <c r="D1261" s="8" t="str">
        <f>IFERROR(__xludf.DUMMYFUNCTION("""COMPUTED_VALUE"""),"Home Office")</f>
        <v>Home Office</v>
      </c>
      <c r="E1261" s="8" t="str">
        <f>IFERROR(__xludf.DUMMYFUNCTION("""COMPUTED_VALUE"""),"Central")</f>
        <v>Central</v>
      </c>
      <c r="F1261" s="10">
        <f>IFERROR(__xludf.DUMMYFUNCTION("""COMPUTED_VALUE"""),152.8)</f>
        <v>152.8</v>
      </c>
      <c r="G1261" s="11">
        <f>IFERROR(__xludf.DUMMYFUNCTION("""COMPUTED_VALUE"""),5.0)</f>
        <v>5</v>
      </c>
      <c r="H1261" s="11">
        <f>IFERROR(__xludf.DUMMYFUNCTION("""COMPUTED_VALUE"""),76.4)</f>
        <v>76.4</v>
      </c>
    </row>
    <row r="1262">
      <c r="A1262" s="8" t="str">
        <f>IFERROR(__xludf.DUMMYFUNCTION("""COMPUTED_VALUE"""),"CA-2015-134992")</f>
        <v>CA-2015-134992</v>
      </c>
      <c r="B1262" s="9">
        <f>IFERROR(__xludf.DUMMYFUNCTION("""COMPUTED_VALUE"""),42269.0)</f>
        <v>42269</v>
      </c>
      <c r="C1262" s="8" t="str">
        <f>IFERROR(__xludf.DUMMYFUNCTION("""COMPUTED_VALUE"""),"Michael Grace")</f>
        <v>Michael Grace</v>
      </c>
      <c r="D1262" s="8" t="str">
        <f>IFERROR(__xludf.DUMMYFUNCTION("""COMPUTED_VALUE"""),"Home Office")</f>
        <v>Home Office</v>
      </c>
      <c r="E1262" s="8" t="str">
        <f>IFERROR(__xludf.DUMMYFUNCTION("""COMPUTED_VALUE"""),"South")</f>
        <v>South</v>
      </c>
      <c r="F1262" s="10">
        <f>IFERROR(__xludf.DUMMYFUNCTION("""COMPUTED_VALUE"""),32.4)</f>
        <v>32.4</v>
      </c>
      <c r="G1262" s="11">
        <f>IFERROR(__xludf.DUMMYFUNCTION("""COMPUTED_VALUE"""),5.0)</f>
        <v>5</v>
      </c>
      <c r="H1262" s="11">
        <f>IFERROR(__xludf.DUMMYFUNCTION("""COMPUTED_VALUE"""),15.552)</f>
        <v>15.552</v>
      </c>
    </row>
    <row r="1263">
      <c r="A1263" s="8" t="str">
        <f>IFERROR(__xludf.DUMMYFUNCTION("""COMPUTED_VALUE"""),"CA-2015-135020")</f>
        <v>CA-2015-135020</v>
      </c>
      <c r="B1263" s="9">
        <f>IFERROR(__xludf.DUMMYFUNCTION("""COMPUTED_VALUE"""),42152.0)</f>
        <v>42152</v>
      </c>
      <c r="C1263" s="8" t="str">
        <f>IFERROR(__xludf.DUMMYFUNCTION("""COMPUTED_VALUE"""),"Maxwell Schwartz")</f>
        <v>Maxwell Schwartz</v>
      </c>
      <c r="D1263" s="8" t="str">
        <f>IFERROR(__xludf.DUMMYFUNCTION("""COMPUTED_VALUE"""),"Consumer")</f>
        <v>Consumer</v>
      </c>
      <c r="E1263" s="8" t="str">
        <f>IFERROR(__xludf.DUMMYFUNCTION("""COMPUTED_VALUE"""),"East")</f>
        <v>East</v>
      </c>
      <c r="F1263" s="10">
        <f>IFERROR(__xludf.DUMMYFUNCTION("""COMPUTED_VALUE"""),45.99)</f>
        <v>45.99</v>
      </c>
      <c r="G1263" s="11">
        <f>IFERROR(__xludf.DUMMYFUNCTION("""COMPUTED_VALUE"""),1.0)</f>
        <v>1</v>
      </c>
      <c r="H1263" s="11">
        <f>IFERROR(__xludf.DUMMYFUNCTION("""COMPUTED_VALUE"""),13.3371)</f>
        <v>13.3371</v>
      </c>
    </row>
    <row r="1264">
      <c r="A1264" s="8" t="str">
        <f>IFERROR(__xludf.DUMMYFUNCTION("""COMPUTED_VALUE"""),"CA-2015-135174")</f>
        <v>CA-2015-135174</v>
      </c>
      <c r="B1264" s="9">
        <f>IFERROR(__xludf.DUMMYFUNCTION("""COMPUTED_VALUE"""),42124.0)</f>
        <v>42124</v>
      </c>
      <c r="C1264" s="8" t="str">
        <f>IFERROR(__xludf.DUMMYFUNCTION("""COMPUTED_VALUE"""),"Benjamin Patterson")</f>
        <v>Benjamin Patterson</v>
      </c>
      <c r="D1264" s="8" t="str">
        <f>IFERROR(__xludf.DUMMYFUNCTION("""COMPUTED_VALUE"""),"Consumer")</f>
        <v>Consumer</v>
      </c>
      <c r="E1264" s="8" t="str">
        <f>IFERROR(__xludf.DUMMYFUNCTION("""COMPUTED_VALUE"""),"East")</f>
        <v>East</v>
      </c>
      <c r="F1264" s="10">
        <f>IFERROR(__xludf.DUMMYFUNCTION("""COMPUTED_VALUE"""),1022.97)</f>
        <v>1022.97</v>
      </c>
      <c r="G1264" s="11">
        <f>IFERROR(__xludf.DUMMYFUNCTION("""COMPUTED_VALUE"""),5.0)</f>
        <v>5</v>
      </c>
      <c r="H1264" s="11">
        <f>IFERROR(__xludf.DUMMYFUNCTION("""COMPUTED_VALUE"""),-255.7425)</f>
        <v>-255.7425</v>
      </c>
    </row>
    <row r="1265">
      <c r="A1265" s="8" t="str">
        <f>IFERROR(__xludf.DUMMYFUNCTION("""COMPUTED_VALUE"""),"CA-2015-135251")</f>
        <v>CA-2015-135251</v>
      </c>
      <c r="B1265" s="9">
        <f>IFERROR(__xludf.DUMMYFUNCTION("""COMPUTED_VALUE"""),42222.0)</f>
        <v>42222</v>
      </c>
      <c r="C1265" s="8" t="str">
        <f>IFERROR(__xludf.DUMMYFUNCTION("""COMPUTED_VALUE"""),"Rachel Payne")</f>
        <v>Rachel Payne</v>
      </c>
      <c r="D1265" s="8" t="str">
        <f>IFERROR(__xludf.DUMMYFUNCTION("""COMPUTED_VALUE"""),"Corporate")</f>
        <v>Corporate</v>
      </c>
      <c r="E1265" s="8" t="str">
        <f>IFERROR(__xludf.DUMMYFUNCTION("""COMPUTED_VALUE"""),"Central")</f>
        <v>Central</v>
      </c>
      <c r="F1265" s="10">
        <f>IFERROR(__xludf.DUMMYFUNCTION("""COMPUTED_VALUE"""),35.52)</f>
        <v>35.52</v>
      </c>
      <c r="G1265" s="11">
        <f>IFERROR(__xludf.DUMMYFUNCTION("""COMPUTED_VALUE"""),3.0)</f>
        <v>3</v>
      </c>
      <c r="H1265" s="11">
        <f>IFERROR(__xludf.DUMMYFUNCTION("""COMPUTED_VALUE"""),13.32)</f>
        <v>13.32</v>
      </c>
    </row>
    <row r="1266">
      <c r="A1266" s="8" t="str">
        <f>IFERROR(__xludf.DUMMYFUNCTION("""COMPUTED_VALUE"""),"CA-2015-135272")</f>
        <v>CA-2015-135272</v>
      </c>
      <c r="B1266" s="9">
        <f>IFERROR(__xludf.DUMMYFUNCTION("""COMPUTED_VALUE"""),42345.0)</f>
        <v>42345</v>
      </c>
      <c r="C1266" s="8" t="str">
        <f>IFERROR(__xludf.DUMMYFUNCTION("""COMPUTED_VALUE"""),"Melanie Seite")</f>
        <v>Melanie Seite</v>
      </c>
      <c r="D1266" s="8" t="str">
        <f>IFERROR(__xludf.DUMMYFUNCTION("""COMPUTED_VALUE"""),"Consumer")</f>
        <v>Consumer</v>
      </c>
      <c r="E1266" s="8" t="str">
        <f>IFERROR(__xludf.DUMMYFUNCTION("""COMPUTED_VALUE"""),"West")</f>
        <v>West</v>
      </c>
      <c r="F1266" s="10">
        <f>IFERROR(__xludf.DUMMYFUNCTION("""COMPUTED_VALUE"""),79.92)</f>
        <v>79.92</v>
      </c>
      <c r="G1266" s="11">
        <f>IFERROR(__xludf.DUMMYFUNCTION("""COMPUTED_VALUE"""),4.0)</f>
        <v>4</v>
      </c>
      <c r="H1266" s="11">
        <f>IFERROR(__xludf.DUMMYFUNCTION("""COMPUTED_VALUE"""),28.7712)</f>
        <v>28.7712</v>
      </c>
    </row>
    <row r="1267">
      <c r="A1267" s="8" t="str">
        <f>IFERROR(__xludf.DUMMYFUNCTION("""COMPUTED_VALUE"""),"CA-2015-135314")</f>
        <v>CA-2015-135314</v>
      </c>
      <c r="B1267" s="9">
        <f>IFERROR(__xludf.DUMMYFUNCTION("""COMPUTED_VALUE"""),42194.0)</f>
        <v>42194</v>
      </c>
      <c r="C1267" s="8" t="str">
        <f>IFERROR(__xludf.DUMMYFUNCTION("""COMPUTED_VALUE"""),"Matt Collins")</f>
        <v>Matt Collins</v>
      </c>
      <c r="D1267" s="8" t="str">
        <f>IFERROR(__xludf.DUMMYFUNCTION("""COMPUTED_VALUE"""),"Consumer")</f>
        <v>Consumer</v>
      </c>
      <c r="E1267" s="8" t="str">
        <f>IFERROR(__xludf.DUMMYFUNCTION("""COMPUTED_VALUE"""),"East")</f>
        <v>East</v>
      </c>
      <c r="F1267" s="10">
        <f>IFERROR(__xludf.DUMMYFUNCTION("""COMPUTED_VALUE"""),269.982)</f>
        <v>269.982</v>
      </c>
      <c r="G1267" s="11">
        <f>IFERROR(__xludf.DUMMYFUNCTION("""COMPUTED_VALUE"""),3.0)</f>
        <v>3</v>
      </c>
      <c r="H1267" s="11">
        <f>IFERROR(__xludf.DUMMYFUNCTION("""COMPUTED_VALUE"""),40.4973)</f>
        <v>40.4973</v>
      </c>
    </row>
    <row r="1268">
      <c r="A1268" s="8" t="str">
        <f>IFERROR(__xludf.DUMMYFUNCTION("""COMPUTED_VALUE"""),"CA-2015-135363")</f>
        <v>CA-2015-135363</v>
      </c>
      <c r="B1268" s="9">
        <f>IFERROR(__xludf.DUMMYFUNCTION("""COMPUTED_VALUE"""),42091.0)</f>
        <v>42091</v>
      </c>
      <c r="C1268" s="8" t="str">
        <f>IFERROR(__xludf.DUMMYFUNCTION("""COMPUTED_VALUE"""),"Chloris Kastensmidt")</f>
        <v>Chloris Kastensmidt</v>
      </c>
      <c r="D1268" s="8" t="str">
        <f>IFERROR(__xludf.DUMMYFUNCTION("""COMPUTED_VALUE"""),"Consumer")</f>
        <v>Consumer</v>
      </c>
      <c r="E1268" s="8" t="str">
        <f>IFERROR(__xludf.DUMMYFUNCTION("""COMPUTED_VALUE"""),"East")</f>
        <v>East</v>
      </c>
      <c r="F1268" s="10">
        <f>IFERROR(__xludf.DUMMYFUNCTION("""COMPUTED_VALUE"""),15.552)</f>
        <v>15.552</v>
      </c>
      <c r="G1268" s="11">
        <f>IFERROR(__xludf.DUMMYFUNCTION("""COMPUTED_VALUE"""),3.0)</f>
        <v>3</v>
      </c>
      <c r="H1268" s="11">
        <f>IFERROR(__xludf.DUMMYFUNCTION("""COMPUTED_VALUE"""),5.4432)</f>
        <v>5.4432</v>
      </c>
    </row>
    <row r="1269">
      <c r="A1269" s="8" t="str">
        <f>IFERROR(__xludf.DUMMYFUNCTION("""COMPUTED_VALUE"""),"CA-2015-135391")</f>
        <v>CA-2015-135391</v>
      </c>
      <c r="B1269" s="9">
        <f>IFERROR(__xludf.DUMMYFUNCTION("""COMPUTED_VALUE"""),42044.0)</f>
        <v>42044</v>
      </c>
      <c r="C1269" s="8" t="str">
        <f>IFERROR(__xludf.DUMMYFUNCTION("""COMPUTED_VALUE"""),"Frank Atkinson")</f>
        <v>Frank Atkinson</v>
      </c>
      <c r="D1269" s="8" t="str">
        <f>IFERROR(__xludf.DUMMYFUNCTION("""COMPUTED_VALUE"""),"Corporate")</f>
        <v>Corporate</v>
      </c>
      <c r="E1269" s="8" t="str">
        <f>IFERROR(__xludf.DUMMYFUNCTION("""COMPUTED_VALUE"""),"Central")</f>
        <v>Central</v>
      </c>
      <c r="F1269" s="10">
        <f>IFERROR(__xludf.DUMMYFUNCTION("""COMPUTED_VALUE"""),40.096)</f>
        <v>40.096</v>
      </c>
      <c r="G1269" s="11">
        <f>IFERROR(__xludf.DUMMYFUNCTION("""COMPUTED_VALUE"""),4.0)</f>
        <v>4</v>
      </c>
      <c r="H1269" s="11">
        <f>IFERROR(__xludf.DUMMYFUNCTION("""COMPUTED_VALUE"""),13.5324)</f>
        <v>13.5324</v>
      </c>
    </row>
    <row r="1270">
      <c r="A1270" s="8" t="str">
        <f>IFERROR(__xludf.DUMMYFUNCTION("""COMPUTED_VALUE"""),"CA-2015-135489")</f>
        <v>CA-2015-135489</v>
      </c>
      <c r="B1270" s="9">
        <f>IFERROR(__xludf.DUMMYFUNCTION("""COMPUTED_VALUE"""),42266.0)</f>
        <v>42266</v>
      </c>
      <c r="C1270" s="8" t="str">
        <f>IFERROR(__xludf.DUMMYFUNCTION("""COMPUTED_VALUE"""),"Giulietta Weimer")</f>
        <v>Giulietta Weimer</v>
      </c>
      <c r="D1270" s="8" t="str">
        <f>IFERROR(__xludf.DUMMYFUNCTION("""COMPUTED_VALUE"""),"Consumer")</f>
        <v>Consumer</v>
      </c>
      <c r="E1270" s="8" t="str">
        <f>IFERROR(__xludf.DUMMYFUNCTION("""COMPUTED_VALUE"""),"East")</f>
        <v>East</v>
      </c>
      <c r="F1270" s="10">
        <f>IFERROR(__xludf.DUMMYFUNCTION("""COMPUTED_VALUE"""),279.86)</f>
        <v>279.86</v>
      </c>
      <c r="G1270" s="11">
        <f>IFERROR(__xludf.DUMMYFUNCTION("""COMPUTED_VALUE"""),14.0)</f>
        <v>14</v>
      </c>
      <c r="H1270" s="11">
        <f>IFERROR(__xludf.DUMMYFUNCTION("""COMPUTED_VALUE"""),134.3328)</f>
        <v>134.3328</v>
      </c>
    </row>
    <row r="1271">
      <c r="A1271" s="8" t="str">
        <f>IFERROR(__xludf.DUMMYFUNCTION("""COMPUTED_VALUE"""),"CA-2015-135510")</f>
        <v>CA-2015-135510</v>
      </c>
      <c r="B1271" s="9">
        <f>IFERROR(__xludf.DUMMYFUNCTION("""COMPUTED_VALUE"""),42252.0)</f>
        <v>42252</v>
      </c>
      <c r="C1271" s="8" t="str">
        <f>IFERROR(__xludf.DUMMYFUNCTION("""COMPUTED_VALUE"""),"Tamara Willingham")</f>
        <v>Tamara Willingham</v>
      </c>
      <c r="D1271" s="8" t="str">
        <f>IFERROR(__xludf.DUMMYFUNCTION("""COMPUTED_VALUE"""),"Home Office")</f>
        <v>Home Office</v>
      </c>
      <c r="E1271" s="8" t="str">
        <f>IFERROR(__xludf.DUMMYFUNCTION("""COMPUTED_VALUE"""),"South")</f>
        <v>South</v>
      </c>
      <c r="F1271" s="10">
        <f>IFERROR(__xludf.DUMMYFUNCTION("""COMPUTED_VALUE"""),67.96)</f>
        <v>67.96</v>
      </c>
      <c r="G1271" s="11">
        <f>IFERROR(__xludf.DUMMYFUNCTION("""COMPUTED_VALUE"""),4.0)</f>
        <v>4</v>
      </c>
      <c r="H1271" s="11">
        <f>IFERROR(__xludf.DUMMYFUNCTION("""COMPUTED_VALUE"""),12.2328)</f>
        <v>12.2328</v>
      </c>
    </row>
    <row r="1272">
      <c r="A1272" s="8" t="str">
        <f>IFERROR(__xludf.DUMMYFUNCTION("""COMPUTED_VALUE"""),"CA-2015-135538")</f>
        <v>CA-2015-135538</v>
      </c>
      <c r="B1272" s="9">
        <f>IFERROR(__xludf.DUMMYFUNCTION("""COMPUTED_VALUE"""),42362.0)</f>
        <v>42362</v>
      </c>
      <c r="C1272" s="8" t="str">
        <f>IFERROR(__xludf.DUMMYFUNCTION("""COMPUTED_VALUE"""),"Harold Ryan")</f>
        <v>Harold Ryan</v>
      </c>
      <c r="D1272" s="8" t="str">
        <f>IFERROR(__xludf.DUMMYFUNCTION("""COMPUTED_VALUE"""),"Corporate")</f>
        <v>Corporate</v>
      </c>
      <c r="E1272" s="8" t="str">
        <f>IFERROR(__xludf.DUMMYFUNCTION("""COMPUTED_VALUE"""),"West")</f>
        <v>West</v>
      </c>
      <c r="F1272" s="10">
        <f>IFERROR(__xludf.DUMMYFUNCTION("""COMPUTED_VALUE"""),883.84)</f>
        <v>883.84</v>
      </c>
      <c r="G1272" s="11">
        <f>IFERROR(__xludf.DUMMYFUNCTION("""COMPUTED_VALUE"""),4.0)</f>
        <v>4</v>
      </c>
      <c r="H1272" s="11">
        <f>IFERROR(__xludf.DUMMYFUNCTION("""COMPUTED_VALUE"""),99.432)</f>
        <v>99.432</v>
      </c>
    </row>
    <row r="1273">
      <c r="A1273" s="8" t="str">
        <f>IFERROR(__xludf.DUMMYFUNCTION("""COMPUTED_VALUE"""),"CA-2015-135545")</f>
        <v>CA-2015-135545</v>
      </c>
      <c r="B1273" s="9">
        <f>IFERROR(__xludf.DUMMYFUNCTION("""COMPUTED_VALUE"""),42332.0)</f>
        <v>42332</v>
      </c>
      <c r="C1273" s="8" t="str">
        <f>IFERROR(__xludf.DUMMYFUNCTION("""COMPUTED_VALUE"""),"Kunst Miller")</f>
        <v>Kunst Miller</v>
      </c>
      <c r="D1273" s="8" t="str">
        <f>IFERROR(__xludf.DUMMYFUNCTION("""COMPUTED_VALUE"""),"Consumer")</f>
        <v>Consumer</v>
      </c>
      <c r="E1273" s="8" t="str">
        <f>IFERROR(__xludf.DUMMYFUNCTION("""COMPUTED_VALUE"""),"West")</f>
        <v>West</v>
      </c>
      <c r="F1273" s="10">
        <f>IFERROR(__xludf.DUMMYFUNCTION("""COMPUTED_VALUE"""),13.98)</f>
        <v>13.98</v>
      </c>
      <c r="G1273" s="11">
        <f>IFERROR(__xludf.DUMMYFUNCTION("""COMPUTED_VALUE"""),2.0)</f>
        <v>2</v>
      </c>
      <c r="H1273" s="11">
        <f>IFERROR(__xludf.DUMMYFUNCTION("""COMPUTED_VALUE"""),6.1512)</f>
        <v>6.1512</v>
      </c>
    </row>
    <row r="1274">
      <c r="A1274" s="8" t="str">
        <f>IFERROR(__xludf.DUMMYFUNCTION("""COMPUTED_VALUE"""),"CA-2015-135580")</f>
        <v>CA-2015-135580</v>
      </c>
      <c r="B1274" s="9">
        <f>IFERROR(__xludf.DUMMYFUNCTION("""COMPUTED_VALUE"""),42368.0)</f>
        <v>42368</v>
      </c>
      <c r="C1274" s="8" t="str">
        <f>IFERROR(__xludf.DUMMYFUNCTION("""COMPUTED_VALUE"""),"Clay Ludtke")</f>
        <v>Clay Ludtke</v>
      </c>
      <c r="D1274" s="8" t="str">
        <f>IFERROR(__xludf.DUMMYFUNCTION("""COMPUTED_VALUE"""),"Consumer")</f>
        <v>Consumer</v>
      </c>
      <c r="E1274" s="8" t="str">
        <f>IFERROR(__xludf.DUMMYFUNCTION("""COMPUTED_VALUE"""),"West")</f>
        <v>West</v>
      </c>
      <c r="F1274" s="10">
        <f>IFERROR(__xludf.DUMMYFUNCTION("""COMPUTED_VALUE"""),68.52)</f>
        <v>68.52</v>
      </c>
      <c r="G1274" s="11">
        <f>IFERROR(__xludf.DUMMYFUNCTION("""COMPUTED_VALUE"""),3.0)</f>
        <v>3</v>
      </c>
      <c r="H1274" s="11">
        <f>IFERROR(__xludf.DUMMYFUNCTION("""COMPUTED_VALUE"""),31.5192)</f>
        <v>31.5192</v>
      </c>
    </row>
    <row r="1275">
      <c r="A1275" s="8" t="str">
        <f>IFERROR(__xludf.DUMMYFUNCTION("""COMPUTED_VALUE"""),"CA-2015-135622")</f>
        <v>CA-2015-135622</v>
      </c>
      <c r="B1275" s="9">
        <f>IFERROR(__xludf.DUMMYFUNCTION("""COMPUTED_VALUE"""),42346.0)</f>
        <v>42346</v>
      </c>
      <c r="C1275" s="8" t="str">
        <f>IFERROR(__xludf.DUMMYFUNCTION("""COMPUTED_VALUE"""),"Tonja Turnell")</f>
        <v>Tonja Turnell</v>
      </c>
      <c r="D1275" s="8" t="str">
        <f>IFERROR(__xludf.DUMMYFUNCTION("""COMPUTED_VALUE"""),"Home Office")</f>
        <v>Home Office</v>
      </c>
      <c r="E1275" s="8" t="str">
        <f>IFERROR(__xludf.DUMMYFUNCTION("""COMPUTED_VALUE"""),"Central")</f>
        <v>Central</v>
      </c>
      <c r="F1275" s="10">
        <f>IFERROR(__xludf.DUMMYFUNCTION("""COMPUTED_VALUE"""),360.712)</f>
        <v>360.712</v>
      </c>
      <c r="G1275" s="11">
        <f>IFERROR(__xludf.DUMMYFUNCTION("""COMPUTED_VALUE"""),11.0)</f>
        <v>11</v>
      </c>
      <c r="H1275" s="11">
        <f>IFERROR(__xludf.DUMMYFUNCTION("""COMPUTED_VALUE"""),130.7581)</f>
        <v>130.7581</v>
      </c>
    </row>
    <row r="1276">
      <c r="A1276" s="8" t="str">
        <f>IFERROR(__xludf.DUMMYFUNCTION("""COMPUTED_VALUE"""),"CA-2015-135685")</f>
        <v>CA-2015-135685</v>
      </c>
      <c r="B1276" s="9">
        <f>IFERROR(__xludf.DUMMYFUNCTION("""COMPUTED_VALUE"""),42324.0)</f>
        <v>42324</v>
      </c>
      <c r="C1276" s="8" t="str">
        <f>IFERROR(__xludf.DUMMYFUNCTION("""COMPUTED_VALUE"""),"Mike Pelletier")</f>
        <v>Mike Pelletier</v>
      </c>
      <c r="D1276" s="8" t="str">
        <f>IFERROR(__xludf.DUMMYFUNCTION("""COMPUTED_VALUE"""),"Home Office")</f>
        <v>Home Office</v>
      </c>
      <c r="E1276" s="8" t="str">
        <f>IFERROR(__xludf.DUMMYFUNCTION("""COMPUTED_VALUE"""),"Central")</f>
        <v>Central</v>
      </c>
      <c r="F1276" s="10">
        <f>IFERROR(__xludf.DUMMYFUNCTION("""COMPUTED_VALUE"""),179.82)</f>
        <v>179.82</v>
      </c>
      <c r="G1276" s="11">
        <f>IFERROR(__xludf.DUMMYFUNCTION("""COMPUTED_VALUE"""),9.0)</f>
        <v>9</v>
      </c>
      <c r="H1276" s="11">
        <f>IFERROR(__xludf.DUMMYFUNCTION("""COMPUTED_VALUE"""),84.5154)</f>
        <v>84.5154</v>
      </c>
    </row>
    <row r="1277">
      <c r="A1277" s="8" t="str">
        <f>IFERROR(__xludf.DUMMYFUNCTION("""COMPUTED_VALUE"""),"CA-2015-135727")</f>
        <v>CA-2015-135727</v>
      </c>
      <c r="B1277" s="9">
        <f>IFERROR(__xludf.DUMMYFUNCTION("""COMPUTED_VALUE"""),42135.0)</f>
        <v>42135</v>
      </c>
      <c r="C1277" s="8" t="str">
        <f>IFERROR(__xludf.DUMMYFUNCTION("""COMPUTED_VALUE"""),"Paul Stevenson")</f>
        <v>Paul Stevenson</v>
      </c>
      <c r="D1277" s="8" t="str">
        <f>IFERROR(__xludf.DUMMYFUNCTION("""COMPUTED_VALUE"""),"Home Office")</f>
        <v>Home Office</v>
      </c>
      <c r="E1277" s="8" t="str">
        <f>IFERROR(__xludf.DUMMYFUNCTION("""COMPUTED_VALUE"""),"West")</f>
        <v>West</v>
      </c>
      <c r="F1277" s="10">
        <f>IFERROR(__xludf.DUMMYFUNCTION("""COMPUTED_VALUE"""),191.968)</f>
        <v>191.968</v>
      </c>
      <c r="G1277" s="11">
        <f>IFERROR(__xludf.DUMMYFUNCTION("""COMPUTED_VALUE"""),7.0)</f>
        <v>7</v>
      </c>
      <c r="H1277" s="11">
        <f>IFERROR(__xludf.DUMMYFUNCTION("""COMPUTED_VALUE"""),16.7972)</f>
        <v>16.7972</v>
      </c>
    </row>
    <row r="1278">
      <c r="A1278" s="8" t="str">
        <f>IFERROR(__xludf.DUMMYFUNCTION("""COMPUTED_VALUE"""),"CA-2015-135853")</f>
        <v>CA-2015-135853</v>
      </c>
      <c r="B1278" s="9">
        <f>IFERROR(__xludf.DUMMYFUNCTION("""COMPUTED_VALUE"""),42349.0)</f>
        <v>42349</v>
      </c>
      <c r="C1278" s="8" t="str">
        <f>IFERROR(__xludf.DUMMYFUNCTION("""COMPUTED_VALUE"""),"Cynthia Arntzen")</f>
        <v>Cynthia Arntzen</v>
      </c>
      <c r="D1278" s="8" t="str">
        <f>IFERROR(__xludf.DUMMYFUNCTION("""COMPUTED_VALUE"""),"Consumer")</f>
        <v>Consumer</v>
      </c>
      <c r="E1278" s="8" t="str">
        <f>IFERROR(__xludf.DUMMYFUNCTION("""COMPUTED_VALUE"""),"Central")</f>
        <v>Central</v>
      </c>
      <c r="F1278" s="10">
        <f>IFERROR(__xludf.DUMMYFUNCTION("""COMPUTED_VALUE"""),175.23)</f>
        <v>175.23</v>
      </c>
      <c r="G1278" s="11">
        <f>IFERROR(__xludf.DUMMYFUNCTION("""COMPUTED_VALUE"""),11.0)</f>
        <v>11</v>
      </c>
      <c r="H1278" s="11">
        <f>IFERROR(__xludf.DUMMYFUNCTION("""COMPUTED_VALUE"""),61.3305)</f>
        <v>61.3305</v>
      </c>
    </row>
    <row r="1279">
      <c r="A1279" s="8" t="str">
        <f>IFERROR(__xludf.DUMMYFUNCTION("""COMPUTED_VALUE"""),"CA-2015-136105")</f>
        <v>CA-2015-136105</v>
      </c>
      <c r="B1279" s="9">
        <f>IFERROR(__xludf.DUMMYFUNCTION("""COMPUTED_VALUE"""),42167.0)</f>
        <v>42167</v>
      </c>
      <c r="C1279" s="8" t="str">
        <f>IFERROR(__xludf.DUMMYFUNCTION("""COMPUTED_VALUE"""),"Sam Zeldin")</f>
        <v>Sam Zeldin</v>
      </c>
      <c r="D1279" s="8" t="str">
        <f>IFERROR(__xludf.DUMMYFUNCTION("""COMPUTED_VALUE"""),"Home Office")</f>
        <v>Home Office</v>
      </c>
      <c r="E1279" s="8" t="str">
        <f>IFERROR(__xludf.DUMMYFUNCTION("""COMPUTED_VALUE"""),"Central")</f>
        <v>Central</v>
      </c>
      <c r="F1279" s="10">
        <f>IFERROR(__xludf.DUMMYFUNCTION("""COMPUTED_VALUE"""),24.56)</f>
        <v>24.56</v>
      </c>
      <c r="G1279" s="11">
        <f>IFERROR(__xludf.DUMMYFUNCTION("""COMPUTED_VALUE"""),2.0)</f>
        <v>2</v>
      </c>
      <c r="H1279" s="11">
        <f>IFERROR(__xludf.DUMMYFUNCTION("""COMPUTED_VALUE"""),6.8768)</f>
        <v>6.8768</v>
      </c>
    </row>
    <row r="1280">
      <c r="A1280" s="8" t="str">
        <f>IFERROR(__xludf.DUMMYFUNCTION("""COMPUTED_VALUE"""),"CA-2015-136147")</f>
        <v>CA-2015-136147</v>
      </c>
      <c r="B1280" s="9">
        <f>IFERROR(__xludf.DUMMYFUNCTION("""COMPUTED_VALUE"""),42321.0)</f>
        <v>42321</v>
      </c>
      <c r="C1280" s="8" t="str">
        <f>IFERROR(__xludf.DUMMYFUNCTION("""COMPUTED_VALUE"""),"Fred McMath")</f>
        <v>Fred McMath</v>
      </c>
      <c r="D1280" s="8" t="str">
        <f>IFERROR(__xludf.DUMMYFUNCTION("""COMPUTED_VALUE"""),"Consumer")</f>
        <v>Consumer</v>
      </c>
      <c r="E1280" s="8" t="str">
        <f>IFERROR(__xludf.DUMMYFUNCTION("""COMPUTED_VALUE"""),"South")</f>
        <v>South</v>
      </c>
      <c r="F1280" s="10">
        <f>IFERROR(__xludf.DUMMYFUNCTION("""COMPUTED_VALUE"""),121.104)</f>
        <v>121.104</v>
      </c>
      <c r="G1280" s="11">
        <f>IFERROR(__xludf.DUMMYFUNCTION("""COMPUTED_VALUE"""),6.0)</f>
        <v>6</v>
      </c>
      <c r="H1280" s="11">
        <f>IFERROR(__xludf.DUMMYFUNCTION("""COMPUTED_VALUE"""),-100.92)</f>
        <v>-100.92</v>
      </c>
    </row>
    <row r="1281">
      <c r="A1281" s="8" t="str">
        <f>IFERROR(__xludf.DUMMYFUNCTION("""COMPUTED_VALUE"""),"CA-2015-136196")</f>
        <v>CA-2015-136196</v>
      </c>
      <c r="B1281" s="9">
        <f>IFERROR(__xludf.DUMMYFUNCTION("""COMPUTED_VALUE"""),42336.0)</f>
        <v>42336</v>
      </c>
      <c r="C1281" s="8" t="str">
        <f>IFERROR(__xludf.DUMMYFUNCTION("""COMPUTED_VALUE"""),"Tom Prescott")</f>
        <v>Tom Prescott</v>
      </c>
      <c r="D1281" s="8" t="str">
        <f>IFERROR(__xludf.DUMMYFUNCTION("""COMPUTED_VALUE"""),"Consumer")</f>
        <v>Consumer</v>
      </c>
      <c r="E1281" s="8" t="str">
        <f>IFERROR(__xludf.DUMMYFUNCTION("""COMPUTED_VALUE"""),"East")</f>
        <v>East</v>
      </c>
      <c r="F1281" s="10">
        <f>IFERROR(__xludf.DUMMYFUNCTION("""COMPUTED_VALUE"""),322.59)</f>
        <v>322.59</v>
      </c>
      <c r="G1281" s="11">
        <f>IFERROR(__xludf.DUMMYFUNCTION("""COMPUTED_VALUE"""),3.0)</f>
        <v>3</v>
      </c>
      <c r="H1281" s="11">
        <f>IFERROR(__xludf.DUMMYFUNCTION("""COMPUTED_VALUE"""),64.518)</f>
        <v>64.518</v>
      </c>
    </row>
    <row r="1282">
      <c r="A1282" s="8" t="str">
        <f>IFERROR(__xludf.DUMMYFUNCTION("""COMPUTED_VALUE"""),"CA-2015-136224")</f>
        <v>CA-2015-136224</v>
      </c>
      <c r="B1282" s="9">
        <f>IFERROR(__xludf.DUMMYFUNCTION("""COMPUTED_VALUE"""),42155.0)</f>
        <v>42155</v>
      </c>
      <c r="C1282" s="8" t="str">
        <f>IFERROR(__xludf.DUMMYFUNCTION("""COMPUTED_VALUE"""),"Muhammed Lee")</f>
        <v>Muhammed Lee</v>
      </c>
      <c r="D1282" s="8" t="str">
        <f>IFERROR(__xludf.DUMMYFUNCTION("""COMPUTED_VALUE"""),"Consumer")</f>
        <v>Consumer</v>
      </c>
      <c r="E1282" s="8" t="str">
        <f>IFERROR(__xludf.DUMMYFUNCTION("""COMPUTED_VALUE"""),"South")</f>
        <v>South</v>
      </c>
      <c r="F1282" s="10">
        <f>IFERROR(__xludf.DUMMYFUNCTION("""COMPUTED_VALUE"""),10.272)</f>
        <v>10.272</v>
      </c>
      <c r="G1282" s="11">
        <f>IFERROR(__xludf.DUMMYFUNCTION("""COMPUTED_VALUE"""),3.0)</f>
        <v>3</v>
      </c>
      <c r="H1282" s="11">
        <f>IFERROR(__xludf.DUMMYFUNCTION("""COMPUTED_VALUE"""),1.1556)</f>
        <v>1.1556</v>
      </c>
    </row>
    <row r="1283">
      <c r="A1283" s="8" t="str">
        <f>IFERROR(__xludf.DUMMYFUNCTION("""COMPUTED_VALUE"""),"CA-2015-136378")</f>
        <v>CA-2015-136378</v>
      </c>
      <c r="B1283" s="9">
        <f>IFERROR(__xludf.DUMMYFUNCTION("""COMPUTED_VALUE"""),42096.0)</f>
        <v>42096</v>
      </c>
      <c r="C1283" s="8" t="str">
        <f>IFERROR(__xludf.DUMMYFUNCTION("""COMPUTED_VALUE"""),"Cari Sayre")</f>
        <v>Cari Sayre</v>
      </c>
      <c r="D1283" s="8" t="str">
        <f>IFERROR(__xludf.DUMMYFUNCTION("""COMPUTED_VALUE"""),"Corporate")</f>
        <v>Corporate</v>
      </c>
      <c r="E1283" s="8" t="str">
        <f>IFERROR(__xludf.DUMMYFUNCTION("""COMPUTED_VALUE"""),"Central")</f>
        <v>Central</v>
      </c>
      <c r="F1283" s="10">
        <f>IFERROR(__xludf.DUMMYFUNCTION("""COMPUTED_VALUE"""),9.156)</f>
        <v>9.156</v>
      </c>
      <c r="G1283" s="11">
        <f>IFERROR(__xludf.DUMMYFUNCTION("""COMPUTED_VALUE"""),3.0)</f>
        <v>3</v>
      </c>
      <c r="H1283" s="11">
        <f>IFERROR(__xludf.DUMMYFUNCTION("""COMPUTED_VALUE"""),-13.734)</f>
        <v>-13.734</v>
      </c>
    </row>
    <row r="1284">
      <c r="A1284" s="8" t="str">
        <f>IFERROR(__xludf.DUMMYFUNCTION("""COMPUTED_VALUE"""),"CA-2015-136420")</f>
        <v>CA-2015-136420</v>
      </c>
      <c r="B1284" s="9">
        <f>IFERROR(__xludf.DUMMYFUNCTION("""COMPUTED_VALUE"""),42328.0)</f>
        <v>42328</v>
      </c>
      <c r="C1284" s="8" t="str">
        <f>IFERROR(__xludf.DUMMYFUNCTION("""COMPUTED_VALUE"""),"Chris Selesnick")</f>
        <v>Chris Selesnick</v>
      </c>
      <c r="D1284" s="8" t="str">
        <f>IFERROR(__xludf.DUMMYFUNCTION("""COMPUTED_VALUE"""),"Corporate")</f>
        <v>Corporate</v>
      </c>
      <c r="E1284" s="8" t="str">
        <f>IFERROR(__xludf.DUMMYFUNCTION("""COMPUTED_VALUE"""),"West")</f>
        <v>West</v>
      </c>
      <c r="F1284" s="10">
        <f>IFERROR(__xludf.DUMMYFUNCTION("""COMPUTED_VALUE"""),89.696)</f>
        <v>89.696</v>
      </c>
      <c r="G1284" s="11">
        <f>IFERROR(__xludf.DUMMYFUNCTION("""COMPUTED_VALUE"""),4.0)</f>
        <v>4</v>
      </c>
      <c r="H1284" s="11">
        <f>IFERROR(__xludf.DUMMYFUNCTION("""COMPUTED_VALUE"""),33.636)</f>
        <v>33.636</v>
      </c>
    </row>
    <row r="1285">
      <c r="A1285" s="8" t="str">
        <f>IFERROR(__xludf.DUMMYFUNCTION("""COMPUTED_VALUE"""),"CA-2015-136469")</f>
        <v>CA-2015-136469</v>
      </c>
      <c r="B1285" s="9">
        <f>IFERROR(__xludf.DUMMYFUNCTION("""COMPUTED_VALUE"""),42196.0)</f>
        <v>42196</v>
      </c>
      <c r="C1285" s="8" t="str">
        <f>IFERROR(__xludf.DUMMYFUNCTION("""COMPUTED_VALUE"""),"Todd Sumrall")</f>
        <v>Todd Sumrall</v>
      </c>
      <c r="D1285" s="8" t="str">
        <f>IFERROR(__xludf.DUMMYFUNCTION("""COMPUTED_VALUE"""),"Corporate")</f>
        <v>Corporate</v>
      </c>
      <c r="E1285" s="8" t="str">
        <f>IFERROR(__xludf.DUMMYFUNCTION("""COMPUTED_VALUE"""),"East")</f>
        <v>East</v>
      </c>
      <c r="F1285" s="10">
        <f>IFERROR(__xludf.DUMMYFUNCTION("""COMPUTED_VALUE"""),199.836)</f>
        <v>199.836</v>
      </c>
      <c r="G1285" s="11">
        <f>IFERROR(__xludf.DUMMYFUNCTION("""COMPUTED_VALUE"""),4.0)</f>
        <v>4</v>
      </c>
      <c r="H1285" s="11">
        <f>IFERROR(__xludf.DUMMYFUNCTION("""COMPUTED_VALUE"""),-37.1124)</f>
        <v>-37.1124</v>
      </c>
    </row>
    <row r="1286">
      <c r="A1286" s="8" t="str">
        <f>IFERROR(__xludf.DUMMYFUNCTION("""COMPUTED_VALUE"""),"CA-2015-136658")</f>
        <v>CA-2015-136658</v>
      </c>
      <c r="B1286" s="9">
        <f>IFERROR(__xludf.DUMMYFUNCTION("""COMPUTED_VALUE"""),42257.0)</f>
        <v>42257</v>
      </c>
      <c r="C1286" s="8" t="str">
        <f>IFERROR(__xludf.DUMMYFUNCTION("""COMPUTED_VALUE"""),"Bobby Odegard")</f>
        <v>Bobby Odegard</v>
      </c>
      <c r="D1286" s="8" t="str">
        <f>IFERROR(__xludf.DUMMYFUNCTION("""COMPUTED_VALUE"""),"Consumer")</f>
        <v>Consumer</v>
      </c>
      <c r="E1286" s="8" t="str">
        <f>IFERROR(__xludf.DUMMYFUNCTION("""COMPUTED_VALUE"""),"East")</f>
        <v>East</v>
      </c>
      <c r="F1286" s="10">
        <f>IFERROR(__xludf.DUMMYFUNCTION("""COMPUTED_VALUE"""),6.08)</f>
        <v>6.08</v>
      </c>
      <c r="G1286" s="11">
        <f>IFERROR(__xludf.DUMMYFUNCTION("""COMPUTED_VALUE"""),2.0)</f>
        <v>2</v>
      </c>
      <c r="H1286" s="11">
        <f>IFERROR(__xludf.DUMMYFUNCTION("""COMPUTED_VALUE"""),2.0672)</f>
        <v>2.0672</v>
      </c>
    </row>
    <row r="1287">
      <c r="A1287" s="8" t="str">
        <f>IFERROR(__xludf.DUMMYFUNCTION("""COMPUTED_VALUE"""),"CA-2015-136700")</f>
        <v>CA-2015-136700</v>
      </c>
      <c r="B1287" s="9">
        <f>IFERROR(__xludf.DUMMYFUNCTION("""COMPUTED_VALUE"""),42344.0)</f>
        <v>42344</v>
      </c>
      <c r="C1287" s="8" t="str">
        <f>IFERROR(__xludf.DUMMYFUNCTION("""COMPUTED_VALUE"""),"David Bremer")</f>
        <v>David Bremer</v>
      </c>
      <c r="D1287" s="8" t="str">
        <f>IFERROR(__xludf.DUMMYFUNCTION("""COMPUTED_VALUE"""),"Corporate")</f>
        <v>Corporate</v>
      </c>
      <c r="E1287" s="8" t="str">
        <f>IFERROR(__xludf.DUMMYFUNCTION("""COMPUTED_VALUE"""),"West")</f>
        <v>West</v>
      </c>
      <c r="F1287" s="10">
        <f>IFERROR(__xludf.DUMMYFUNCTION("""COMPUTED_VALUE"""),8.96)</f>
        <v>8.96</v>
      </c>
      <c r="G1287" s="11">
        <f>IFERROR(__xludf.DUMMYFUNCTION("""COMPUTED_VALUE"""),2.0)</f>
        <v>2</v>
      </c>
      <c r="H1287" s="11">
        <f>IFERROR(__xludf.DUMMYFUNCTION("""COMPUTED_VALUE"""),4.3904)</f>
        <v>4.3904</v>
      </c>
    </row>
    <row r="1288">
      <c r="A1288" s="8" t="str">
        <f>IFERROR(__xludf.DUMMYFUNCTION("""COMPUTED_VALUE"""),"CA-2015-136728")</f>
        <v>CA-2015-136728</v>
      </c>
      <c r="B1288" s="9">
        <f>IFERROR(__xludf.DUMMYFUNCTION("""COMPUTED_VALUE"""),42260.0)</f>
        <v>42260</v>
      </c>
      <c r="C1288" s="8" t="str">
        <f>IFERROR(__xludf.DUMMYFUNCTION("""COMPUTED_VALUE"""),"Arthur Gainer")</f>
        <v>Arthur Gainer</v>
      </c>
      <c r="D1288" s="8" t="str">
        <f>IFERROR(__xludf.DUMMYFUNCTION("""COMPUTED_VALUE"""),"Consumer")</f>
        <v>Consumer</v>
      </c>
      <c r="E1288" s="8" t="str">
        <f>IFERROR(__xludf.DUMMYFUNCTION("""COMPUTED_VALUE"""),"Central")</f>
        <v>Central</v>
      </c>
      <c r="F1288" s="10">
        <f>IFERROR(__xludf.DUMMYFUNCTION("""COMPUTED_VALUE"""),7.824)</f>
        <v>7.824</v>
      </c>
      <c r="G1288" s="11">
        <f>IFERROR(__xludf.DUMMYFUNCTION("""COMPUTED_VALUE"""),1.0)</f>
        <v>1</v>
      </c>
      <c r="H1288" s="11">
        <f>IFERROR(__xludf.DUMMYFUNCTION("""COMPUTED_VALUE"""),2.934)</f>
        <v>2.934</v>
      </c>
    </row>
    <row r="1289">
      <c r="A1289" s="8" t="str">
        <f>IFERROR(__xludf.DUMMYFUNCTION("""COMPUTED_VALUE"""),"CA-2015-136735")</f>
        <v>CA-2015-136735</v>
      </c>
      <c r="B1289" s="9">
        <f>IFERROR(__xludf.DUMMYFUNCTION("""COMPUTED_VALUE"""),42211.0)</f>
        <v>42211</v>
      </c>
      <c r="C1289" s="8" t="str">
        <f>IFERROR(__xludf.DUMMYFUNCTION("""COMPUTED_VALUE"""),"Helen Andreada")</f>
        <v>Helen Andreada</v>
      </c>
      <c r="D1289" s="8" t="str">
        <f>IFERROR(__xludf.DUMMYFUNCTION("""COMPUTED_VALUE"""),"Consumer")</f>
        <v>Consumer</v>
      </c>
      <c r="E1289" s="8" t="str">
        <f>IFERROR(__xludf.DUMMYFUNCTION("""COMPUTED_VALUE"""),"West")</f>
        <v>West</v>
      </c>
      <c r="F1289" s="10">
        <f>IFERROR(__xludf.DUMMYFUNCTION("""COMPUTED_VALUE"""),167.86)</f>
        <v>167.86</v>
      </c>
      <c r="G1289" s="11">
        <f>IFERROR(__xludf.DUMMYFUNCTION("""COMPUTED_VALUE"""),2.0)</f>
        <v>2</v>
      </c>
      <c r="H1289" s="11">
        <f>IFERROR(__xludf.DUMMYFUNCTION("""COMPUTED_VALUE"""),78.8942)</f>
        <v>78.8942</v>
      </c>
    </row>
    <row r="1290">
      <c r="A1290" s="8" t="str">
        <f>IFERROR(__xludf.DUMMYFUNCTION("""COMPUTED_VALUE"""),"CA-2015-136798")</f>
        <v>CA-2015-136798</v>
      </c>
      <c r="B1290" s="9">
        <f>IFERROR(__xludf.DUMMYFUNCTION("""COMPUTED_VALUE"""),42132.0)</f>
        <v>42132</v>
      </c>
      <c r="C1290" s="8" t="str">
        <f>IFERROR(__xludf.DUMMYFUNCTION("""COMPUTED_VALUE"""),"Daniel Lacy")</f>
        <v>Daniel Lacy</v>
      </c>
      <c r="D1290" s="8" t="str">
        <f>IFERROR(__xludf.DUMMYFUNCTION("""COMPUTED_VALUE"""),"Consumer")</f>
        <v>Consumer</v>
      </c>
      <c r="E1290" s="8" t="str">
        <f>IFERROR(__xludf.DUMMYFUNCTION("""COMPUTED_VALUE"""),"Central")</f>
        <v>Central</v>
      </c>
      <c r="F1290" s="10">
        <f>IFERROR(__xludf.DUMMYFUNCTION("""COMPUTED_VALUE"""),43.98)</f>
        <v>43.98</v>
      </c>
      <c r="G1290" s="11">
        <f>IFERROR(__xludf.DUMMYFUNCTION("""COMPUTED_VALUE"""),2.0)</f>
        <v>2</v>
      </c>
      <c r="H1290" s="11">
        <f>IFERROR(__xludf.DUMMYFUNCTION("""COMPUTED_VALUE"""),21.99)</f>
        <v>21.99</v>
      </c>
    </row>
    <row r="1291">
      <c r="A1291" s="8" t="str">
        <f>IFERROR(__xludf.DUMMYFUNCTION("""COMPUTED_VALUE"""),"CA-2015-136805")</f>
        <v>CA-2015-136805</v>
      </c>
      <c r="B1291" s="9">
        <f>IFERROR(__xludf.DUMMYFUNCTION("""COMPUTED_VALUE"""),42147.0)</f>
        <v>42147</v>
      </c>
      <c r="C1291" s="8" t="str">
        <f>IFERROR(__xludf.DUMMYFUNCTION("""COMPUTED_VALUE"""),"Nathan Mautz")</f>
        <v>Nathan Mautz</v>
      </c>
      <c r="D1291" s="8" t="str">
        <f>IFERROR(__xludf.DUMMYFUNCTION("""COMPUTED_VALUE"""),"Home Office")</f>
        <v>Home Office</v>
      </c>
      <c r="E1291" s="8" t="str">
        <f>IFERROR(__xludf.DUMMYFUNCTION("""COMPUTED_VALUE"""),"Central")</f>
        <v>Central</v>
      </c>
      <c r="F1291" s="10">
        <f>IFERROR(__xludf.DUMMYFUNCTION("""COMPUTED_VALUE"""),850.5)</f>
        <v>850.5</v>
      </c>
      <c r="G1291" s="11">
        <f>IFERROR(__xludf.DUMMYFUNCTION("""COMPUTED_VALUE"""),5.0)</f>
        <v>5</v>
      </c>
      <c r="H1291" s="11">
        <f>IFERROR(__xludf.DUMMYFUNCTION("""COMPUTED_VALUE"""),245.7)</f>
        <v>245.7</v>
      </c>
    </row>
    <row r="1292">
      <c r="A1292" s="8" t="str">
        <f>IFERROR(__xludf.DUMMYFUNCTION("""COMPUTED_VALUE"""),"CA-2015-137064")</f>
        <v>CA-2015-137064</v>
      </c>
      <c r="B1292" s="9">
        <f>IFERROR(__xludf.DUMMYFUNCTION("""COMPUTED_VALUE"""),42041.0)</f>
        <v>42041</v>
      </c>
      <c r="C1292" s="8" t="str">
        <f>IFERROR(__xludf.DUMMYFUNCTION("""COMPUTED_VALUE"""),"Trudy Schmidt")</f>
        <v>Trudy Schmidt</v>
      </c>
      <c r="D1292" s="8" t="str">
        <f>IFERROR(__xludf.DUMMYFUNCTION("""COMPUTED_VALUE"""),"Consumer")</f>
        <v>Consumer</v>
      </c>
      <c r="E1292" s="8" t="str">
        <f>IFERROR(__xludf.DUMMYFUNCTION("""COMPUTED_VALUE"""),"Central")</f>
        <v>Central</v>
      </c>
      <c r="F1292" s="10">
        <f>IFERROR(__xludf.DUMMYFUNCTION("""COMPUTED_VALUE"""),2.934)</f>
        <v>2.934</v>
      </c>
      <c r="G1292" s="11">
        <f>IFERROR(__xludf.DUMMYFUNCTION("""COMPUTED_VALUE"""),3.0)</f>
        <v>3</v>
      </c>
      <c r="H1292" s="11">
        <f>IFERROR(__xludf.DUMMYFUNCTION("""COMPUTED_VALUE"""),-4.9878)</f>
        <v>-4.9878</v>
      </c>
    </row>
    <row r="1293">
      <c r="A1293" s="8" t="str">
        <f>IFERROR(__xludf.DUMMYFUNCTION("""COMPUTED_VALUE"""),"CA-2015-137071")</f>
        <v>CA-2015-137071</v>
      </c>
      <c r="B1293" s="9">
        <f>IFERROR(__xludf.DUMMYFUNCTION("""COMPUTED_VALUE"""),42358.0)</f>
        <v>42358</v>
      </c>
      <c r="C1293" s="8" t="str">
        <f>IFERROR(__xludf.DUMMYFUNCTION("""COMPUTED_VALUE"""),"Emily Ducich")</f>
        <v>Emily Ducich</v>
      </c>
      <c r="D1293" s="8" t="str">
        <f>IFERROR(__xludf.DUMMYFUNCTION("""COMPUTED_VALUE"""),"Home Office")</f>
        <v>Home Office</v>
      </c>
      <c r="E1293" s="8" t="str">
        <f>IFERROR(__xludf.DUMMYFUNCTION("""COMPUTED_VALUE"""),"Central")</f>
        <v>Central</v>
      </c>
      <c r="F1293" s="10">
        <f>IFERROR(__xludf.DUMMYFUNCTION("""COMPUTED_VALUE"""),100.8)</f>
        <v>100.8</v>
      </c>
      <c r="G1293" s="11">
        <f>IFERROR(__xludf.DUMMYFUNCTION("""COMPUTED_VALUE"""),2.0)</f>
        <v>2</v>
      </c>
      <c r="H1293" s="11">
        <f>IFERROR(__xludf.DUMMYFUNCTION("""COMPUTED_VALUE"""),21.42)</f>
        <v>21.42</v>
      </c>
    </row>
    <row r="1294">
      <c r="A1294" s="8" t="str">
        <f>IFERROR(__xludf.DUMMYFUNCTION("""COMPUTED_VALUE"""),"CA-2015-137106")</f>
        <v>CA-2015-137106</v>
      </c>
      <c r="B1294" s="9">
        <f>IFERROR(__xludf.DUMMYFUNCTION("""COMPUTED_VALUE"""),42094.0)</f>
        <v>42094</v>
      </c>
      <c r="C1294" s="8" t="str">
        <f>IFERROR(__xludf.DUMMYFUNCTION("""COMPUTED_VALUE"""),"Scott Cohen")</f>
        <v>Scott Cohen</v>
      </c>
      <c r="D1294" s="8" t="str">
        <f>IFERROR(__xludf.DUMMYFUNCTION("""COMPUTED_VALUE"""),"Corporate")</f>
        <v>Corporate</v>
      </c>
      <c r="E1294" s="8" t="str">
        <f>IFERROR(__xludf.DUMMYFUNCTION("""COMPUTED_VALUE"""),"South")</f>
        <v>South</v>
      </c>
      <c r="F1294" s="10">
        <f>IFERROR(__xludf.DUMMYFUNCTION("""COMPUTED_VALUE"""),79.96)</f>
        <v>79.96</v>
      </c>
      <c r="G1294" s="11">
        <f>IFERROR(__xludf.DUMMYFUNCTION("""COMPUTED_VALUE"""),5.0)</f>
        <v>5</v>
      </c>
      <c r="H1294" s="11">
        <f>IFERROR(__xludf.DUMMYFUNCTION("""COMPUTED_VALUE"""),27.986)</f>
        <v>27.986</v>
      </c>
    </row>
    <row r="1295">
      <c r="A1295" s="8" t="str">
        <f>IFERROR(__xludf.DUMMYFUNCTION("""COMPUTED_VALUE"""),"CA-2015-137113")</f>
        <v>CA-2015-137113</v>
      </c>
      <c r="B1295" s="9">
        <f>IFERROR(__xludf.DUMMYFUNCTION("""COMPUTED_VALUE"""),42339.0)</f>
        <v>42339</v>
      </c>
      <c r="C1295" s="8" t="str">
        <f>IFERROR(__xludf.DUMMYFUNCTION("""COMPUTED_VALUE"""),"Tamara Willingham")</f>
        <v>Tamara Willingham</v>
      </c>
      <c r="D1295" s="8" t="str">
        <f>IFERROR(__xludf.DUMMYFUNCTION("""COMPUTED_VALUE"""),"Home Office")</f>
        <v>Home Office</v>
      </c>
      <c r="E1295" s="8" t="str">
        <f>IFERROR(__xludf.DUMMYFUNCTION("""COMPUTED_VALUE"""),"West")</f>
        <v>West</v>
      </c>
      <c r="F1295" s="10">
        <f>IFERROR(__xludf.DUMMYFUNCTION("""COMPUTED_VALUE"""),2003.92)</f>
        <v>2003.92</v>
      </c>
      <c r="G1295" s="11">
        <f>IFERROR(__xludf.DUMMYFUNCTION("""COMPUTED_VALUE"""),5.0)</f>
        <v>5</v>
      </c>
      <c r="H1295" s="11">
        <f>IFERROR(__xludf.DUMMYFUNCTION("""COMPUTED_VALUE"""),125.245)</f>
        <v>125.245</v>
      </c>
    </row>
    <row r="1296">
      <c r="A1296" s="8" t="str">
        <f>IFERROR(__xludf.DUMMYFUNCTION("""COMPUTED_VALUE"""),"CA-2015-137225")</f>
        <v>CA-2015-137225</v>
      </c>
      <c r="B1296" s="9">
        <f>IFERROR(__xludf.DUMMYFUNCTION("""COMPUTED_VALUE"""),42353.0)</f>
        <v>42353</v>
      </c>
      <c r="C1296" s="8" t="str">
        <f>IFERROR(__xludf.DUMMYFUNCTION("""COMPUTED_VALUE"""),"Jim Kriz")</f>
        <v>Jim Kriz</v>
      </c>
      <c r="D1296" s="8" t="str">
        <f>IFERROR(__xludf.DUMMYFUNCTION("""COMPUTED_VALUE"""),"Home Office")</f>
        <v>Home Office</v>
      </c>
      <c r="E1296" s="8" t="str">
        <f>IFERROR(__xludf.DUMMYFUNCTION("""COMPUTED_VALUE"""),"East")</f>
        <v>East</v>
      </c>
      <c r="F1296" s="10">
        <f>IFERROR(__xludf.DUMMYFUNCTION("""COMPUTED_VALUE"""),3.28)</f>
        <v>3.28</v>
      </c>
      <c r="G1296" s="11">
        <f>IFERROR(__xludf.DUMMYFUNCTION("""COMPUTED_VALUE"""),1.0)</f>
        <v>1</v>
      </c>
      <c r="H1296" s="11">
        <f>IFERROR(__xludf.DUMMYFUNCTION("""COMPUTED_VALUE"""),1.4104)</f>
        <v>1.4104</v>
      </c>
    </row>
    <row r="1297">
      <c r="A1297" s="8" t="str">
        <f>IFERROR(__xludf.DUMMYFUNCTION("""COMPUTED_VALUE"""),"CA-2015-137281")</f>
        <v>CA-2015-137281</v>
      </c>
      <c r="B1297" s="9">
        <f>IFERROR(__xludf.DUMMYFUNCTION("""COMPUTED_VALUE"""),42168.0)</f>
        <v>42168</v>
      </c>
      <c r="C1297" s="8" t="str">
        <f>IFERROR(__xludf.DUMMYFUNCTION("""COMPUTED_VALUE"""),"Barbara Fisher")</f>
        <v>Barbara Fisher</v>
      </c>
      <c r="D1297" s="8" t="str">
        <f>IFERROR(__xludf.DUMMYFUNCTION("""COMPUTED_VALUE"""),"Corporate")</f>
        <v>Corporate</v>
      </c>
      <c r="E1297" s="8" t="str">
        <f>IFERROR(__xludf.DUMMYFUNCTION("""COMPUTED_VALUE"""),"South")</f>
        <v>South</v>
      </c>
      <c r="F1297" s="10">
        <f>IFERROR(__xludf.DUMMYFUNCTION("""COMPUTED_VALUE"""),6.48)</f>
        <v>6.48</v>
      </c>
      <c r="G1297" s="11">
        <f>IFERROR(__xludf.DUMMYFUNCTION("""COMPUTED_VALUE"""),1.0)</f>
        <v>1</v>
      </c>
      <c r="H1297" s="11">
        <f>IFERROR(__xludf.DUMMYFUNCTION("""COMPUTED_VALUE"""),3.1104)</f>
        <v>3.1104</v>
      </c>
    </row>
    <row r="1298">
      <c r="A1298" s="8" t="str">
        <f>IFERROR(__xludf.DUMMYFUNCTION("""COMPUTED_VALUE"""),"CA-2015-137302")</f>
        <v>CA-2015-137302</v>
      </c>
      <c r="B1298" s="9">
        <f>IFERROR(__xludf.DUMMYFUNCTION("""COMPUTED_VALUE"""),42120.0)</f>
        <v>42120</v>
      </c>
      <c r="C1298" s="8" t="str">
        <f>IFERROR(__xludf.DUMMYFUNCTION("""COMPUTED_VALUE"""),"Bart Watters")</f>
        <v>Bart Watters</v>
      </c>
      <c r="D1298" s="8" t="str">
        <f>IFERROR(__xludf.DUMMYFUNCTION("""COMPUTED_VALUE"""),"Corporate")</f>
        <v>Corporate</v>
      </c>
      <c r="E1298" s="8" t="str">
        <f>IFERROR(__xludf.DUMMYFUNCTION("""COMPUTED_VALUE"""),"West")</f>
        <v>West</v>
      </c>
      <c r="F1298" s="10">
        <f>IFERROR(__xludf.DUMMYFUNCTION("""COMPUTED_VALUE"""),63.936)</f>
        <v>63.936</v>
      </c>
      <c r="G1298" s="11">
        <f>IFERROR(__xludf.DUMMYFUNCTION("""COMPUTED_VALUE"""),3.0)</f>
        <v>3</v>
      </c>
      <c r="H1298" s="11">
        <f>IFERROR(__xludf.DUMMYFUNCTION("""COMPUTED_VALUE"""),6.3936)</f>
        <v>6.3936</v>
      </c>
    </row>
    <row r="1299">
      <c r="A1299" s="8" t="str">
        <f>IFERROR(__xludf.DUMMYFUNCTION("""COMPUTED_VALUE"""),"CA-2015-137512")</f>
        <v>CA-2015-137512</v>
      </c>
      <c r="B1299" s="9">
        <f>IFERROR(__xludf.DUMMYFUNCTION("""COMPUTED_VALUE"""),42131.0)</f>
        <v>42131</v>
      </c>
      <c r="C1299" s="8" t="str">
        <f>IFERROR(__xludf.DUMMYFUNCTION("""COMPUTED_VALUE"""),"Anna Gayman")</f>
        <v>Anna Gayman</v>
      </c>
      <c r="D1299" s="8" t="str">
        <f>IFERROR(__xludf.DUMMYFUNCTION("""COMPUTED_VALUE"""),"Consumer")</f>
        <v>Consumer</v>
      </c>
      <c r="E1299" s="8" t="str">
        <f>IFERROR(__xludf.DUMMYFUNCTION("""COMPUTED_VALUE"""),"Central")</f>
        <v>Central</v>
      </c>
      <c r="F1299" s="10">
        <f>IFERROR(__xludf.DUMMYFUNCTION("""COMPUTED_VALUE"""),244.006)</f>
        <v>244.006</v>
      </c>
      <c r="G1299" s="11">
        <f>IFERROR(__xludf.DUMMYFUNCTION("""COMPUTED_VALUE"""),2.0)</f>
        <v>2</v>
      </c>
      <c r="H1299" s="11">
        <f>IFERROR(__xludf.DUMMYFUNCTION("""COMPUTED_VALUE"""),-31.3722)</f>
        <v>-31.3722</v>
      </c>
    </row>
    <row r="1300">
      <c r="A1300" s="8" t="str">
        <f>IFERROR(__xludf.DUMMYFUNCTION("""COMPUTED_VALUE"""),"CA-2015-137526")</f>
        <v>CA-2015-137526</v>
      </c>
      <c r="B1300" s="9">
        <f>IFERROR(__xludf.DUMMYFUNCTION("""COMPUTED_VALUE"""),42017.0)</f>
        <v>42017</v>
      </c>
      <c r="C1300" s="8" t="str">
        <f>IFERROR(__xludf.DUMMYFUNCTION("""COMPUTED_VALUE"""),"Philip Brown")</f>
        <v>Philip Brown</v>
      </c>
      <c r="D1300" s="8" t="str">
        <f>IFERROR(__xludf.DUMMYFUNCTION("""COMPUTED_VALUE"""),"Consumer")</f>
        <v>Consumer</v>
      </c>
      <c r="E1300" s="8" t="str">
        <f>IFERROR(__xludf.DUMMYFUNCTION("""COMPUTED_VALUE"""),"West")</f>
        <v>West</v>
      </c>
      <c r="F1300" s="10">
        <f>IFERROR(__xludf.DUMMYFUNCTION("""COMPUTED_VALUE"""),70.008)</f>
        <v>70.008</v>
      </c>
      <c r="G1300" s="11">
        <f>IFERROR(__xludf.DUMMYFUNCTION("""COMPUTED_VALUE"""),3.0)</f>
        <v>3</v>
      </c>
      <c r="H1300" s="11">
        <f>IFERROR(__xludf.DUMMYFUNCTION("""COMPUTED_VALUE"""),24.5028)</f>
        <v>24.5028</v>
      </c>
    </row>
    <row r="1301">
      <c r="A1301" s="8" t="str">
        <f>IFERROR(__xludf.DUMMYFUNCTION("""COMPUTED_VALUE"""),"CA-2015-137603")</f>
        <v>CA-2015-137603</v>
      </c>
      <c r="B1301" s="9">
        <f>IFERROR(__xludf.DUMMYFUNCTION("""COMPUTED_VALUE"""),42266.0)</f>
        <v>42266</v>
      </c>
      <c r="C1301" s="8" t="str">
        <f>IFERROR(__xludf.DUMMYFUNCTION("""COMPUTED_VALUE"""),"Marc Harrigan")</f>
        <v>Marc Harrigan</v>
      </c>
      <c r="D1301" s="8" t="str">
        <f>IFERROR(__xludf.DUMMYFUNCTION("""COMPUTED_VALUE"""),"Home Office")</f>
        <v>Home Office</v>
      </c>
      <c r="E1301" s="8" t="str">
        <f>IFERROR(__xludf.DUMMYFUNCTION("""COMPUTED_VALUE"""),"West")</f>
        <v>West</v>
      </c>
      <c r="F1301" s="10">
        <f>IFERROR(__xludf.DUMMYFUNCTION("""COMPUTED_VALUE"""),8.4)</f>
        <v>8.4</v>
      </c>
      <c r="G1301" s="11">
        <f>IFERROR(__xludf.DUMMYFUNCTION("""COMPUTED_VALUE"""),5.0)</f>
        <v>5</v>
      </c>
      <c r="H1301" s="11">
        <f>IFERROR(__xludf.DUMMYFUNCTION("""COMPUTED_VALUE"""),2.184)</f>
        <v>2.184</v>
      </c>
    </row>
    <row r="1302">
      <c r="A1302" s="8" t="str">
        <f>IFERROR(__xludf.DUMMYFUNCTION("""COMPUTED_VALUE"""),"CA-2015-137708")</f>
        <v>CA-2015-137708</v>
      </c>
      <c r="B1302" s="9">
        <f>IFERROR(__xludf.DUMMYFUNCTION("""COMPUTED_VALUE"""),42330.0)</f>
        <v>42330</v>
      </c>
      <c r="C1302" s="8" t="str">
        <f>IFERROR(__xludf.DUMMYFUNCTION("""COMPUTED_VALUE"""),"Nathan Gelder")</f>
        <v>Nathan Gelder</v>
      </c>
      <c r="D1302" s="8" t="str">
        <f>IFERROR(__xludf.DUMMYFUNCTION("""COMPUTED_VALUE"""),"Consumer")</f>
        <v>Consumer</v>
      </c>
      <c r="E1302" s="8" t="str">
        <f>IFERROR(__xludf.DUMMYFUNCTION("""COMPUTED_VALUE"""),"West")</f>
        <v>West</v>
      </c>
      <c r="F1302" s="10">
        <f>IFERROR(__xludf.DUMMYFUNCTION("""COMPUTED_VALUE"""),37.94)</f>
        <v>37.94</v>
      </c>
      <c r="G1302" s="11">
        <f>IFERROR(__xludf.DUMMYFUNCTION("""COMPUTED_VALUE"""),2.0)</f>
        <v>2</v>
      </c>
      <c r="H1302" s="11">
        <f>IFERROR(__xludf.DUMMYFUNCTION("""COMPUTED_VALUE"""),18.2112)</f>
        <v>18.2112</v>
      </c>
    </row>
    <row r="1303">
      <c r="A1303" s="8" t="str">
        <f>IFERROR(__xludf.DUMMYFUNCTION("""COMPUTED_VALUE"""),"CA-2015-137750")</f>
        <v>CA-2015-137750</v>
      </c>
      <c r="B1303" s="9">
        <f>IFERROR(__xludf.DUMMYFUNCTION("""COMPUTED_VALUE"""),42180.0)</f>
        <v>42180</v>
      </c>
      <c r="C1303" s="8" t="str">
        <f>IFERROR(__xludf.DUMMYFUNCTION("""COMPUTED_VALUE"""),"Jill Fjeld")</f>
        <v>Jill Fjeld</v>
      </c>
      <c r="D1303" s="8" t="str">
        <f>IFERROR(__xludf.DUMMYFUNCTION("""COMPUTED_VALUE"""),"Consumer")</f>
        <v>Consumer</v>
      </c>
      <c r="E1303" s="8" t="str">
        <f>IFERROR(__xludf.DUMMYFUNCTION("""COMPUTED_VALUE"""),"West")</f>
        <v>West</v>
      </c>
      <c r="F1303" s="10">
        <f>IFERROR(__xludf.DUMMYFUNCTION("""COMPUTED_VALUE"""),204.85)</f>
        <v>204.85</v>
      </c>
      <c r="G1303" s="11">
        <f>IFERROR(__xludf.DUMMYFUNCTION("""COMPUTED_VALUE"""),5.0)</f>
        <v>5</v>
      </c>
      <c r="H1303" s="11">
        <f>IFERROR(__xludf.DUMMYFUNCTION("""COMPUTED_VALUE"""),57.358)</f>
        <v>57.358</v>
      </c>
    </row>
    <row r="1304">
      <c r="A1304" s="8" t="str">
        <f>IFERROR(__xludf.DUMMYFUNCTION("""COMPUTED_VALUE"""),"CA-2015-137897")</f>
        <v>CA-2015-137897</v>
      </c>
      <c r="B1304" s="9">
        <f>IFERROR(__xludf.DUMMYFUNCTION("""COMPUTED_VALUE"""),42322.0)</f>
        <v>42322</v>
      </c>
      <c r="C1304" s="8" t="str">
        <f>IFERROR(__xludf.DUMMYFUNCTION("""COMPUTED_VALUE"""),"Patrick Jones")</f>
        <v>Patrick Jones</v>
      </c>
      <c r="D1304" s="8" t="str">
        <f>IFERROR(__xludf.DUMMYFUNCTION("""COMPUTED_VALUE"""),"Corporate")</f>
        <v>Corporate</v>
      </c>
      <c r="E1304" s="8" t="str">
        <f>IFERROR(__xludf.DUMMYFUNCTION("""COMPUTED_VALUE"""),"East")</f>
        <v>East</v>
      </c>
      <c r="F1304" s="10">
        <f>IFERROR(__xludf.DUMMYFUNCTION("""COMPUTED_VALUE"""),37.6)</f>
        <v>37.6</v>
      </c>
      <c r="G1304" s="11">
        <f>IFERROR(__xludf.DUMMYFUNCTION("""COMPUTED_VALUE"""),2.0)</f>
        <v>2</v>
      </c>
      <c r="H1304" s="11">
        <f>IFERROR(__xludf.DUMMYFUNCTION("""COMPUTED_VALUE"""),2.256)</f>
        <v>2.256</v>
      </c>
    </row>
    <row r="1305">
      <c r="A1305" s="8" t="str">
        <f>IFERROR(__xludf.DUMMYFUNCTION("""COMPUTED_VALUE"""),"CA-2015-137925")</f>
        <v>CA-2015-137925</v>
      </c>
      <c r="B1305" s="9">
        <f>IFERROR(__xludf.DUMMYFUNCTION("""COMPUTED_VALUE"""),42338.0)</f>
        <v>42338</v>
      </c>
      <c r="C1305" s="8" t="str">
        <f>IFERROR(__xludf.DUMMYFUNCTION("""COMPUTED_VALUE"""),"Janet Lee")</f>
        <v>Janet Lee</v>
      </c>
      <c r="D1305" s="8" t="str">
        <f>IFERROR(__xludf.DUMMYFUNCTION("""COMPUTED_VALUE"""),"Consumer")</f>
        <v>Consumer</v>
      </c>
      <c r="E1305" s="8" t="str">
        <f>IFERROR(__xludf.DUMMYFUNCTION("""COMPUTED_VALUE"""),"East")</f>
        <v>East</v>
      </c>
      <c r="F1305" s="10">
        <f>IFERROR(__xludf.DUMMYFUNCTION("""COMPUTED_VALUE"""),23.66)</f>
        <v>23.66</v>
      </c>
      <c r="G1305" s="11">
        <f>IFERROR(__xludf.DUMMYFUNCTION("""COMPUTED_VALUE"""),7.0)</f>
        <v>7</v>
      </c>
      <c r="H1305" s="11">
        <f>IFERROR(__xludf.DUMMYFUNCTION("""COMPUTED_VALUE"""),10.8836)</f>
        <v>10.8836</v>
      </c>
    </row>
    <row r="1306">
      <c r="A1306" s="8" t="str">
        <f>IFERROR(__xludf.DUMMYFUNCTION("""COMPUTED_VALUE"""),"CA-2015-137946")</f>
        <v>CA-2015-137946</v>
      </c>
      <c r="B1306" s="9">
        <f>IFERROR(__xludf.DUMMYFUNCTION("""COMPUTED_VALUE"""),42248.0)</f>
        <v>42248</v>
      </c>
      <c r="C1306" s="8" t="str">
        <f>IFERROR(__xludf.DUMMYFUNCTION("""COMPUTED_VALUE"""),"Doug Bickford")</f>
        <v>Doug Bickford</v>
      </c>
      <c r="D1306" s="8" t="str">
        <f>IFERROR(__xludf.DUMMYFUNCTION("""COMPUTED_VALUE"""),"Consumer")</f>
        <v>Consumer</v>
      </c>
      <c r="E1306" s="8" t="str">
        <f>IFERROR(__xludf.DUMMYFUNCTION("""COMPUTED_VALUE"""),"West")</f>
        <v>West</v>
      </c>
      <c r="F1306" s="10">
        <f>IFERROR(__xludf.DUMMYFUNCTION("""COMPUTED_VALUE"""),4.752)</f>
        <v>4.752</v>
      </c>
      <c r="G1306" s="11">
        <f>IFERROR(__xludf.DUMMYFUNCTION("""COMPUTED_VALUE"""),1.0)</f>
        <v>1</v>
      </c>
      <c r="H1306" s="11">
        <f>IFERROR(__xludf.DUMMYFUNCTION("""COMPUTED_VALUE"""),1.6038)</f>
        <v>1.6038</v>
      </c>
    </row>
    <row r="1307">
      <c r="A1307" s="8" t="str">
        <f>IFERROR(__xludf.DUMMYFUNCTION("""COMPUTED_VALUE"""),"CA-2015-137974")</f>
        <v>CA-2015-137974</v>
      </c>
      <c r="B1307" s="9">
        <f>IFERROR(__xludf.DUMMYFUNCTION("""COMPUTED_VALUE"""),42110.0)</f>
        <v>42110</v>
      </c>
      <c r="C1307" s="8" t="str">
        <f>IFERROR(__xludf.DUMMYFUNCTION("""COMPUTED_VALUE"""),"Lauren Leatherbury")</f>
        <v>Lauren Leatherbury</v>
      </c>
      <c r="D1307" s="8" t="str">
        <f>IFERROR(__xludf.DUMMYFUNCTION("""COMPUTED_VALUE"""),"Consumer")</f>
        <v>Consumer</v>
      </c>
      <c r="E1307" s="8" t="str">
        <f>IFERROR(__xludf.DUMMYFUNCTION("""COMPUTED_VALUE"""),"South")</f>
        <v>South</v>
      </c>
      <c r="F1307" s="10">
        <f>IFERROR(__xludf.DUMMYFUNCTION("""COMPUTED_VALUE"""),569.64)</f>
        <v>569.64</v>
      </c>
      <c r="G1307" s="11">
        <f>IFERROR(__xludf.DUMMYFUNCTION("""COMPUTED_VALUE"""),2.0)</f>
        <v>2</v>
      </c>
      <c r="H1307" s="11">
        <f>IFERROR(__xludf.DUMMYFUNCTION("""COMPUTED_VALUE"""),148.1064)</f>
        <v>148.1064</v>
      </c>
    </row>
    <row r="1308">
      <c r="A1308" s="8" t="str">
        <f>IFERROR(__xludf.DUMMYFUNCTION("""COMPUTED_VALUE"""),"CA-2015-138002")</f>
        <v>CA-2015-138002</v>
      </c>
      <c r="B1308" s="9">
        <f>IFERROR(__xludf.DUMMYFUNCTION("""COMPUTED_VALUE"""),42253.0)</f>
        <v>42253</v>
      </c>
      <c r="C1308" s="8" t="str">
        <f>IFERROR(__xludf.DUMMYFUNCTION("""COMPUTED_VALUE"""),"Beth Thompson")</f>
        <v>Beth Thompson</v>
      </c>
      <c r="D1308" s="8" t="str">
        <f>IFERROR(__xludf.DUMMYFUNCTION("""COMPUTED_VALUE"""),"Home Office")</f>
        <v>Home Office</v>
      </c>
      <c r="E1308" s="8" t="str">
        <f>IFERROR(__xludf.DUMMYFUNCTION("""COMPUTED_VALUE"""),"West")</f>
        <v>West</v>
      </c>
      <c r="F1308" s="10">
        <f>IFERROR(__xludf.DUMMYFUNCTION("""COMPUTED_VALUE"""),6.096)</f>
        <v>6.096</v>
      </c>
      <c r="G1308" s="11">
        <f>IFERROR(__xludf.DUMMYFUNCTION("""COMPUTED_VALUE"""),2.0)</f>
        <v>2</v>
      </c>
      <c r="H1308" s="11">
        <f>IFERROR(__xludf.DUMMYFUNCTION("""COMPUTED_VALUE"""),2.1336)</f>
        <v>2.1336</v>
      </c>
    </row>
    <row r="1309">
      <c r="A1309" s="8" t="str">
        <f>IFERROR(__xludf.DUMMYFUNCTION("""COMPUTED_VALUE"""),"CA-2015-138009")</f>
        <v>CA-2015-138009</v>
      </c>
      <c r="B1309" s="9">
        <f>IFERROR(__xludf.DUMMYFUNCTION("""COMPUTED_VALUE"""),42337.0)</f>
        <v>42337</v>
      </c>
      <c r="C1309" s="8" t="str">
        <f>IFERROR(__xludf.DUMMYFUNCTION("""COMPUTED_VALUE"""),"Sylvia Foulston")</f>
        <v>Sylvia Foulston</v>
      </c>
      <c r="D1309" s="8" t="str">
        <f>IFERROR(__xludf.DUMMYFUNCTION("""COMPUTED_VALUE"""),"Corporate")</f>
        <v>Corporate</v>
      </c>
      <c r="E1309" s="8" t="str">
        <f>IFERROR(__xludf.DUMMYFUNCTION("""COMPUTED_VALUE"""),"Central")</f>
        <v>Central</v>
      </c>
      <c r="F1309" s="10">
        <f>IFERROR(__xludf.DUMMYFUNCTION("""COMPUTED_VALUE"""),301.96)</f>
        <v>301.96</v>
      </c>
      <c r="G1309" s="11">
        <f>IFERROR(__xludf.DUMMYFUNCTION("""COMPUTED_VALUE"""),2.0)</f>
        <v>2</v>
      </c>
      <c r="H1309" s="11">
        <f>IFERROR(__xludf.DUMMYFUNCTION("""COMPUTED_VALUE"""),87.5684)</f>
        <v>87.5684</v>
      </c>
    </row>
    <row r="1310">
      <c r="A1310" s="8" t="str">
        <f>IFERROR(__xludf.DUMMYFUNCTION("""COMPUTED_VALUE"""),"CA-2015-138219")</f>
        <v>CA-2015-138219</v>
      </c>
      <c r="B1310" s="9">
        <f>IFERROR(__xludf.DUMMYFUNCTION("""COMPUTED_VALUE"""),42086.0)</f>
        <v>42086</v>
      </c>
      <c r="C1310" s="8" t="str">
        <f>IFERROR(__xludf.DUMMYFUNCTION("""COMPUTED_VALUE"""),"Bart Pistole")</f>
        <v>Bart Pistole</v>
      </c>
      <c r="D1310" s="8" t="str">
        <f>IFERROR(__xludf.DUMMYFUNCTION("""COMPUTED_VALUE"""),"Corporate")</f>
        <v>Corporate</v>
      </c>
      <c r="E1310" s="8" t="str">
        <f>IFERROR(__xludf.DUMMYFUNCTION("""COMPUTED_VALUE"""),"West")</f>
        <v>West</v>
      </c>
      <c r="F1310" s="10">
        <f>IFERROR(__xludf.DUMMYFUNCTION("""COMPUTED_VALUE"""),33.36)</f>
        <v>33.36</v>
      </c>
      <c r="G1310" s="11">
        <f>IFERROR(__xludf.DUMMYFUNCTION("""COMPUTED_VALUE"""),4.0)</f>
        <v>4</v>
      </c>
      <c r="H1310" s="11">
        <f>IFERROR(__xludf.DUMMYFUNCTION("""COMPUTED_VALUE"""),16.68)</f>
        <v>16.68</v>
      </c>
    </row>
    <row r="1311">
      <c r="A1311" s="8" t="str">
        <f>IFERROR(__xludf.DUMMYFUNCTION("""COMPUTED_VALUE"""),"CA-2015-138331")</f>
        <v>CA-2015-138331</v>
      </c>
      <c r="B1311" s="9">
        <f>IFERROR(__xludf.DUMMYFUNCTION("""COMPUTED_VALUE"""),42223.0)</f>
        <v>42223</v>
      </c>
      <c r="C1311" s="8" t="str">
        <f>IFERROR(__xludf.DUMMYFUNCTION("""COMPUTED_VALUE"""),"Jim Karlsson")</f>
        <v>Jim Karlsson</v>
      </c>
      <c r="D1311" s="8" t="str">
        <f>IFERROR(__xludf.DUMMYFUNCTION("""COMPUTED_VALUE"""),"Consumer")</f>
        <v>Consumer</v>
      </c>
      <c r="E1311" s="8" t="str">
        <f>IFERROR(__xludf.DUMMYFUNCTION("""COMPUTED_VALUE"""),"East")</f>
        <v>East</v>
      </c>
      <c r="F1311" s="10">
        <f>IFERROR(__xludf.DUMMYFUNCTION("""COMPUTED_VALUE"""),106.8)</f>
        <v>106.8</v>
      </c>
      <c r="G1311" s="11">
        <f>IFERROR(__xludf.DUMMYFUNCTION("""COMPUTED_VALUE"""),10.0)</f>
        <v>10</v>
      </c>
      <c r="H1311" s="11">
        <f>IFERROR(__xludf.DUMMYFUNCTION("""COMPUTED_VALUE"""),10.68)</f>
        <v>10.68</v>
      </c>
    </row>
    <row r="1312">
      <c r="A1312" s="8" t="str">
        <f>IFERROR(__xludf.DUMMYFUNCTION("""COMPUTED_VALUE"""),"CA-2015-138457")</f>
        <v>CA-2015-138457</v>
      </c>
      <c r="B1312" s="9">
        <f>IFERROR(__xludf.DUMMYFUNCTION("""COMPUTED_VALUE"""),42260.0)</f>
        <v>42260</v>
      </c>
      <c r="C1312" s="8" t="str">
        <f>IFERROR(__xludf.DUMMYFUNCTION("""COMPUTED_VALUE"""),"Anne McFarland")</f>
        <v>Anne McFarland</v>
      </c>
      <c r="D1312" s="8" t="str">
        <f>IFERROR(__xludf.DUMMYFUNCTION("""COMPUTED_VALUE"""),"Consumer")</f>
        <v>Consumer</v>
      </c>
      <c r="E1312" s="8" t="str">
        <f>IFERROR(__xludf.DUMMYFUNCTION("""COMPUTED_VALUE"""),"South")</f>
        <v>South</v>
      </c>
      <c r="F1312" s="10">
        <f>IFERROR(__xludf.DUMMYFUNCTION("""COMPUTED_VALUE"""),13.092)</f>
        <v>13.092</v>
      </c>
      <c r="G1312" s="11">
        <f>IFERROR(__xludf.DUMMYFUNCTION("""COMPUTED_VALUE"""),4.0)</f>
        <v>4</v>
      </c>
      <c r="H1312" s="11">
        <f>IFERROR(__xludf.DUMMYFUNCTION("""COMPUTED_VALUE"""),-10.0372)</f>
        <v>-10.0372</v>
      </c>
    </row>
    <row r="1313">
      <c r="A1313" s="8" t="str">
        <f>IFERROR(__xludf.DUMMYFUNCTION("""COMPUTED_VALUE"""),"CA-2015-138485")</f>
        <v>CA-2015-138485</v>
      </c>
      <c r="B1313" s="9">
        <f>IFERROR(__xludf.DUMMYFUNCTION("""COMPUTED_VALUE"""),42062.0)</f>
        <v>42062</v>
      </c>
      <c r="C1313" s="8" t="str">
        <f>IFERROR(__xludf.DUMMYFUNCTION("""COMPUTED_VALUE"""),"Nora Paige")</f>
        <v>Nora Paige</v>
      </c>
      <c r="D1313" s="8" t="str">
        <f>IFERROR(__xludf.DUMMYFUNCTION("""COMPUTED_VALUE"""),"Consumer")</f>
        <v>Consumer</v>
      </c>
      <c r="E1313" s="8" t="str">
        <f>IFERROR(__xludf.DUMMYFUNCTION("""COMPUTED_VALUE"""),"West")</f>
        <v>West</v>
      </c>
      <c r="F1313" s="10">
        <f>IFERROR(__xludf.DUMMYFUNCTION("""COMPUTED_VALUE"""),538.92)</f>
        <v>538.92</v>
      </c>
      <c r="G1313" s="11">
        <f>IFERROR(__xludf.DUMMYFUNCTION("""COMPUTED_VALUE"""),9.0)</f>
        <v>9</v>
      </c>
      <c r="H1313" s="11">
        <f>IFERROR(__xludf.DUMMYFUNCTION("""COMPUTED_VALUE"""),80.838)</f>
        <v>80.838</v>
      </c>
    </row>
    <row r="1314">
      <c r="A1314" s="8" t="str">
        <f>IFERROR(__xludf.DUMMYFUNCTION("""COMPUTED_VALUE"""),"CA-2015-138492")</f>
        <v>CA-2015-138492</v>
      </c>
      <c r="B1314" s="9">
        <f>IFERROR(__xludf.DUMMYFUNCTION("""COMPUTED_VALUE"""),42139.0)</f>
        <v>42139</v>
      </c>
      <c r="C1314" s="8" t="str">
        <f>IFERROR(__xludf.DUMMYFUNCTION("""COMPUTED_VALUE"""),"Fred Chung")</f>
        <v>Fred Chung</v>
      </c>
      <c r="D1314" s="8" t="str">
        <f>IFERROR(__xludf.DUMMYFUNCTION("""COMPUTED_VALUE"""),"Corporate")</f>
        <v>Corporate</v>
      </c>
      <c r="E1314" s="8" t="str">
        <f>IFERROR(__xludf.DUMMYFUNCTION("""COMPUTED_VALUE"""),"East")</f>
        <v>East</v>
      </c>
      <c r="F1314" s="10">
        <f>IFERROR(__xludf.DUMMYFUNCTION("""COMPUTED_VALUE"""),51.968)</f>
        <v>51.968</v>
      </c>
      <c r="G1314" s="11">
        <f>IFERROR(__xludf.DUMMYFUNCTION("""COMPUTED_VALUE"""),2.0)</f>
        <v>2</v>
      </c>
      <c r="H1314" s="11">
        <f>IFERROR(__xludf.DUMMYFUNCTION("""COMPUTED_VALUE"""),-10.3936)</f>
        <v>-10.3936</v>
      </c>
    </row>
    <row r="1315">
      <c r="A1315" s="8" t="str">
        <f>IFERROR(__xludf.DUMMYFUNCTION("""COMPUTED_VALUE"""),"CA-2015-138534")</f>
        <v>CA-2015-138534</v>
      </c>
      <c r="B1315" s="9">
        <f>IFERROR(__xludf.DUMMYFUNCTION("""COMPUTED_VALUE"""),42202.0)</f>
        <v>42202</v>
      </c>
      <c r="C1315" s="8" t="str">
        <f>IFERROR(__xludf.DUMMYFUNCTION("""COMPUTED_VALUE"""),"Jessica Myrick")</f>
        <v>Jessica Myrick</v>
      </c>
      <c r="D1315" s="8" t="str">
        <f>IFERROR(__xludf.DUMMYFUNCTION("""COMPUTED_VALUE"""),"Consumer")</f>
        <v>Consumer</v>
      </c>
      <c r="E1315" s="8" t="str">
        <f>IFERROR(__xludf.DUMMYFUNCTION("""COMPUTED_VALUE"""),"West")</f>
        <v>West</v>
      </c>
      <c r="F1315" s="10">
        <f>IFERROR(__xludf.DUMMYFUNCTION("""COMPUTED_VALUE"""),195.466)</f>
        <v>195.466</v>
      </c>
      <c r="G1315" s="11">
        <f>IFERROR(__xludf.DUMMYFUNCTION("""COMPUTED_VALUE"""),2.0)</f>
        <v>2</v>
      </c>
      <c r="H1315" s="11">
        <f>IFERROR(__xludf.DUMMYFUNCTION("""COMPUTED_VALUE"""),-13.7976)</f>
        <v>-13.7976</v>
      </c>
    </row>
    <row r="1316">
      <c r="A1316" s="8" t="str">
        <f>IFERROR(__xludf.DUMMYFUNCTION("""COMPUTED_VALUE"""),"CA-2015-138625")</f>
        <v>CA-2015-138625</v>
      </c>
      <c r="B1316" s="9">
        <f>IFERROR(__xludf.DUMMYFUNCTION("""COMPUTED_VALUE"""),42310.0)</f>
        <v>42310</v>
      </c>
      <c r="C1316" s="8" t="str">
        <f>IFERROR(__xludf.DUMMYFUNCTION("""COMPUTED_VALUE"""),"Emily Grady")</f>
        <v>Emily Grady</v>
      </c>
      <c r="D1316" s="8" t="str">
        <f>IFERROR(__xludf.DUMMYFUNCTION("""COMPUTED_VALUE"""),"Consumer")</f>
        <v>Consumer</v>
      </c>
      <c r="E1316" s="8" t="str">
        <f>IFERROR(__xludf.DUMMYFUNCTION("""COMPUTED_VALUE"""),"South")</f>
        <v>South</v>
      </c>
      <c r="F1316" s="10">
        <f>IFERROR(__xludf.DUMMYFUNCTION("""COMPUTED_VALUE"""),197.72)</f>
        <v>197.72</v>
      </c>
      <c r="G1316" s="11">
        <f>IFERROR(__xludf.DUMMYFUNCTION("""COMPUTED_VALUE"""),4.0)</f>
        <v>4</v>
      </c>
      <c r="H1316" s="11">
        <f>IFERROR(__xludf.DUMMYFUNCTION("""COMPUTED_VALUE"""),55.3616)</f>
        <v>55.3616</v>
      </c>
    </row>
    <row r="1317">
      <c r="A1317" s="8" t="str">
        <f>IFERROR(__xludf.DUMMYFUNCTION("""COMPUTED_VALUE"""),"CA-2015-138674")</f>
        <v>CA-2015-138674</v>
      </c>
      <c r="B1317" s="9">
        <f>IFERROR(__xludf.DUMMYFUNCTION("""COMPUTED_VALUE"""),42322.0)</f>
        <v>42322</v>
      </c>
      <c r="C1317" s="8" t="str">
        <f>IFERROR(__xludf.DUMMYFUNCTION("""COMPUTED_VALUE"""),"Ken Black")</f>
        <v>Ken Black</v>
      </c>
      <c r="D1317" s="8" t="str">
        <f>IFERROR(__xludf.DUMMYFUNCTION("""COMPUTED_VALUE"""),"Corporate")</f>
        <v>Corporate</v>
      </c>
      <c r="E1317" s="8" t="str">
        <f>IFERROR(__xludf.DUMMYFUNCTION("""COMPUTED_VALUE"""),"West")</f>
        <v>West</v>
      </c>
      <c r="F1317" s="10">
        <f>IFERROR(__xludf.DUMMYFUNCTION("""COMPUTED_VALUE"""),8.72)</f>
        <v>8.72</v>
      </c>
      <c r="G1317" s="11">
        <f>IFERROR(__xludf.DUMMYFUNCTION("""COMPUTED_VALUE"""),5.0)</f>
        <v>5</v>
      </c>
      <c r="H1317" s="11">
        <f>IFERROR(__xludf.DUMMYFUNCTION("""COMPUTED_VALUE"""),2.289)</f>
        <v>2.289</v>
      </c>
    </row>
    <row r="1318">
      <c r="A1318" s="8" t="str">
        <f>IFERROR(__xludf.DUMMYFUNCTION("""COMPUTED_VALUE"""),"CA-2015-138898")</f>
        <v>CA-2015-138898</v>
      </c>
      <c r="B1318" s="9">
        <f>IFERROR(__xludf.DUMMYFUNCTION("""COMPUTED_VALUE"""),42149.0)</f>
        <v>42149</v>
      </c>
      <c r="C1318" s="8" t="str">
        <f>IFERROR(__xludf.DUMMYFUNCTION("""COMPUTED_VALUE"""),"Justin Hirsh")</f>
        <v>Justin Hirsh</v>
      </c>
      <c r="D1318" s="8" t="str">
        <f>IFERROR(__xludf.DUMMYFUNCTION("""COMPUTED_VALUE"""),"Consumer")</f>
        <v>Consumer</v>
      </c>
      <c r="E1318" s="8" t="str">
        <f>IFERROR(__xludf.DUMMYFUNCTION("""COMPUTED_VALUE"""),"West")</f>
        <v>West</v>
      </c>
      <c r="F1318" s="10">
        <f>IFERROR(__xludf.DUMMYFUNCTION("""COMPUTED_VALUE"""),845.728)</f>
        <v>845.728</v>
      </c>
      <c r="G1318" s="11">
        <f>IFERROR(__xludf.DUMMYFUNCTION("""COMPUTED_VALUE"""),13.0)</f>
        <v>13</v>
      </c>
      <c r="H1318" s="11">
        <f>IFERROR(__xludf.DUMMYFUNCTION("""COMPUTED_VALUE"""),84.5728)</f>
        <v>84.5728</v>
      </c>
    </row>
    <row r="1319">
      <c r="A1319" s="8" t="str">
        <f>IFERROR(__xludf.DUMMYFUNCTION("""COMPUTED_VALUE"""),"CA-2015-138954")</f>
        <v>CA-2015-138954</v>
      </c>
      <c r="B1319" s="9">
        <f>IFERROR(__xludf.DUMMYFUNCTION("""COMPUTED_VALUE"""),42323.0)</f>
        <v>42323</v>
      </c>
      <c r="C1319" s="8" t="str">
        <f>IFERROR(__xludf.DUMMYFUNCTION("""COMPUTED_VALUE"""),"Maya Herman")</f>
        <v>Maya Herman</v>
      </c>
      <c r="D1319" s="8" t="str">
        <f>IFERROR(__xludf.DUMMYFUNCTION("""COMPUTED_VALUE"""),"Corporate")</f>
        <v>Corporate</v>
      </c>
      <c r="E1319" s="8" t="str">
        <f>IFERROR(__xludf.DUMMYFUNCTION("""COMPUTED_VALUE"""),"East")</f>
        <v>East</v>
      </c>
      <c r="F1319" s="10">
        <f>IFERROR(__xludf.DUMMYFUNCTION("""COMPUTED_VALUE"""),70.95)</f>
        <v>70.95</v>
      </c>
      <c r="G1319" s="11">
        <f>IFERROR(__xludf.DUMMYFUNCTION("""COMPUTED_VALUE"""),3.0)</f>
        <v>3</v>
      </c>
      <c r="H1319" s="11">
        <f>IFERROR(__xludf.DUMMYFUNCTION("""COMPUTED_VALUE"""),20.5755)</f>
        <v>20.5755</v>
      </c>
    </row>
    <row r="1320">
      <c r="A1320" s="8" t="str">
        <f>IFERROR(__xludf.DUMMYFUNCTION("""COMPUTED_VALUE"""),"CA-2015-139094")</f>
        <v>CA-2015-139094</v>
      </c>
      <c r="B1320" s="9">
        <f>IFERROR(__xludf.DUMMYFUNCTION("""COMPUTED_VALUE"""),42330.0)</f>
        <v>42330</v>
      </c>
      <c r="C1320" s="8" t="str">
        <f>IFERROR(__xludf.DUMMYFUNCTION("""COMPUTED_VALUE"""),"Meg O'Connel")</f>
        <v>Meg O'Connel</v>
      </c>
      <c r="D1320" s="8" t="str">
        <f>IFERROR(__xludf.DUMMYFUNCTION("""COMPUTED_VALUE"""),"Home Office")</f>
        <v>Home Office</v>
      </c>
      <c r="E1320" s="8" t="str">
        <f>IFERROR(__xludf.DUMMYFUNCTION("""COMPUTED_VALUE"""),"Central")</f>
        <v>Central</v>
      </c>
      <c r="F1320" s="10">
        <f>IFERROR(__xludf.DUMMYFUNCTION("""COMPUTED_VALUE"""),206.962)</f>
        <v>206.962</v>
      </c>
      <c r="G1320" s="11">
        <f>IFERROR(__xludf.DUMMYFUNCTION("""COMPUTED_VALUE"""),2.0)</f>
        <v>2</v>
      </c>
      <c r="H1320" s="11">
        <f>IFERROR(__xludf.DUMMYFUNCTION("""COMPUTED_VALUE"""),-32.5226)</f>
        <v>-32.5226</v>
      </c>
    </row>
    <row r="1321">
      <c r="A1321" s="8" t="str">
        <f>IFERROR(__xludf.DUMMYFUNCTION("""COMPUTED_VALUE"""),"CA-2015-139164")</f>
        <v>CA-2015-139164</v>
      </c>
      <c r="B1321" s="9">
        <f>IFERROR(__xludf.DUMMYFUNCTION("""COMPUTED_VALUE"""),42178.0)</f>
        <v>42178</v>
      </c>
      <c r="C1321" s="8" t="str">
        <f>IFERROR(__xludf.DUMMYFUNCTION("""COMPUTED_VALUE"""),"Christine Sundaresam")</f>
        <v>Christine Sundaresam</v>
      </c>
      <c r="D1321" s="8" t="str">
        <f>IFERROR(__xludf.DUMMYFUNCTION("""COMPUTED_VALUE"""),"Consumer")</f>
        <v>Consumer</v>
      </c>
      <c r="E1321" s="8" t="str">
        <f>IFERROR(__xludf.DUMMYFUNCTION("""COMPUTED_VALUE"""),"West")</f>
        <v>West</v>
      </c>
      <c r="F1321" s="10">
        <f>IFERROR(__xludf.DUMMYFUNCTION("""COMPUTED_VALUE"""),217.584)</f>
        <v>217.584</v>
      </c>
      <c r="G1321" s="11">
        <f>IFERROR(__xludf.DUMMYFUNCTION("""COMPUTED_VALUE"""),2.0)</f>
        <v>2</v>
      </c>
      <c r="H1321" s="11">
        <f>IFERROR(__xludf.DUMMYFUNCTION("""COMPUTED_VALUE"""),19.0386)</f>
        <v>19.0386</v>
      </c>
    </row>
    <row r="1322">
      <c r="A1322" s="8" t="str">
        <f>IFERROR(__xludf.DUMMYFUNCTION("""COMPUTED_VALUE"""),"CA-2015-139248")</f>
        <v>CA-2015-139248</v>
      </c>
      <c r="B1322" s="9">
        <f>IFERROR(__xludf.DUMMYFUNCTION("""COMPUTED_VALUE"""),42210.0)</f>
        <v>42210</v>
      </c>
      <c r="C1322" s="8" t="str">
        <f>IFERROR(__xludf.DUMMYFUNCTION("""COMPUTED_VALUE"""),"Russell D'Ascenzo")</f>
        <v>Russell D'Ascenzo</v>
      </c>
      <c r="D1322" s="8" t="str">
        <f>IFERROR(__xludf.DUMMYFUNCTION("""COMPUTED_VALUE"""),"Consumer")</f>
        <v>Consumer</v>
      </c>
      <c r="E1322" s="8" t="str">
        <f>IFERROR(__xludf.DUMMYFUNCTION("""COMPUTED_VALUE"""),"West")</f>
        <v>West</v>
      </c>
      <c r="F1322" s="10">
        <f>IFERROR(__xludf.DUMMYFUNCTION("""COMPUTED_VALUE"""),623.96)</f>
        <v>623.96</v>
      </c>
      <c r="G1322" s="11">
        <f>IFERROR(__xludf.DUMMYFUNCTION("""COMPUTED_VALUE"""),5.0)</f>
        <v>5</v>
      </c>
      <c r="H1322" s="11">
        <f>IFERROR(__xludf.DUMMYFUNCTION("""COMPUTED_VALUE"""),38.9975)</f>
        <v>38.9975</v>
      </c>
    </row>
    <row r="1323">
      <c r="A1323" s="8" t="str">
        <f>IFERROR(__xludf.DUMMYFUNCTION("""COMPUTED_VALUE"""),"CA-2015-139290")</f>
        <v>CA-2015-139290</v>
      </c>
      <c r="B1323" s="9">
        <f>IFERROR(__xludf.DUMMYFUNCTION("""COMPUTED_VALUE"""),42303.0)</f>
        <v>42303</v>
      </c>
      <c r="C1323" s="8" t="str">
        <f>IFERROR(__xludf.DUMMYFUNCTION("""COMPUTED_VALUE"""),"Maribeth Yedwab")</f>
        <v>Maribeth Yedwab</v>
      </c>
      <c r="D1323" s="8" t="str">
        <f>IFERROR(__xludf.DUMMYFUNCTION("""COMPUTED_VALUE"""),"Corporate")</f>
        <v>Corporate</v>
      </c>
      <c r="E1323" s="8" t="str">
        <f>IFERROR(__xludf.DUMMYFUNCTION("""COMPUTED_VALUE"""),"West")</f>
        <v>West</v>
      </c>
      <c r="F1323" s="10">
        <f>IFERROR(__xludf.DUMMYFUNCTION("""COMPUTED_VALUE"""),5.76)</f>
        <v>5.76</v>
      </c>
      <c r="G1323" s="11">
        <f>IFERROR(__xludf.DUMMYFUNCTION("""COMPUTED_VALUE"""),2.0)</f>
        <v>2</v>
      </c>
      <c r="H1323" s="11">
        <f>IFERROR(__xludf.DUMMYFUNCTION("""COMPUTED_VALUE"""),2.6496)</f>
        <v>2.6496</v>
      </c>
    </row>
    <row r="1324">
      <c r="A1324" s="8" t="str">
        <f>IFERROR(__xludf.DUMMYFUNCTION("""COMPUTED_VALUE"""),"CA-2015-139374")</f>
        <v>CA-2015-139374</v>
      </c>
      <c r="B1324" s="9">
        <f>IFERROR(__xludf.DUMMYFUNCTION("""COMPUTED_VALUE"""),42257.0)</f>
        <v>42257</v>
      </c>
      <c r="C1324" s="8" t="str">
        <f>IFERROR(__xludf.DUMMYFUNCTION("""COMPUTED_VALUE"""),"Alex Russell")</f>
        <v>Alex Russell</v>
      </c>
      <c r="D1324" s="8" t="str">
        <f>IFERROR(__xludf.DUMMYFUNCTION("""COMPUTED_VALUE"""),"Corporate")</f>
        <v>Corporate</v>
      </c>
      <c r="E1324" s="8" t="str">
        <f>IFERROR(__xludf.DUMMYFUNCTION("""COMPUTED_VALUE"""),"Central")</f>
        <v>Central</v>
      </c>
      <c r="F1324" s="10">
        <f>IFERROR(__xludf.DUMMYFUNCTION("""COMPUTED_VALUE"""),179.886)</f>
        <v>179.886</v>
      </c>
      <c r="G1324" s="11">
        <f>IFERROR(__xludf.DUMMYFUNCTION("""COMPUTED_VALUE"""),1.0)</f>
        <v>1</v>
      </c>
      <c r="H1324" s="11">
        <f>IFERROR(__xludf.DUMMYFUNCTION("""COMPUTED_VALUE"""),-2.5698)</f>
        <v>-2.5698</v>
      </c>
    </row>
    <row r="1325">
      <c r="A1325" s="8" t="str">
        <f>IFERROR(__xludf.DUMMYFUNCTION("""COMPUTED_VALUE"""),"CA-2015-139584")</f>
        <v>CA-2015-139584</v>
      </c>
      <c r="B1325" s="9">
        <f>IFERROR(__xludf.DUMMYFUNCTION("""COMPUTED_VALUE"""),42240.0)</f>
        <v>42240</v>
      </c>
      <c r="C1325" s="8" t="str">
        <f>IFERROR(__xludf.DUMMYFUNCTION("""COMPUTED_VALUE"""),"Eleni McCrary")</f>
        <v>Eleni McCrary</v>
      </c>
      <c r="D1325" s="8" t="str">
        <f>IFERROR(__xludf.DUMMYFUNCTION("""COMPUTED_VALUE"""),"Corporate")</f>
        <v>Corporate</v>
      </c>
      <c r="E1325" s="8" t="str">
        <f>IFERROR(__xludf.DUMMYFUNCTION("""COMPUTED_VALUE"""),"East")</f>
        <v>East</v>
      </c>
      <c r="F1325" s="10">
        <f>IFERROR(__xludf.DUMMYFUNCTION("""COMPUTED_VALUE"""),284.364)</f>
        <v>284.364</v>
      </c>
      <c r="G1325" s="11">
        <f>IFERROR(__xludf.DUMMYFUNCTION("""COMPUTED_VALUE"""),2.0)</f>
        <v>2</v>
      </c>
      <c r="H1325" s="11">
        <f>IFERROR(__xludf.DUMMYFUNCTION("""COMPUTED_VALUE"""),-75.8304)</f>
        <v>-75.8304</v>
      </c>
    </row>
    <row r="1326">
      <c r="A1326" s="8" t="str">
        <f>IFERROR(__xludf.DUMMYFUNCTION("""COMPUTED_VALUE"""),"CA-2015-139731")</f>
        <v>CA-2015-139731</v>
      </c>
      <c r="B1326" s="9">
        <f>IFERROR(__xludf.DUMMYFUNCTION("""COMPUTED_VALUE"""),42292.0)</f>
        <v>42292</v>
      </c>
      <c r="C1326" s="8" t="str">
        <f>IFERROR(__xludf.DUMMYFUNCTION("""COMPUTED_VALUE"""),"Joel Eaton")</f>
        <v>Joel Eaton</v>
      </c>
      <c r="D1326" s="8" t="str">
        <f>IFERROR(__xludf.DUMMYFUNCTION("""COMPUTED_VALUE"""),"Consumer")</f>
        <v>Consumer</v>
      </c>
      <c r="E1326" s="8" t="str">
        <f>IFERROR(__xludf.DUMMYFUNCTION("""COMPUTED_VALUE"""),"Central")</f>
        <v>Central</v>
      </c>
      <c r="F1326" s="10">
        <f>IFERROR(__xludf.DUMMYFUNCTION("""COMPUTED_VALUE"""),263.88)</f>
        <v>263.88</v>
      </c>
      <c r="G1326" s="11">
        <f>IFERROR(__xludf.DUMMYFUNCTION("""COMPUTED_VALUE"""),3.0)</f>
        <v>3</v>
      </c>
      <c r="H1326" s="11">
        <f>IFERROR(__xludf.DUMMYFUNCTION("""COMPUTED_VALUE"""),42.8805)</f>
        <v>42.8805</v>
      </c>
    </row>
    <row r="1327">
      <c r="A1327" s="8" t="str">
        <f>IFERROR(__xludf.DUMMYFUNCTION("""COMPUTED_VALUE"""),"CA-2015-139738")</f>
        <v>CA-2015-139738</v>
      </c>
      <c r="B1327" s="9">
        <f>IFERROR(__xludf.DUMMYFUNCTION("""COMPUTED_VALUE"""),42272.0)</f>
        <v>42272</v>
      </c>
      <c r="C1327" s="8" t="str">
        <f>IFERROR(__xludf.DUMMYFUNCTION("""COMPUTED_VALUE"""),"Dana Kaydos")</f>
        <v>Dana Kaydos</v>
      </c>
      <c r="D1327" s="8" t="str">
        <f>IFERROR(__xludf.DUMMYFUNCTION("""COMPUTED_VALUE"""),"Consumer")</f>
        <v>Consumer</v>
      </c>
      <c r="E1327" s="8" t="str">
        <f>IFERROR(__xludf.DUMMYFUNCTION("""COMPUTED_VALUE"""),"Central")</f>
        <v>Central</v>
      </c>
      <c r="F1327" s="10">
        <f>IFERROR(__xludf.DUMMYFUNCTION("""COMPUTED_VALUE"""),128.744)</f>
        <v>128.744</v>
      </c>
      <c r="G1327" s="11">
        <f>IFERROR(__xludf.DUMMYFUNCTION("""COMPUTED_VALUE"""),7.0)</f>
        <v>7</v>
      </c>
      <c r="H1327" s="11">
        <f>IFERROR(__xludf.DUMMYFUNCTION("""COMPUTED_VALUE"""),12.8744)</f>
        <v>12.8744</v>
      </c>
    </row>
    <row r="1328">
      <c r="A1328" s="8" t="str">
        <f>IFERROR(__xludf.DUMMYFUNCTION("""COMPUTED_VALUE"""),"CA-2015-139780")</f>
        <v>CA-2015-139780</v>
      </c>
      <c r="B1328" s="9">
        <f>IFERROR(__xludf.DUMMYFUNCTION("""COMPUTED_VALUE"""),42369.0)</f>
        <v>42369</v>
      </c>
      <c r="C1328" s="8" t="str">
        <f>IFERROR(__xludf.DUMMYFUNCTION("""COMPUTED_VALUE"""),"Anna Häberlin")</f>
        <v>Anna Häberlin</v>
      </c>
      <c r="D1328" s="8" t="str">
        <f>IFERROR(__xludf.DUMMYFUNCTION("""COMPUTED_VALUE"""),"Corporate")</f>
        <v>Corporate</v>
      </c>
      <c r="E1328" s="8" t="str">
        <f>IFERROR(__xludf.DUMMYFUNCTION("""COMPUTED_VALUE"""),"Central")</f>
        <v>Central</v>
      </c>
      <c r="F1328" s="10">
        <f>IFERROR(__xludf.DUMMYFUNCTION("""COMPUTED_VALUE"""),116.4)</f>
        <v>116.4</v>
      </c>
      <c r="G1328" s="11">
        <f>IFERROR(__xludf.DUMMYFUNCTION("""COMPUTED_VALUE"""),8.0)</f>
        <v>8</v>
      </c>
      <c r="H1328" s="11">
        <f>IFERROR(__xludf.DUMMYFUNCTION("""COMPUTED_VALUE"""),52.38)</f>
        <v>52.38</v>
      </c>
    </row>
    <row r="1329">
      <c r="A1329" s="8" t="str">
        <f>IFERROR(__xludf.DUMMYFUNCTION("""COMPUTED_VALUE"""),"CA-2015-139850")</f>
        <v>CA-2015-139850</v>
      </c>
      <c r="B1329" s="9">
        <f>IFERROR(__xludf.DUMMYFUNCTION("""COMPUTED_VALUE"""),42167.0)</f>
        <v>42167</v>
      </c>
      <c r="C1329" s="8" t="str">
        <f>IFERROR(__xludf.DUMMYFUNCTION("""COMPUTED_VALUE"""),"Giulietta Baptist")</f>
        <v>Giulietta Baptist</v>
      </c>
      <c r="D1329" s="8" t="str">
        <f>IFERROR(__xludf.DUMMYFUNCTION("""COMPUTED_VALUE"""),"Consumer")</f>
        <v>Consumer</v>
      </c>
      <c r="E1329" s="8" t="str">
        <f>IFERROR(__xludf.DUMMYFUNCTION("""COMPUTED_VALUE"""),"East")</f>
        <v>East</v>
      </c>
      <c r="F1329" s="10">
        <f>IFERROR(__xludf.DUMMYFUNCTION("""COMPUTED_VALUE"""),20.736)</f>
        <v>20.736</v>
      </c>
      <c r="G1329" s="11">
        <f>IFERROR(__xludf.DUMMYFUNCTION("""COMPUTED_VALUE"""),4.0)</f>
        <v>4</v>
      </c>
      <c r="H1329" s="11">
        <f>IFERROR(__xludf.DUMMYFUNCTION("""COMPUTED_VALUE"""),7.2576)</f>
        <v>7.2576</v>
      </c>
    </row>
    <row r="1330">
      <c r="A1330" s="8" t="str">
        <f>IFERROR(__xludf.DUMMYFUNCTION("""COMPUTED_VALUE"""),"CA-2015-139962")</f>
        <v>CA-2015-139962</v>
      </c>
      <c r="B1330" s="9">
        <f>IFERROR(__xludf.DUMMYFUNCTION("""COMPUTED_VALUE"""),42351.0)</f>
        <v>42351</v>
      </c>
      <c r="C1330" s="8" t="str">
        <f>IFERROR(__xludf.DUMMYFUNCTION("""COMPUTED_VALUE"""),"Dean percer")</f>
        <v>Dean percer</v>
      </c>
      <c r="D1330" s="8" t="str">
        <f>IFERROR(__xludf.DUMMYFUNCTION("""COMPUTED_VALUE"""),"Home Office")</f>
        <v>Home Office</v>
      </c>
      <c r="E1330" s="8" t="str">
        <f>IFERROR(__xludf.DUMMYFUNCTION("""COMPUTED_VALUE"""),"East")</f>
        <v>East</v>
      </c>
      <c r="F1330" s="10">
        <f>IFERROR(__xludf.DUMMYFUNCTION("""COMPUTED_VALUE"""),19.44)</f>
        <v>19.44</v>
      </c>
      <c r="G1330" s="11">
        <f>IFERROR(__xludf.DUMMYFUNCTION("""COMPUTED_VALUE"""),3.0)</f>
        <v>3</v>
      </c>
      <c r="H1330" s="11">
        <f>IFERROR(__xludf.DUMMYFUNCTION("""COMPUTED_VALUE"""),9.3312)</f>
        <v>9.3312</v>
      </c>
    </row>
    <row r="1331">
      <c r="A1331" s="8" t="str">
        <f>IFERROR(__xludf.DUMMYFUNCTION("""COMPUTED_VALUE"""),"CA-2015-140025")</f>
        <v>CA-2015-140025</v>
      </c>
      <c r="B1331" s="9">
        <f>IFERROR(__xludf.DUMMYFUNCTION("""COMPUTED_VALUE"""),42101.0)</f>
        <v>42101</v>
      </c>
      <c r="C1331" s="8" t="str">
        <f>IFERROR(__xludf.DUMMYFUNCTION("""COMPUTED_VALUE"""),"Peter Fuller")</f>
        <v>Peter Fuller</v>
      </c>
      <c r="D1331" s="8" t="str">
        <f>IFERROR(__xludf.DUMMYFUNCTION("""COMPUTED_VALUE"""),"Consumer")</f>
        <v>Consumer</v>
      </c>
      <c r="E1331" s="8" t="str">
        <f>IFERROR(__xludf.DUMMYFUNCTION("""COMPUTED_VALUE"""),"Central")</f>
        <v>Central</v>
      </c>
      <c r="F1331" s="10">
        <f>IFERROR(__xludf.DUMMYFUNCTION("""COMPUTED_VALUE"""),463.248)</f>
        <v>463.248</v>
      </c>
      <c r="G1331" s="11">
        <f>IFERROR(__xludf.DUMMYFUNCTION("""COMPUTED_VALUE"""),8.0)</f>
        <v>8</v>
      </c>
      <c r="H1331" s="11">
        <f>IFERROR(__xludf.DUMMYFUNCTION("""COMPUTED_VALUE"""),-1181.2824)</f>
        <v>-1181.2824</v>
      </c>
    </row>
    <row r="1332">
      <c r="A1332" s="8" t="str">
        <f>IFERROR(__xludf.DUMMYFUNCTION("""COMPUTED_VALUE"""),"CA-2015-140144")</f>
        <v>CA-2015-140144</v>
      </c>
      <c r="B1332" s="9">
        <f>IFERROR(__xludf.DUMMYFUNCTION("""COMPUTED_VALUE"""),42175.0)</f>
        <v>42175</v>
      </c>
      <c r="C1332" s="8" t="str">
        <f>IFERROR(__xludf.DUMMYFUNCTION("""COMPUTED_VALUE"""),"Stewart Carmichael")</f>
        <v>Stewart Carmichael</v>
      </c>
      <c r="D1332" s="8" t="str">
        <f>IFERROR(__xludf.DUMMYFUNCTION("""COMPUTED_VALUE"""),"Corporate")</f>
        <v>Corporate</v>
      </c>
      <c r="E1332" s="8" t="str">
        <f>IFERROR(__xludf.DUMMYFUNCTION("""COMPUTED_VALUE"""),"West")</f>
        <v>West</v>
      </c>
      <c r="F1332" s="10">
        <f>IFERROR(__xludf.DUMMYFUNCTION("""COMPUTED_VALUE"""),257.64)</f>
        <v>257.64</v>
      </c>
      <c r="G1332" s="11">
        <f>IFERROR(__xludf.DUMMYFUNCTION("""COMPUTED_VALUE"""),6.0)</f>
        <v>6</v>
      </c>
      <c r="H1332" s="11">
        <f>IFERROR(__xludf.DUMMYFUNCTION("""COMPUTED_VALUE"""),100.4796)</f>
        <v>100.4796</v>
      </c>
    </row>
    <row r="1333">
      <c r="A1333" s="8" t="str">
        <f>IFERROR(__xludf.DUMMYFUNCTION("""COMPUTED_VALUE"""),"CA-2015-140221")</f>
        <v>CA-2015-140221</v>
      </c>
      <c r="B1333" s="9">
        <f>IFERROR(__xludf.DUMMYFUNCTION("""COMPUTED_VALUE"""),42068.0)</f>
        <v>42068</v>
      </c>
      <c r="C1333" s="8" t="str">
        <f>IFERROR(__xludf.DUMMYFUNCTION("""COMPUTED_VALUE"""),"Maribeth Schnelling")</f>
        <v>Maribeth Schnelling</v>
      </c>
      <c r="D1333" s="8" t="str">
        <f>IFERROR(__xludf.DUMMYFUNCTION("""COMPUTED_VALUE"""),"Consumer")</f>
        <v>Consumer</v>
      </c>
      <c r="E1333" s="8" t="str">
        <f>IFERROR(__xludf.DUMMYFUNCTION("""COMPUTED_VALUE"""),"Central")</f>
        <v>Central</v>
      </c>
      <c r="F1333" s="10">
        <f>IFERROR(__xludf.DUMMYFUNCTION("""COMPUTED_VALUE"""),11.212)</f>
        <v>11.212</v>
      </c>
      <c r="G1333" s="11">
        <f>IFERROR(__xludf.DUMMYFUNCTION("""COMPUTED_VALUE"""),2.0)</f>
        <v>2</v>
      </c>
      <c r="H1333" s="11">
        <f>IFERROR(__xludf.DUMMYFUNCTION("""COMPUTED_VALUE"""),-16.818)</f>
        <v>-16.818</v>
      </c>
    </row>
    <row r="1334">
      <c r="A1334" s="8" t="str">
        <f>IFERROR(__xludf.DUMMYFUNCTION("""COMPUTED_VALUE"""),"CA-2015-140375")</f>
        <v>CA-2015-140375</v>
      </c>
      <c r="B1334" s="9">
        <f>IFERROR(__xludf.DUMMYFUNCTION("""COMPUTED_VALUE"""),42279.0)</f>
        <v>42279</v>
      </c>
      <c r="C1334" s="8" t="str">
        <f>IFERROR(__xludf.DUMMYFUNCTION("""COMPUTED_VALUE"""),"Sheri Gordon")</f>
        <v>Sheri Gordon</v>
      </c>
      <c r="D1334" s="8" t="str">
        <f>IFERROR(__xludf.DUMMYFUNCTION("""COMPUTED_VALUE"""),"Consumer")</f>
        <v>Consumer</v>
      </c>
      <c r="E1334" s="8" t="str">
        <f>IFERROR(__xludf.DUMMYFUNCTION("""COMPUTED_VALUE"""),"East")</f>
        <v>East</v>
      </c>
      <c r="F1334" s="10">
        <f>IFERROR(__xludf.DUMMYFUNCTION("""COMPUTED_VALUE"""),19.44)</f>
        <v>19.44</v>
      </c>
      <c r="G1334" s="11">
        <f>IFERROR(__xludf.DUMMYFUNCTION("""COMPUTED_VALUE"""),3.0)</f>
        <v>3</v>
      </c>
      <c r="H1334" s="11">
        <f>IFERROR(__xludf.DUMMYFUNCTION("""COMPUTED_VALUE"""),9.3312)</f>
        <v>9.3312</v>
      </c>
    </row>
    <row r="1335">
      <c r="A1335" s="8" t="str">
        <f>IFERROR(__xludf.DUMMYFUNCTION("""COMPUTED_VALUE"""),"CA-2015-140410")</f>
        <v>CA-2015-140410</v>
      </c>
      <c r="B1335" s="9">
        <f>IFERROR(__xludf.DUMMYFUNCTION("""COMPUTED_VALUE"""),42311.0)</f>
        <v>42311</v>
      </c>
      <c r="C1335" s="8" t="str">
        <f>IFERROR(__xludf.DUMMYFUNCTION("""COMPUTED_VALUE"""),"Corinna Mitchell")</f>
        <v>Corinna Mitchell</v>
      </c>
      <c r="D1335" s="8" t="str">
        <f>IFERROR(__xludf.DUMMYFUNCTION("""COMPUTED_VALUE"""),"Home Office")</f>
        <v>Home Office</v>
      </c>
      <c r="E1335" s="8" t="str">
        <f>IFERROR(__xludf.DUMMYFUNCTION("""COMPUTED_VALUE"""),"West")</f>
        <v>West</v>
      </c>
      <c r="F1335" s="10">
        <f>IFERROR(__xludf.DUMMYFUNCTION("""COMPUTED_VALUE"""),1212.848)</f>
        <v>1212.848</v>
      </c>
      <c r="G1335" s="11">
        <f>IFERROR(__xludf.DUMMYFUNCTION("""COMPUTED_VALUE"""),7.0)</f>
        <v>7</v>
      </c>
      <c r="H1335" s="11">
        <f>IFERROR(__xludf.DUMMYFUNCTION("""COMPUTED_VALUE"""),106.1242)</f>
        <v>106.1242</v>
      </c>
    </row>
    <row r="1336">
      <c r="A1336" s="8" t="str">
        <f>IFERROR(__xludf.DUMMYFUNCTION("""COMPUTED_VALUE"""),"CA-2015-140557")</f>
        <v>CA-2015-140557</v>
      </c>
      <c r="B1336" s="9">
        <f>IFERROR(__xludf.DUMMYFUNCTION("""COMPUTED_VALUE"""),42254.0)</f>
        <v>42254</v>
      </c>
      <c r="C1336" s="8" t="str">
        <f>IFERROR(__xludf.DUMMYFUNCTION("""COMPUTED_VALUE"""),"Tanja Norvell")</f>
        <v>Tanja Norvell</v>
      </c>
      <c r="D1336" s="8" t="str">
        <f>IFERROR(__xludf.DUMMYFUNCTION("""COMPUTED_VALUE"""),"Home Office")</f>
        <v>Home Office</v>
      </c>
      <c r="E1336" s="8" t="str">
        <f>IFERROR(__xludf.DUMMYFUNCTION("""COMPUTED_VALUE"""),"East")</f>
        <v>East</v>
      </c>
      <c r="F1336" s="10">
        <f>IFERROR(__xludf.DUMMYFUNCTION("""COMPUTED_VALUE"""),559.93)</f>
        <v>559.93</v>
      </c>
      <c r="G1336" s="11">
        <f>IFERROR(__xludf.DUMMYFUNCTION("""COMPUTED_VALUE"""),7.0)</f>
        <v>7</v>
      </c>
      <c r="H1336" s="11">
        <f>IFERROR(__xludf.DUMMYFUNCTION("""COMPUTED_VALUE"""),167.979)</f>
        <v>167.979</v>
      </c>
    </row>
    <row r="1337">
      <c r="A1337" s="8" t="str">
        <f>IFERROR(__xludf.DUMMYFUNCTION("""COMPUTED_VALUE"""),"CA-2015-140718")</f>
        <v>CA-2015-140718</v>
      </c>
      <c r="B1337" s="9">
        <f>IFERROR(__xludf.DUMMYFUNCTION("""COMPUTED_VALUE"""),42187.0)</f>
        <v>42187</v>
      </c>
      <c r="C1337" s="8" t="str">
        <f>IFERROR(__xludf.DUMMYFUNCTION("""COMPUTED_VALUE"""),"Frank Atkinson")</f>
        <v>Frank Atkinson</v>
      </c>
      <c r="D1337" s="8" t="str">
        <f>IFERROR(__xludf.DUMMYFUNCTION("""COMPUTED_VALUE"""),"Corporate")</f>
        <v>Corporate</v>
      </c>
      <c r="E1337" s="8" t="str">
        <f>IFERROR(__xludf.DUMMYFUNCTION("""COMPUTED_VALUE"""),"South")</f>
        <v>South</v>
      </c>
      <c r="F1337" s="10">
        <f>IFERROR(__xludf.DUMMYFUNCTION("""COMPUTED_VALUE"""),74.24)</f>
        <v>74.24</v>
      </c>
      <c r="G1337" s="11">
        <f>IFERROR(__xludf.DUMMYFUNCTION("""COMPUTED_VALUE"""),1.0)</f>
        <v>1</v>
      </c>
      <c r="H1337" s="11">
        <f>IFERROR(__xludf.DUMMYFUNCTION("""COMPUTED_VALUE"""),8.352)</f>
        <v>8.352</v>
      </c>
    </row>
    <row r="1338">
      <c r="A1338" s="8" t="str">
        <f>IFERROR(__xludf.DUMMYFUNCTION("""COMPUTED_VALUE"""),"CA-2015-140830")</f>
        <v>CA-2015-140830</v>
      </c>
      <c r="B1338" s="9">
        <f>IFERROR(__xludf.DUMMYFUNCTION("""COMPUTED_VALUE"""),42338.0)</f>
        <v>42338</v>
      </c>
      <c r="C1338" s="8" t="str">
        <f>IFERROR(__xludf.DUMMYFUNCTION("""COMPUTED_VALUE"""),"Paul Stevenson")</f>
        <v>Paul Stevenson</v>
      </c>
      <c r="D1338" s="8" t="str">
        <f>IFERROR(__xludf.DUMMYFUNCTION("""COMPUTED_VALUE"""),"Home Office")</f>
        <v>Home Office</v>
      </c>
      <c r="E1338" s="8" t="str">
        <f>IFERROR(__xludf.DUMMYFUNCTION("""COMPUTED_VALUE"""),"South")</f>
        <v>South</v>
      </c>
      <c r="F1338" s="10">
        <f>IFERROR(__xludf.DUMMYFUNCTION("""COMPUTED_VALUE"""),17.48)</f>
        <v>17.48</v>
      </c>
      <c r="G1338" s="11">
        <f>IFERROR(__xludf.DUMMYFUNCTION("""COMPUTED_VALUE"""),2.0)</f>
        <v>2</v>
      </c>
      <c r="H1338" s="11">
        <f>IFERROR(__xludf.DUMMYFUNCTION("""COMPUTED_VALUE"""),8.2156)</f>
        <v>8.2156</v>
      </c>
    </row>
    <row r="1339">
      <c r="A1339" s="8" t="str">
        <f>IFERROR(__xludf.DUMMYFUNCTION("""COMPUTED_VALUE"""),"CA-2015-140921")</f>
        <v>CA-2015-140921</v>
      </c>
      <c r="B1339" s="9">
        <f>IFERROR(__xludf.DUMMYFUNCTION("""COMPUTED_VALUE"""),42038.0)</f>
        <v>42038</v>
      </c>
      <c r="C1339" s="8" t="str">
        <f>IFERROR(__xludf.DUMMYFUNCTION("""COMPUTED_VALUE"""),"Allen Armold")</f>
        <v>Allen Armold</v>
      </c>
      <c r="D1339" s="8" t="str">
        <f>IFERROR(__xludf.DUMMYFUNCTION("""COMPUTED_VALUE"""),"Consumer")</f>
        <v>Consumer</v>
      </c>
      <c r="E1339" s="8" t="str">
        <f>IFERROR(__xludf.DUMMYFUNCTION("""COMPUTED_VALUE"""),"Central")</f>
        <v>Central</v>
      </c>
      <c r="F1339" s="10">
        <f>IFERROR(__xludf.DUMMYFUNCTION("""COMPUTED_VALUE"""),28.4)</f>
        <v>28.4</v>
      </c>
      <c r="G1339" s="11">
        <f>IFERROR(__xludf.DUMMYFUNCTION("""COMPUTED_VALUE"""),2.0)</f>
        <v>2</v>
      </c>
      <c r="H1339" s="11">
        <f>IFERROR(__xludf.DUMMYFUNCTION("""COMPUTED_VALUE"""),11.076)</f>
        <v>11.076</v>
      </c>
    </row>
    <row r="1340">
      <c r="A1340" s="8" t="str">
        <f>IFERROR(__xludf.DUMMYFUNCTION("""COMPUTED_VALUE"""),"CA-2015-140984")</f>
        <v>CA-2015-140984</v>
      </c>
      <c r="B1340" s="9">
        <f>IFERROR(__xludf.DUMMYFUNCTION("""COMPUTED_VALUE"""),42261.0)</f>
        <v>42261</v>
      </c>
      <c r="C1340" s="8" t="str">
        <f>IFERROR(__xludf.DUMMYFUNCTION("""COMPUTED_VALUE"""),"Craig Carroll")</f>
        <v>Craig Carroll</v>
      </c>
      <c r="D1340" s="8" t="str">
        <f>IFERROR(__xludf.DUMMYFUNCTION("""COMPUTED_VALUE"""),"Consumer")</f>
        <v>Consumer</v>
      </c>
      <c r="E1340" s="8" t="str">
        <f>IFERROR(__xludf.DUMMYFUNCTION("""COMPUTED_VALUE"""),"East")</f>
        <v>East</v>
      </c>
      <c r="F1340" s="10">
        <f>IFERROR(__xludf.DUMMYFUNCTION("""COMPUTED_VALUE"""),991.2)</f>
        <v>991.2</v>
      </c>
      <c r="G1340" s="11">
        <f>IFERROR(__xludf.DUMMYFUNCTION("""COMPUTED_VALUE"""),6.0)</f>
        <v>6</v>
      </c>
      <c r="H1340" s="11">
        <f>IFERROR(__xludf.DUMMYFUNCTION("""COMPUTED_VALUE"""),257.712)</f>
        <v>257.712</v>
      </c>
    </row>
    <row r="1341">
      <c r="A1341" s="8" t="str">
        <f>IFERROR(__xludf.DUMMYFUNCTION("""COMPUTED_VALUE"""),"CA-2015-141012")</f>
        <v>CA-2015-141012</v>
      </c>
      <c r="B1341" s="9">
        <f>IFERROR(__xludf.DUMMYFUNCTION("""COMPUTED_VALUE"""),42164.0)</f>
        <v>42164</v>
      </c>
      <c r="C1341" s="8" t="str">
        <f>IFERROR(__xludf.DUMMYFUNCTION("""COMPUTED_VALUE"""),"Trudy Glocke")</f>
        <v>Trudy Glocke</v>
      </c>
      <c r="D1341" s="8" t="str">
        <f>IFERROR(__xludf.DUMMYFUNCTION("""COMPUTED_VALUE"""),"Consumer")</f>
        <v>Consumer</v>
      </c>
      <c r="E1341" s="8" t="str">
        <f>IFERROR(__xludf.DUMMYFUNCTION("""COMPUTED_VALUE"""),"West")</f>
        <v>West</v>
      </c>
      <c r="F1341" s="10">
        <f>IFERROR(__xludf.DUMMYFUNCTION("""COMPUTED_VALUE"""),355.36)</f>
        <v>355.36</v>
      </c>
      <c r="G1341" s="11">
        <f>IFERROR(__xludf.DUMMYFUNCTION("""COMPUTED_VALUE"""),4.0)</f>
        <v>4</v>
      </c>
      <c r="H1341" s="11">
        <f>IFERROR(__xludf.DUMMYFUNCTION("""COMPUTED_VALUE"""),92.3936)</f>
        <v>92.3936</v>
      </c>
    </row>
    <row r="1342">
      <c r="A1342" s="8" t="str">
        <f>IFERROR(__xludf.DUMMYFUNCTION("""COMPUTED_VALUE"""),"CA-2015-141040")</f>
        <v>CA-2015-141040</v>
      </c>
      <c r="B1342" s="9">
        <f>IFERROR(__xludf.DUMMYFUNCTION("""COMPUTED_VALUE"""),42286.0)</f>
        <v>42286</v>
      </c>
      <c r="C1342" s="8" t="str">
        <f>IFERROR(__xludf.DUMMYFUNCTION("""COMPUTED_VALUE"""),"Tim Brockman")</f>
        <v>Tim Brockman</v>
      </c>
      <c r="D1342" s="8" t="str">
        <f>IFERROR(__xludf.DUMMYFUNCTION("""COMPUTED_VALUE"""),"Consumer")</f>
        <v>Consumer</v>
      </c>
      <c r="E1342" s="8" t="str">
        <f>IFERROR(__xludf.DUMMYFUNCTION("""COMPUTED_VALUE"""),"East")</f>
        <v>East</v>
      </c>
      <c r="F1342" s="10">
        <f>IFERROR(__xludf.DUMMYFUNCTION("""COMPUTED_VALUE"""),631.96)</f>
        <v>631.96</v>
      </c>
      <c r="G1342" s="11">
        <f>IFERROR(__xludf.DUMMYFUNCTION("""COMPUTED_VALUE"""),4.0)</f>
        <v>4</v>
      </c>
      <c r="H1342" s="11">
        <f>IFERROR(__xludf.DUMMYFUNCTION("""COMPUTED_VALUE"""),303.3408)</f>
        <v>303.3408</v>
      </c>
    </row>
    <row r="1343">
      <c r="A1343" s="8" t="str">
        <f>IFERROR(__xludf.DUMMYFUNCTION("""COMPUTED_VALUE"""),"CA-2015-141145")</f>
        <v>CA-2015-141145</v>
      </c>
      <c r="B1343" s="9">
        <f>IFERROR(__xludf.DUMMYFUNCTION("""COMPUTED_VALUE"""),42264.0)</f>
        <v>42264</v>
      </c>
      <c r="C1343" s="8" t="str">
        <f>IFERROR(__xludf.DUMMYFUNCTION("""COMPUTED_VALUE"""),"Denny Blanton")</f>
        <v>Denny Blanton</v>
      </c>
      <c r="D1343" s="8" t="str">
        <f>IFERROR(__xludf.DUMMYFUNCTION("""COMPUTED_VALUE"""),"Consumer")</f>
        <v>Consumer</v>
      </c>
      <c r="E1343" s="8" t="str">
        <f>IFERROR(__xludf.DUMMYFUNCTION("""COMPUTED_VALUE"""),"South")</f>
        <v>South</v>
      </c>
      <c r="F1343" s="10">
        <f>IFERROR(__xludf.DUMMYFUNCTION("""COMPUTED_VALUE"""),87.168)</f>
        <v>87.168</v>
      </c>
      <c r="G1343" s="11">
        <f>IFERROR(__xludf.DUMMYFUNCTION("""COMPUTED_VALUE"""),3.0)</f>
        <v>3</v>
      </c>
      <c r="H1343" s="11">
        <f>IFERROR(__xludf.DUMMYFUNCTION("""COMPUTED_VALUE"""),10.896)</f>
        <v>10.896</v>
      </c>
    </row>
    <row r="1344">
      <c r="A1344" s="8" t="str">
        <f>IFERROR(__xludf.DUMMYFUNCTION("""COMPUTED_VALUE"""),"CA-2015-141243")</f>
        <v>CA-2015-141243</v>
      </c>
      <c r="B1344" s="9">
        <f>IFERROR(__xludf.DUMMYFUNCTION("""COMPUTED_VALUE"""),42007.0)</f>
        <v>42007</v>
      </c>
      <c r="C1344" s="8" t="str">
        <f>IFERROR(__xludf.DUMMYFUNCTION("""COMPUTED_VALUE"""),"Amy Hunt")</f>
        <v>Amy Hunt</v>
      </c>
      <c r="D1344" s="8" t="str">
        <f>IFERROR(__xludf.DUMMYFUNCTION("""COMPUTED_VALUE"""),"Consumer")</f>
        <v>Consumer</v>
      </c>
      <c r="E1344" s="8" t="str">
        <f>IFERROR(__xludf.DUMMYFUNCTION("""COMPUTED_VALUE"""),"Central")</f>
        <v>Central</v>
      </c>
      <c r="F1344" s="10">
        <f>IFERROR(__xludf.DUMMYFUNCTION("""COMPUTED_VALUE"""),398.4)</f>
        <v>398.4</v>
      </c>
      <c r="G1344" s="11">
        <f>IFERROR(__xludf.DUMMYFUNCTION("""COMPUTED_VALUE"""),5.0)</f>
        <v>5</v>
      </c>
      <c r="H1344" s="11">
        <f>IFERROR(__xludf.DUMMYFUNCTION("""COMPUTED_VALUE"""),84.66)</f>
        <v>84.66</v>
      </c>
    </row>
    <row r="1345">
      <c r="A1345" s="8" t="str">
        <f>IFERROR(__xludf.DUMMYFUNCTION("""COMPUTED_VALUE"""),"CA-2015-141250")</f>
        <v>CA-2015-141250</v>
      </c>
      <c r="B1345" s="9">
        <f>IFERROR(__xludf.DUMMYFUNCTION("""COMPUTED_VALUE"""),42023.0)</f>
        <v>42023</v>
      </c>
      <c r="C1345" s="8" t="str">
        <f>IFERROR(__xludf.DUMMYFUNCTION("""COMPUTED_VALUE"""),"Paul MacIntyre")</f>
        <v>Paul MacIntyre</v>
      </c>
      <c r="D1345" s="8" t="str">
        <f>IFERROR(__xludf.DUMMYFUNCTION("""COMPUTED_VALUE"""),"Consumer")</f>
        <v>Consumer</v>
      </c>
      <c r="E1345" s="8" t="str">
        <f>IFERROR(__xludf.DUMMYFUNCTION("""COMPUTED_VALUE"""),"Central")</f>
        <v>Central</v>
      </c>
      <c r="F1345" s="10">
        <f>IFERROR(__xludf.DUMMYFUNCTION("""COMPUTED_VALUE"""),102.438)</f>
        <v>102.438</v>
      </c>
      <c r="G1345" s="11">
        <f>IFERROR(__xludf.DUMMYFUNCTION("""COMPUTED_VALUE"""),1.0)</f>
        <v>1</v>
      </c>
      <c r="H1345" s="11">
        <f>IFERROR(__xludf.DUMMYFUNCTION("""COMPUTED_VALUE"""),-13.1706)</f>
        <v>-13.1706</v>
      </c>
    </row>
    <row r="1346">
      <c r="A1346" s="8" t="str">
        <f>IFERROR(__xludf.DUMMYFUNCTION("""COMPUTED_VALUE"""),"CA-2015-141327")</f>
        <v>CA-2015-141327</v>
      </c>
      <c r="B1346" s="9">
        <f>IFERROR(__xludf.DUMMYFUNCTION("""COMPUTED_VALUE"""),42338.0)</f>
        <v>42338</v>
      </c>
      <c r="C1346" s="8" t="str">
        <f>IFERROR(__xludf.DUMMYFUNCTION("""COMPUTED_VALUE"""),"Lena Radford")</f>
        <v>Lena Radford</v>
      </c>
      <c r="D1346" s="8" t="str">
        <f>IFERROR(__xludf.DUMMYFUNCTION("""COMPUTED_VALUE"""),"Consumer")</f>
        <v>Consumer</v>
      </c>
      <c r="E1346" s="8" t="str">
        <f>IFERROR(__xludf.DUMMYFUNCTION("""COMPUTED_VALUE"""),"South")</f>
        <v>South</v>
      </c>
      <c r="F1346" s="10">
        <f>IFERROR(__xludf.DUMMYFUNCTION("""COMPUTED_VALUE"""),6.048)</f>
        <v>6.048</v>
      </c>
      <c r="G1346" s="11">
        <f>IFERROR(__xludf.DUMMYFUNCTION("""COMPUTED_VALUE"""),7.0)</f>
        <v>7</v>
      </c>
      <c r="H1346" s="11">
        <f>IFERROR(__xludf.DUMMYFUNCTION("""COMPUTED_VALUE"""),-4.2336)</f>
        <v>-4.2336</v>
      </c>
    </row>
    <row r="1347">
      <c r="A1347" s="8" t="str">
        <f>IFERROR(__xludf.DUMMYFUNCTION("""COMPUTED_VALUE"""),"CA-2015-141565")</f>
        <v>CA-2015-141565</v>
      </c>
      <c r="B1347" s="9">
        <f>IFERROR(__xludf.DUMMYFUNCTION("""COMPUTED_VALUE"""),42267.0)</f>
        <v>42267</v>
      </c>
      <c r="C1347" s="8" t="str">
        <f>IFERROR(__xludf.DUMMYFUNCTION("""COMPUTED_VALUE"""),"Barry Gonzalez")</f>
        <v>Barry Gonzalez</v>
      </c>
      <c r="D1347" s="8" t="str">
        <f>IFERROR(__xludf.DUMMYFUNCTION("""COMPUTED_VALUE"""),"Consumer")</f>
        <v>Consumer</v>
      </c>
      <c r="E1347" s="8" t="str">
        <f>IFERROR(__xludf.DUMMYFUNCTION("""COMPUTED_VALUE"""),"South")</f>
        <v>South</v>
      </c>
      <c r="F1347" s="10">
        <f>IFERROR(__xludf.DUMMYFUNCTION("""COMPUTED_VALUE"""),1369.764)</f>
        <v>1369.764</v>
      </c>
      <c r="G1347" s="11">
        <f>IFERROR(__xludf.DUMMYFUNCTION("""COMPUTED_VALUE"""),6.0)</f>
        <v>6</v>
      </c>
      <c r="H1347" s="11">
        <f>IFERROR(__xludf.DUMMYFUNCTION("""COMPUTED_VALUE"""),-913.176)</f>
        <v>-913.176</v>
      </c>
    </row>
    <row r="1348">
      <c r="A1348" s="8" t="str">
        <f>IFERROR(__xludf.DUMMYFUNCTION("""COMPUTED_VALUE"""),"CA-2015-141593")</f>
        <v>CA-2015-141593</v>
      </c>
      <c r="B1348" s="9">
        <f>IFERROR(__xludf.DUMMYFUNCTION("""COMPUTED_VALUE"""),42352.0)</f>
        <v>42352</v>
      </c>
      <c r="C1348" s="8" t="str">
        <f>IFERROR(__xludf.DUMMYFUNCTION("""COMPUTED_VALUE"""),"Darren Budd")</f>
        <v>Darren Budd</v>
      </c>
      <c r="D1348" s="8" t="str">
        <f>IFERROR(__xludf.DUMMYFUNCTION("""COMPUTED_VALUE"""),"Corporate")</f>
        <v>Corporate</v>
      </c>
      <c r="E1348" s="8" t="str">
        <f>IFERROR(__xludf.DUMMYFUNCTION("""COMPUTED_VALUE"""),"West")</f>
        <v>West</v>
      </c>
      <c r="F1348" s="10">
        <f>IFERROR(__xludf.DUMMYFUNCTION("""COMPUTED_VALUE"""),55.264)</f>
        <v>55.264</v>
      </c>
      <c r="G1348" s="11">
        <f>IFERROR(__xludf.DUMMYFUNCTION("""COMPUTED_VALUE"""),2.0)</f>
        <v>2</v>
      </c>
      <c r="H1348" s="11">
        <f>IFERROR(__xludf.DUMMYFUNCTION("""COMPUTED_VALUE"""),20.724)</f>
        <v>20.724</v>
      </c>
    </row>
    <row r="1349">
      <c r="A1349" s="8" t="str">
        <f>IFERROR(__xludf.DUMMYFUNCTION("""COMPUTED_VALUE"""),"CA-2015-141740")</f>
        <v>CA-2015-141740</v>
      </c>
      <c r="B1349" s="9">
        <f>IFERROR(__xludf.DUMMYFUNCTION("""COMPUTED_VALUE"""),42309.0)</f>
        <v>42309</v>
      </c>
      <c r="C1349" s="8" t="str">
        <f>IFERROR(__xludf.DUMMYFUNCTION("""COMPUTED_VALUE"""),"Jeremy Farry")</f>
        <v>Jeremy Farry</v>
      </c>
      <c r="D1349" s="8" t="str">
        <f>IFERROR(__xludf.DUMMYFUNCTION("""COMPUTED_VALUE"""),"Consumer")</f>
        <v>Consumer</v>
      </c>
      <c r="E1349" s="8" t="str">
        <f>IFERROR(__xludf.DUMMYFUNCTION("""COMPUTED_VALUE"""),"East")</f>
        <v>East</v>
      </c>
      <c r="F1349" s="10">
        <f>IFERROR(__xludf.DUMMYFUNCTION("""COMPUTED_VALUE"""),205.164)</f>
        <v>205.164</v>
      </c>
      <c r="G1349" s="11">
        <f>IFERROR(__xludf.DUMMYFUNCTION("""COMPUTED_VALUE"""),2.0)</f>
        <v>2</v>
      </c>
      <c r="H1349" s="11">
        <f>IFERROR(__xludf.DUMMYFUNCTION("""COMPUTED_VALUE"""),13.6776)</f>
        <v>13.6776</v>
      </c>
    </row>
    <row r="1350">
      <c r="A1350" s="8" t="str">
        <f>IFERROR(__xludf.DUMMYFUNCTION("""COMPUTED_VALUE"""),"CA-2015-141754")</f>
        <v>CA-2015-141754</v>
      </c>
      <c r="B1350" s="9">
        <f>IFERROR(__xludf.DUMMYFUNCTION("""COMPUTED_VALUE"""),42358.0)</f>
        <v>42358</v>
      </c>
      <c r="C1350" s="8" t="str">
        <f>IFERROR(__xludf.DUMMYFUNCTION("""COMPUTED_VALUE"""),"Evan Minnotte")</f>
        <v>Evan Minnotte</v>
      </c>
      <c r="D1350" s="8" t="str">
        <f>IFERROR(__xludf.DUMMYFUNCTION("""COMPUTED_VALUE"""),"Home Office")</f>
        <v>Home Office</v>
      </c>
      <c r="E1350" s="8" t="str">
        <f>IFERROR(__xludf.DUMMYFUNCTION("""COMPUTED_VALUE"""),"South")</f>
        <v>South</v>
      </c>
      <c r="F1350" s="10">
        <f>IFERROR(__xludf.DUMMYFUNCTION("""COMPUTED_VALUE"""),11.696)</f>
        <v>11.696</v>
      </c>
      <c r="G1350" s="11">
        <f>IFERROR(__xludf.DUMMYFUNCTION("""COMPUTED_VALUE"""),2.0)</f>
        <v>2</v>
      </c>
      <c r="H1350" s="11">
        <f>IFERROR(__xludf.DUMMYFUNCTION("""COMPUTED_VALUE"""),3.9474)</f>
        <v>3.9474</v>
      </c>
    </row>
    <row r="1351">
      <c r="A1351" s="8" t="str">
        <f>IFERROR(__xludf.DUMMYFUNCTION("""COMPUTED_VALUE"""),"CA-2015-141768")</f>
        <v>CA-2015-141768</v>
      </c>
      <c r="B1351" s="9">
        <f>IFERROR(__xludf.DUMMYFUNCTION("""COMPUTED_VALUE"""),42149.0)</f>
        <v>42149</v>
      </c>
      <c r="C1351" s="8" t="str">
        <f>IFERROR(__xludf.DUMMYFUNCTION("""COMPUTED_VALUE"""),"Nora Pelletier")</f>
        <v>Nora Pelletier</v>
      </c>
      <c r="D1351" s="8" t="str">
        <f>IFERROR(__xludf.DUMMYFUNCTION("""COMPUTED_VALUE"""),"Home Office")</f>
        <v>Home Office</v>
      </c>
      <c r="E1351" s="8" t="str">
        <f>IFERROR(__xludf.DUMMYFUNCTION("""COMPUTED_VALUE"""),"West")</f>
        <v>West</v>
      </c>
      <c r="F1351" s="10">
        <f>IFERROR(__xludf.DUMMYFUNCTION("""COMPUTED_VALUE"""),14.73)</f>
        <v>14.73</v>
      </c>
      <c r="G1351" s="11">
        <f>IFERROR(__xludf.DUMMYFUNCTION("""COMPUTED_VALUE"""),3.0)</f>
        <v>3</v>
      </c>
      <c r="H1351" s="11">
        <f>IFERROR(__xludf.DUMMYFUNCTION("""COMPUTED_VALUE"""),4.8609)</f>
        <v>4.8609</v>
      </c>
    </row>
    <row r="1352">
      <c r="A1352" s="8" t="str">
        <f>IFERROR(__xludf.DUMMYFUNCTION("""COMPUTED_VALUE"""),"CA-2015-141810")</f>
        <v>CA-2015-141810</v>
      </c>
      <c r="B1352" s="9">
        <f>IFERROR(__xludf.DUMMYFUNCTION("""COMPUTED_VALUE"""),42310.0)</f>
        <v>42310</v>
      </c>
      <c r="C1352" s="8" t="str">
        <f>IFERROR(__xludf.DUMMYFUNCTION("""COMPUTED_VALUE"""),"Barry Blumstein")</f>
        <v>Barry Blumstein</v>
      </c>
      <c r="D1352" s="8" t="str">
        <f>IFERROR(__xludf.DUMMYFUNCTION("""COMPUTED_VALUE"""),"Corporate")</f>
        <v>Corporate</v>
      </c>
      <c r="E1352" s="8" t="str">
        <f>IFERROR(__xludf.DUMMYFUNCTION("""COMPUTED_VALUE"""),"Central")</f>
        <v>Central</v>
      </c>
      <c r="F1352" s="10">
        <f>IFERROR(__xludf.DUMMYFUNCTION("""COMPUTED_VALUE"""),29.372)</f>
        <v>29.372</v>
      </c>
      <c r="G1352" s="11">
        <f>IFERROR(__xludf.DUMMYFUNCTION("""COMPUTED_VALUE"""),7.0)</f>
        <v>7</v>
      </c>
      <c r="H1352" s="11">
        <f>IFERROR(__xludf.DUMMYFUNCTION("""COMPUTED_VALUE"""),-46.9952)</f>
        <v>-46.9952</v>
      </c>
    </row>
    <row r="1353">
      <c r="A1353" s="8" t="str">
        <f>IFERROR(__xludf.DUMMYFUNCTION("""COMPUTED_VALUE"""),"CA-2015-141936")</f>
        <v>CA-2015-141936</v>
      </c>
      <c r="B1353" s="9">
        <f>IFERROR(__xludf.DUMMYFUNCTION("""COMPUTED_VALUE"""),42223.0)</f>
        <v>42223</v>
      </c>
      <c r="C1353" s="8" t="str">
        <f>IFERROR(__xludf.DUMMYFUNCTION("""COMPUTED_VALUE"""),"Parhena Norris")</f>
        <v>Parhena Norris</v>
      </c>
      <c r="D1353" s="8" t="str">
        <f>IFERROR(__xludf.DUMMYFUNCTION("""COMPUTED_VALUE"""),"Home Office")</f>
        <v>Home Office</v>
      </c>
      <c r="E1353" s="8" t="str">
        <f>IFERROR(__xludf.DUMMYFUNCTION("""COMPUTED_VALUE"""),"West")</f>
        <v>West</v>
      </c>
      <c r="F1353" s="10">
        <f>IFERROR(__xludf.DUMMYFUNCTION("""COMPUTED_VALUE"""),19.152)</f>
        <v>19.152</v>
      </c>
      <c r="G1353" s="11">
        <f>IFERROR(__xludf.DUMMYFUNCTION("""COMPUTED_VALUE"""),3.0)</f>
        <v>3</v>
      </c>
      <c r="H1353" s="11">
        <f>IFERROR(__xludf.DUMMYFUNCTION("""COMPUTED_VALUE"""),6.4638)</f>
        <v>6.4638</v>
      </c>
    </row>
    <row r="1354">
      <c r="A1354" s="8" t="str">
        <f>IFERROR(__xludf.DUMMYFUNCTION("""COMPUTED_VALUE"""),"CA-2015-142027")</f>
        <v>CA-2015-142027</v>
      </c>
      <c r="B1354" s="9">
        <f>IFERROR(__xludf.DUMMYFUNCTION("""COMPUTED_VALUE"""),42103.0)</f>
        <v>42103</v>
      </c>
      <c r="C1354" s="8" t="str">
        <f>IFERROR(__xludf.DUMMYFUNCTION("""COMPUTED_VALUE"""),"Jay Kimmel")</f>
        <v>Jay Kimmel</v>
      </c>
      <c r="D1354" s="8" t="str">
        <f>IFERROR(__xludf.DUMMYFUNCTION("""COMPUTED_VALUE"""),"Consumer")</f>
        <v>Consumer</v>
      </c>
      <c r="E1354" s="8" t="str">
        <f>IFERROR(__xludf.DUMMYFUNCTION("""COMPUTED_VALUE"""),"West")</f>
        <v>West</v>
      </c>
      <c r="F1354" s="10">
        <f>IFERROR(__xludf.DUMMYFUNCTION("""COMPUTED_VALUE"""),369.912)</f>
        <v>369.912</v>
      </c>
      <c r="G1354" s="11">
        <f>IFERROR(__xludf.DUMMYFUNCTION("""COMPUTED_VALUE"""),3.0)</f>
        <v>3</v>
      </c>
      <c r="H1354" s="11">
        <f>IFERROR(__xludf.DUMMYFUNCTION("""COMPUTED_VALUE"""),-13.8717)</f>
        <v>-13.8717</v>
      </c>
    </row>
    <row r="1355">
      <c r="A1355" s="8" t="str">
        <f>IFERROR(__xludf.DUMMYFUNCTION("""COMPUTED_VALUE"""),"CA-2015-142041")</f>
        <v>CA-2015-142041</v>
      </c>
      <c r="B1355" s="9">
        <f>IFERROR(__xludf.DUMMYFUNCTION("""COMPUTED_VALUE"""),42162.0)</f>
        <v>42162</v>
      </c>
      <c r="C1355" s="8" t="str">
        <f>IFERROR(__xludf.DUMMYFUNCTION("""COMPUTED_VALUE"""),"Eleni McCrary")</f>
        <v>Eleni McCrary</v>
      </c>
      <c r="D1355" s="8" t="str">
        <f>IFERROR(__xludf.DUMMYFUNCTION("""COMPUTED_VALUE"""),"Corporate")</f>
        <v>Corporate</v>
      </c>
      <c r="E1355" s="8" t="str">
        <f>IFERROR(__xludf.DUMMYFUNCTION("""COMPUTED_VALUE"""),"West")</f>
        <v>West</v>
      </c>
      <c r="F1355" s="10">
        <f>IFERROR(__xludf.DUMMYFUNCTION("""COMPUTED_VALUE"""),7.52)</f>
        <v>7.52</v>
      </c>
      <c r="G1355" s="11">
        <f>IFERROR(__xludf.DUMMYFUNCTION("""COMPUTED_VALUE"""),5.0)</f>
        <v>5</v>
      </c>
      <c r="H1355" s="11">
        <f>IFERROR(__xludf.DUMMYFUNCTION("""COMPUTED_VALUE"""),2.632)</f>
        <v>2.632</v>
      </c>
    </row>
    <row r="1356">
      <c r="A1356" s="8" t="str">
        <f>IFERROR(__xludf.DUMMYFUNCTION("""COMPUTED_VALUE"""),"CA-2015-142055")</f>
        <v>CA-2015-142055</v>
      </c>
      <c r="B1356" s="9">
        <f>IFERROR(__xludf.DUMMYFUNCTION("""COMPUTED_VALUE"""),42132.0)</f>
        <v>42132</v>
      </c>
      <c r="C1356" s="8" t="str">
        <f>IFERROR(__xludf.DUMMYFUNCTION("""COMPUTED_VALUE"""),"Alejandro Ballentine")</f>
        <v>Alejandro Ballentine</v>
      </c>
      <c r="D1356" s="8" t="str">
        <f>IFERROR(__xludf.DUMMYFUNCTION("""COMPUTED_VALUE"""),"Home Office")</f>
        <v>Home Office</v>
      </c>
      <c r="E1356" s="8" t="str">
        <f>IFERROR(__xludf.DUMMYFUNCTION("""COMPUTED_VALUE"""),"East")</f>
        <v>East</v>
      </c>
      <c r="F1356" s="10">
        <f>IFERROR(__xludf.DUMMYFUNCTION("""COMPUTED_VALUE"""),37.94)</f>
        <v>37.94</v>
      </c>
      <c r="G1356" s="11">
        <f>IFERROR(__xludf.DUMMYFUNCTION("""COMPUTED_VALUE"""),2.0)</f>
        <v>2</v>
      </c>
      <c r="H1356" s="11">
        <f>IFERROR(__xludf.DUMMYFUNCTION("""COMPUTED_VALUE"""),18.2112)</f>
        <v>18.2112</v>
      </c>
    </row>
    <row r="1357">
      <c r="A1357" s="8" t="str">
        <f>IFERROR(__xludf.DUMMYFUNCTION("""COMPUTED_VALUE"""),"CA-2015-142139")</f>
        <v>CA-2015-142139</v>
      </c>
      <c r="B1357" s="9">
        <f>IFERROR(__xludf.DUMMYFUNCTION("""COMPUTED_VALUE"""),42247.0)</f>
        <v>42247</v>
      </c>
      <c r="C1357" s="8" t="str">
        <f>IFERROR(__xludf.DUMMYFUNCTION("""COMPUTED_VALUE"""),"Shirley Daniels")</f>
        <v>Shirley Daniels</v>
      </c>
      <c r="D1357" s="8" t="str">
        <f>IFERROR(__xludf.DUMMYFUNCTION("""COMPUTED_VALUE"""),"Home Office")</f>
        <v>Home Office</v>
      </c>
      <c r="E1357" s="8" t="str">
        <f>IFERROR(__xludf.DUMMYFUNCTION("""COMPUTED_VALUE"""),"Central")</f>
        <v>Central</v>
      </c>
      <c r="F1357" s="10">
        <f>IFERROR(__xludf.DUMMYFUNCTION("""COMPUTED_VALUE"""),20.96)</f>
        <v>20.96</v>
      </c>
      <c r="G1357" s="11">
        <f>IFERROR(__xludf.DUMMYFUNCTION("""COMPUTED_VALUE"""),4.0)</f>
        <v>4</v>
      </c>
      <c r="H1357" s="11">
        <f>IFERROR(__xludf.DUMMYFUNCTION("""COMPUTED_VALUE"""),6.812)</f>
        <v>6.812</v>
      </c>
    </row>
    <row r="1358">
      <c r="A1358" s="8" t="str">
        <f>IFERROR(__xludf.DUMMYFUNCTION("""COMPUTED_VALUE"""),"CA-2015-142202")</f>
        <v>CA-2015-142202</v>
      </c>
      <c r="B1358" s="9">
        <f>IFERROR(__xludf.DUMMYFUNCTION("""COMPUTED_VALUE"""),42265.0)</f>
        <v>42265</v>
      </c>
      <c r="C1358" s="8" t="str">
        <f>IFERROR(__xludf.DUMMYFUNCTION("""COMPUTED_VALUE"""),"Justin Ritter")</f>
        <v>Justin Ritter</v>
      </c>
      <c r="D1358" s="8" t="str">
        <f>IFERROR(__xludf.DUMMYFUNCTION("""COMPUTED_VALUE"""),"Corporate")</f>
        <v>Corporate</v>
      </c>
      <c r="E1358" s="8" t="str">
        <f>IFERROR(__xludf.DUMMYFUNCTION("""COMPUTED_VALUE"""),"South")</f>
        <v>South</v>
      </c>
      <c r="F1358" s="10">
        <f>IFERROR(__xludf.DUMMYFUNCTION("""COMPUTED_VALUE"""),717.12)</f>
        <v>717.12</v>
      </c>
      <c r="G1358" s="11">
        <f>IFERROR(__xludf.DUMMYFUNCTION("""COMPUTED_VALUE"""),9.0)</f>
        <v>9</v>
      </c>
      <c r="H1358" s="11">
        <f>IFERROR(__xludf.DUMMYFUNCTION("""COMPUTED_VALUE"""),152.388)</f>
        <v>152.388</v>
      </c>
    </row>
    <row r="1359">
      <c r="A1359" s="8" t="str">
        <f>IFERROR(__xludf.DUMMYFUNCTION("""COMPUTED_VALUE"""),"CA-2015-142237")</f>
        <v>CA-2015-142237</v>
      </c>
      <c r="B1359" s="9">
        <f>IFERROR(__xludf.DUMMYFUNCTION("""COMPUTED_VALUE"""),42196.0)</f>
        <v>42196</v>
      </c>
      <c r="C1359" s="8" t="str">
        <f>IFERROR(__xludf.DUMMYFUNCTION("""COMPUTED_VALUE"""),"Clytie Kelty")</f>
        <v>Clytie Kelty</v>
      </c>
      <c r="D1359" s="8" t="str">
        <f>IFERROR(__xludf.DUMMYFUNCTION("""COMPUTED_VALUE"""),"Consumer")</f>
        <v>Consumer</v>
      </c>
      <c r="E1359" s="8" t="str">
        <f>IFERROR(__xludf.DUMMYFUNCTION("""COMPUTED_VALUE"""),"East")</f>
        <v>East</v>
      </c>
      <c r="F1359" s="10">
        <f>IFERROR(__xludf.DUMMYFUNCTION("""COMPUTED_VALUE"""),289.8)</f>
        <v>289.8</v>
      </c>
      <c r="G1359" s="11">
        <f>IFERROR(__xludf.DUMMYFUNCTION("""COMPUTED_VALUE"""),7.0)</f>
        <v>7</v>
      </c>
      <c r="H1359" s="11">
        <f>IFERROR(__xludf.DUMMYFUNCTION("""COMPUTED_VALUE"""),36.225)</f>
        <v>36.225</v>
      </c>
    </row>
    <row r="1360">
      <c r="A1360" s="8" t="str">
        <f>IFERROR(__xludf.DUMMYFUNCTION("""COMPUTED_VALUE"""),"CA-2015-142377")</f>
        <v>CA-2015-142377</v>
      </c>
      <c r="B1360" s="9">
        <f>IFERROR(__xludf.DUMMYFUNCTION("""COMPUTED_VALUE"""),42342.0)</f>
        <v>42342</v>
      </c>
      <c r="C1360" s="8" t="str">
        <f>IFERROR(__xludf.DUMMYFUNCTION("""COMPUTED_VALUE"""),"Michael Stewart")</f>
        <v>Michael Stewart</v>
      </c>
      <c r="D1360" s="8" t="str">
        <f>IFERROR(__xludf.DUMMYFUNCTION("""COMPUTED_VALUE"""),"Corporate")</f>
        <v>Corporate</v>
      </c>
      <c r="E1360" s="8" t="str">
        <f>IFERROR(__xludf.DUMMYFUNCTION("""COMPUTED_VALUE"""),"Central")</f>
        <v>Central</v>
      </c>
      <c r="F1360" s="10">
        <f>IFERROR(__xludf.DUMMYFUNCTION("""COMPUTED_VALUE"""),85.96)</f>
        <v>85.96</v>
      </c>
      <c r="G1360" s="11">
        <f>IFERROR(__xludf.DUMMYFUNCTION("""COMPUTED_VALUE"""),7.0)</f>
        <v>7</v>
      </c>
      <c r="H1360" s="11">
        <f>IFERROR(__xludf.DUMMYFUNCTION("""COMPUTED_VALUE"""),40.4012)</f>
        <v>40.4012</v>
      </c>
    </row>
    <row r="1361">
      <c r="A1361" s="8" t="str">
        <f>IFERROR(__xludf.DUMMYFUNCTION("""COMPUTED_VALUE"""),"CA-2015-142419")</f>
        <v>CA-2015-142419</v>
      </c>
      <c r="B1361" s="9">
        <f>IFERROR(__xludf.DUMMYFUNCTION("""COMPUTED_VALUE"""),42196.0)</f>
        <v>42196</v>
      </c>
      <c r="C1361" s="8" t="str">
        <f>IFERROR(__xludf.DUMMYFUNCTION("""COMPUTED_VALUE"""),"Shahid Collister")</f>
        <v>Shahid Collister</v>
      </c>
      <c r="D1361" s="8" t="str">
        <f>IFERROR(__xludf.DUMMYFUNCTION("""COMPUTED_VALUE"""),"Consumer")</f>
        <v>Consumer</v>
      </c>
      <c r="E1361" s="8" t="str">
        <f>IFERROR(__xludf.DUMMYFUNCTION("""COMPUTED_VALUE"""),"West")</f>
        <v>West</v>
      </c>
      <c r="F1361" s="10">
        <f>IFERROR(__xludf.DUMMYFUNCTION("""COMPUTED_VALUE"""),29.97)</f>
        <v>29.97</v>
      </c>
      <c r="G1361" s="11">
        <f>IFERROR(__xludf.DUMMYFUNCTION("""COMPUTED_VALUE"""),3.0)</f>
        <v>3</v>
      </c>
      <c r="H1361" s="11">
        <f>IFERROR(__xludf.DUMMYFUNCTION("""COMPUTED_VALUE"""),13.4865)</f>
        <v>13.4865</v>
      </c>
    </row>
    <row r="1362">
      <c r="A1362" s="8" t="str">
        <f>IFERROR(__xludf.DUMMYFUNCTION("""COMPUTED_VALUE"""),"CA-2015-142433")</f>
        <v>CA-2015-142433</v>
      </c>
      <c r="B1362" s="9">
        <f>IFERROR(__xludf.DUMMYFUNCTION("""COMPUTED_VALUE"""),42114.0)</f>
        <v>42114</v>
      </c>
      <c r="C1362" s="8" t="str">
        <f>IFERROR(__xludf.DUMMYFUNCTION("""COMPUTED_VALUE"""),"Erica Smith")</f>
        <v>Erica Smith</v>
      </c>
      <c r="D1362" s="8" t="str">
        <f>IFERROR(__xludf.DUMMYFUNCTION("""COMPUTED_VALUE"""),"Consumer")</f>
        <v>Consumer</v>
      </c>
      <c r="E1362" s="8" t="str">
        <f>IFERROR(__xludf.DUMMYFUNCTION("""COMPUTED_VALUE"""),"Central")</f>
        <v>Central</v>
      </c>
      <c r="F1362" s="10">
        <f>IFERROR(__xludf.DUMMYFUNCTION("""COMPUTED_VALUE"""),117.456)</f>
        <v>117.456</v>
      </c>
      <c r="G1362" s="11">
        <f>IFERROR(__xludf.DUMMYFUNCTION("""COMPUTED_VALUE"""),3.0)</f>
        <v>3</v>
      </c>
      <c r="H1362" s="11">
        <f>IFERROR(__xludf.DUMMYFUNCTION("""COMPUTED_VALUE"""),44.046)</f>
        <v>44.046</v>
      </c>
    </row>
    <row r="1363">
      <c r="A1363" s="8" t="str">
        <f>IFERROR(__xludf.DUMMYFUNCTION("""COMPUTED_VALUE"""),"CA-2015-142454")</f>
        <v>CA-2015-142454</v>
      </c>
      <c r="B1363" s="9">
        <f>IFERROR(__xludf.DUMMYFUNCTION("""COMPUTED_VALUE"""),42231.0)</f>
        <v>42231</v>
      </c>
      <c r="C1363" s="8" t="str">
        <f>IFERROR(__xludf.DUMMYFUNCTION("""COMPUTED_VALUE"""),"Richard Eichhorn")</f>
        <v>Richard Eichhorn</v>
      </c>
      <c r="D1363" s="8" t="str">
        <f>IFERROR(__xludf.DUMMYFUNCTION("""COMPUTED_VALUE"""),"Consumer")</f>
        <v>Consumer</v>
      </c>
      <c r="E1363" s="8" t="str">
        <f>IFERROR(__xludf.DUMMYFUNCTION("""COMPUTED_VALUE"""),"West")</f>
        <v>West</v>
      </c>
      <c r="F1363" s="10">
        <f>IFERROR(__xludf.DUMMYFUNCTION("""COMPUTED_VALUE"""),104.23)</f>
        <v>104.23</v>
      </c>
      <c r="G1363" s="11">
        <f>IFERROR(__xludf.DUMMYFUNCTION("""COMPUTED_VALUE"""),7.0)</f>
        <v>7</v>
      </c>
      <c r="H1363" s="11">
        <f>IFERROR(__xludf.DUMMYFUNCTION("""COMPUTED_VALUE"""),28.1421)</f>
        <v>28.1421</v>
      </c>
    </row>
    <row r="1364">
      <c r="A1364" s="8" t="str">
        <f>IFERROR(__xludf.DUMMYFUNCTION("""COMPUTED_VALUE"""),"CA-2015-142475")</f>
        <v>CA-2015-142475</v>
      </c>
      <c r="B1364" s="9">
        <f>IFERROR(__xludf.DUMMYFUNCTION("""COMPUTED_VALUE"""),42341.0)</f>
        <v>42341</v>
      </c>
      <c r="C1364" s="8" t="str">
        <f>IFERROR(__xludf.DUMMYFUNCTION("""COMPUTED_VALUE"""),"Bill Stewart")</f>
        <v>Bill Stewart</v>
      </c>
      <c r="D1364" s="8" t="str">
        <f>IFERROR(__xludf.DUMMYFUNCTION("""COMPUTED_VALUE"""),"Corporate")</f>
        <v>Corporate</v>
      </c>
      <c r="E1364" s="8" t="str">
        <f>IFERROR(__xludf.DUMMYFUNCTION("""COMPUTED_VALUE"""),"East")</f>
        <v>East</v>
      </c>
      <c r="F1364" s="10">
        <f>IFERROR(__xludf.DUMMYFUNCTION("""COMPUTED_VALUE"""),590.352)</f>
        <v>590.352</v>
      </c>
      <c r="G1364" s="11">
        <f>IFERROR(__xludf.DUMMYFUNCTION("""COMPUTED_VALUE"""),6.0)</f>
        <v>6</v>
      </c>
      <c r="H1364" s="11">
        <f>IFERROR(__xludf.DUMMYFUNCTION("""COMPUTED_VALUE"""),206.6232)</f>
        <v>206.6232</v>
      </c>
    </row>
    <row r="1365">
      <c r="A1365" s="8" t="str">
        <f>IFERROR(__xludf.DUMMYFUNCTION("""COMPUTED_VALUE"""),"CA-2015-142601")</f>
        <v>CA-2015-142601</v>
      </c>
      <c r="B1365" s="9">
        <f>IFERROR(__xludf.DUMMYFUNCTION("""COMPUTED_VALUE"""),42112.0)</f>
        <v>42112</v>
      </c>
      <c r="C1365" s="8" t="str">
        <f>IFERROR(__xludf.DUMMYFUNCTION("""COMPUTED_VALUE"""),"Deanra Eno")</f>
        <v>Deanra Eno</v>
      </c>
      <c r="D1365" s="8" t="str">
        <f>IFERROR(__xludf.DUMMYFUNCTION("""COMPUTED_VALUE"""),"Home Office")</f>
        <v>Home Office</v>
      </c>
      <c r="E1365" s="8" t="str">
        <f>IFERROR(__xludf.DUMMYFUNCTION("""COMPUTED_VALUE"""),"West")</f>
        <v>West</v>
      </c>
      <c r="F1365" s="10">
        <f>IFERROR(__xludf.DUMMYFUNCTION("""COMPUTED_VALUE"""),947.17)</f>
        <v>947.17</v>
      </c>
      <c r="G1365" s="11">
        <f>IFERROR(__xludf.DUMMYFUNCTION("""COMPUTED_VALUE"""),7.0)</f>
        <v>7</v>
      </c>
      <c r="H1365" s="11">
        <f>IFERROR(__xludf.DUMMYFUNCTION("""COMPUTED_VALUE"""),9.4717)</f>
        <v>9.4717</v>
      </c>
    </row>
    <row r="1366">
      <c r="A1366" s="8" t="str">
        <f>IFERROR(__xludf.DUMMYFUNCTION("""COMPUTED_VALUE"""),"CA-2015-142692")</f>
        <v>CA-2015-142692</v>
      </c>
      <c r="B1366" s="9">
        <f>IFERROR(__xludf.DUMMYFUNCTION("""COMPUTED_VALUE"""),42300.0)</f>
        <v>42300</v>
      </c>
      <c r="C1366" s="8" t="str">
        <f>IFERROR(__xludf.DUMMYFUNCTION("""COMPUTED_VALUE"""),"Andrew Gjertsen")</f>
        <v>Andrew Gjertsen</v>
      </c>
      <c r="D1366" s="8" t="str">
        <f>IFERROR(__xludf.DUMMYFUNCTION("""COMPUTED_VALUE"""),"Corporate")</f>
        <v>Corporate</v>
      </c>
      <c r="E1366" s="8" t="str">
        <f>IFERROR(__xludf.DUMMYFUNCTION("""COMPUTED_VALUE"""),"West")</f>
        <v>West</v>
      </c>
      <c r="F1366" s="10">
        <f>IFERROR(__xludf.DUMMYFUNCTION("""COMPUTED_VALUE"""),3.592)</f>
        <v>3.592</v>
      </c>
      <c r="G1366" s="11">
        <f>IFERROR(__xludf.DUMMYFUNCTION("""COMPUTED_VALUE"""),1.0)</f>
        <v>1</v>
      </c>
      <c r="H1366" s="11">
        <f>IFERROR(__xludf.DUMMYFUNCTION("""COMPUTED_VALUE"""),1.1225)</f>
        <v>1.1225</v>
      </c>
    </row>
    <row r="1367">
      <c r="A1367" s="8" t="str">
        <f>IFERROR(__xludf.DUMMYFUNCTION("""COMPUTED_VALUE"""),"CA-2015-142734")</f>
        <v>CA-2015-142734</v>
      </c>
      <c r="B1367" s="9">
        <f>IFERROR(__xludf.DUMMYFUNCTION("""COMPUTED_VALUE"""),42110.0)</f>
        <v>42110</v>
      </c>
      <c r="C1367" s="8" t="str">
        <f>IFERROR(__xludf.DUMMYFUNCTION("""COMPUTED_VALUE"""),"Denise Monton")</f>
        <v>Denise Monton</v>
      </c>
      <c r="D1367" s="8" t="str">
        <f>IFERROR(__xludf.DUMMYFUNCTION("""COMPUTED_VALUE"""),"Corporate")</f>
        <v>Corporate</v>
      </c>
      <c r="E1367" s="8" t="str">
        <f>IFERROR(__xludf.DUMMYFUNCTION("""COMPUTED_VALUE"""),"East")</f>
        <v>East</v>
      </c>
      <c r="F1367" s="10">
        <f>IFERROR(__xludf.DUMMYFUNCTION("""COMPUTED_VALUE"""),127.764)</f>
        <v>127.764</v>
      </c>
      <c r="G1367" s="11">
        <f>IFERROR(__xludf.DUMMYFUNCTION("""COMPUTED_VALUE"""),2.0)</f>
        <v>2</v>
      </c>
      <c r="H1367" s="11">
        <f>IFERROR(__xludf.DUMMYFUNCTION("""COMPUTED_VALUE"""),2.8392)</f>
        <v>2.8392</v>
      </c>
    </row>
    <row r="1368">
      <c r="A1368" s="8" t="str">
        <f>IFERROR(__xludf.DUMMYFUNCTION("""COMPUTED_VALUE"""),"CA-2015-142755")</f>
        <v>CA-2015-142755</v>
      </c>
      <c r="B1368" s="9">
        <f>IFERROR(__xludf.DUMMYFUNCTION("""COMPUTED_VALUE"""),42251.0)</f>
        <v>42251</v>
      </c>
      <c r="C1368" s="8" t="str">
        <f>IFERROR(__xludf.DUMMYFUNCTION("""COMPUTED_VALUE"""),"Christine Sundaresam")</f>
        <v>Christine Sundaresam</v>
      </c>
      <c r="D1368" s="8" t="str">
        <f>IFERROR(__xludf.DUMMYFUNCTION("""COMPUTED_VALUE"""),"Consumer")</f>
        <v>Consumer</v>
      </c>
      <c r="E1368" s="8" t="str">
        <f>IFERROR(__xludf.DUMMYFUNCTION("""COMPUTED_VALUE"""),"South")</f>
        <v>South</v>
      </c>
      <c r="F1368" s="10">
        <f>IFERROR(__xludf.DUMMYFUNCTION("""COMPUTED_VALUE"""),279.9)</f>
        <v>279.9</v>
      </c>
      <c r="G1368" s="11">
        <f>IFERROR(__xludf.DUMMYFUNCTION("""COMPUTED_VALUE"""),5.0)</f>
        <v>5</v>
      </c>
      <c r="H1368" s="11">
        <f>IFERROR(__xludf.DUMMYFUNCTION("""COMPUTED_VALUE"""),137.151)</f>
        <v>137.151</v>
      </c>
    </row>
    <row r="1369">
      <c r="A1369" s="8" t="str">
        <f>IFERROR(__xludf.DUMMYFUNCTION("""COMPUTED_VALUE"""),"CA-2015-142930")</f>
        <v>CA-2015-142930</v>
      </c>
      <c r="B1369" s="9">
        <f>IFERROR(__xludf.DUMMYFUNCTION("""COMPUTED_VALUE"""),42336.0)</f>
        <v>42336</v>
      </c>
      <c r="C1369" s="8" t="str">
        <f>IFERROR(__xludf.DUMMYFUNCTION("""COMPUTED_VALUE"""),"Evan Bailliet")</f>
        <v>Evan Bailliet</v>
      </c>
      <c r="D1369" s="8" t="str">
        <f>IFERROR(__xludf.DUMMYFUNCTION("""COMPUTED_VALUE"""),"Consumer")</f>
        <v>Consumer</v>
      </c>
      <c r="E1369" s="8" t="str">
        <f>IFERROR(__xludf.DUMMYFUNCTION("""COMPUTED_VALUE"""),"Central")</f>
        <v>Central</v>
      </c>
      <c r="F1369" s="10">
        <f>IFERROR(__xludf.DUMMYFUNCTION("""COMPUTED_VALUE"""),335.52)</f>
        <v>335.52</v>
      </c>
      <c r="G1369" s="11">
        <f>IFERROR(__xludf.DUMMYFUNCTION("""COMPUTED_VALUE"""),4.0)</f>
        <v>4</v>
      </c>
      <c r="H1369" s="11">
        <f>IFERROR(__xludf.DUMMYFUNCTION("""COMPUTED_VALUE"""),117.432)</f>
        <v>117.432</v>
      </c>
    </row>
    <row r="1370">
      <c r="A1370" s="8" t="str">
        <f>IFERROR(__xludf.DUMMYFUNCTION("""COMPUTED_VALUE"""),"CA-2015-142937")</f>
        <v>CA-2015-142937</v>
      </c>
      <c r="B1370" s="9">
        <f>IFERROR(__xludf.DUMMYFUNCTION("""COMPUTED_VALUE"""),42343.0)</f>
        <v>42343</v>
      </c>
      <c r="C1370" s="8" t="str">
        <f>IFERROR(__xludf.DUMMYFUNCTION("""COMPUTED_VALUE"""),"Sandra Flanagan")</f>
        <v>Sandra Flanagan</v>
      </c>
      <c r="D1370" s="8" t="str">
        <f>IFERROR(__xludf.DUMMYFUNCTION("""COMPUTED_VALUE"""),"Consumer")</f>
        <v>Consumer</v>
      </c>
      <c r="E1370" s="8" t="str">
        <f>IFERROR(__xludf.DUMMYFUNCTION("""COMPUTED_VALUE"""),"Central")</f>
        <v>Central</v>
      </c>
      <c r="F1370" s="10">
        <f>IFERROR(__xludf.DUMMYFUNCTION("""COMPUTED_VALUE"""),45.04)</f>
        <v>45.04</v>
      </c>
      <c r="G1370" s="11">
        <f>IFERROR(__xludf.DUMMYFUNCTION("""COMPUTED_VALUE"""),2.0)</f>
        <v>2</v>
      </c>
      <c r="H1370" s="11">
        <f>IFERROR(__xludf.DUMMYFUNCTION("""COMPUTED_VALUE"""),4.504)</f>
        <v>4.504</v>
      </c>
    </row>
    <row r="1371">
      <c r="A1371" s="8" t="str">
        <f>IFERROR(__xludf.DUMMYFUNCTION("""COMPUTED_VALUE"""),"CA-2015-142944")</f>
        <v>CA-2015-142944</v>
      </c>
      <c r="B1371" s="9">
        <f>IFERROR(__xludf.DUMMYFUNCTION("""COMPUTED_VALUE"""),42069.0)</f>
        <v>42069</v>
      </c>
      <c r="C1371" s="8" t="str">
        <f>IFERROR(__xludf.DUMMYFUNCTION("""COMPUTED_VALUE"""),"John Lucas")</f>
        <v>John Lucas</v>
      </c>
      <c r="D1371" s="8" t="str">
        <f>IFERROR(__xludf.DUMMYFUNCTION("""COMPUTED_VALUE"""),"Consumer")</f>
        <v>Consumer</v>
      </c>
      <c r="E1371" s="8" t="str">
        <f>IFERROR(__xludf.DUMMYFUNCTION("""COMPUTED_VALUE"""),"West")</f>
        <v>West</v>
      </c>
      <c r="F1371" s="10">
        <f>IFERROR(__xludf.DUMMYFUNCTION("""COMPUTED_VALUE"""),435.26)</f>
        <v>435.26</v>
      </c>
      <c r="G1371" s="11">
        <f>IFERROR(__xludf.DUMMYFUNCTION("""COMPUTED_VALUE"""),7.0)</f>
        <v>7</v>
      </c>
      <c r="H1371" s="11">
        <f>IFERROR(__xludf.DUMMYFUNCTION("""COMPUTED_VALUE"""),95.7572)</f>
        <v>95.7572</v>
      </c>
    </row>
    <row r="1372">
      <c r="A1372" s="8" t="str">
        <f>IFERROR(__xludf.DUMMYFUNCTION("""COMPUTED_VALUE"""),"CA-2015-142993")</f>
        <v>CA-2015-142993</v>
      </c>
      <c r="B1372" s="9">
        <f>IFERROR(__xludf.DUMMYFUNCTION("""COMPUTED_VALUE"""),42289.0)</f>
        <v>42289</v>
      </c>
      <c r="C1372" s="8" t="str">
        <f>IFERROR(__xludf.DUMMYFUNCTION("""COMPUTED_VALUE"""),"Kelly Andreada")</f>
        <v>Kelly Andreada</v>
      </c>
      <c r="D1372" s="8" t="str">
        <f>IFERROR(__xludf.DUMMYFUNCTION("""COMPUTED_VALUE"""),"Consumer")</f>
        <v>Consumer</v>
      </c>
      <c r="E1372" s="8" t="str">
        <f>IFERROR(__xludf.DUMMYFUNCTION("""COMPUTED_VALUE"""),"West")</f>
        <v>West</v>
      </c>
      <c r="F1372" s="10">
        <f>IFERROR(__xludf.DUMMYFUNCTION("""COMPUTED_VALUE"""),17.9)</f>
        <v>17.9</v>
      </c>
      <c r="G1372" s="11">
        <f>IFERROR(__xludf.DUMMYFUNCTION("""COMPUTED_VALUE"""),2.0)</f>
        <v>2</v>
      </c>
      <c r="H1372" s="11">
        <f>IFERROR(__xludf.DUMMYFUNCTION("""COMPUTED_VALUE"""),3.401)</f>
        <v>3.401</v>
      </c>
    </row>
    <row r="1373">
      <c r="A1373" s="8" t="str">
        <f>IFERROR(__xludf.DUMMYFUNCTION("""COMPUTED_VALUE"""),"CA-2015-143077")</f>
        <v>CA-2015-143077</v>
      </c>
      <c r="B1373" s="9">
        <f>IFERROR(__xludf.DUMMYFUNCTION("""COMPUTED_VALUE"""),42264.0)</f>
        <v>42264</v>
      </c>
      <c r="C1373" s="8" t="str">
        <f>IFERROR(__xludf.DUMMYFUNCTION("""COMPUTED_VALUE"""),"Sylvia Foulston")</f>
        <v>Sylvia Foulston</v>
      </c>
      <c r="D1373" s="8" t="str">
        <f>IFERROR(__xludf.DUMMYFUNCTION("""COMPUTED_VALUE"""),"Corporate")</f>
        <v>Corporate</v>
      </c>
      <c r="E1373" s="8" t="str">
        <f>IFERROR(__xludf.DUMMYFUNCTION("""COMPUTED_VALUE"""),"Central")</f>
        <v>Central</v>
      </c>
      <c r="F1373" s="10">
        <f>IFERROR(__xludf.DUMMYFUNCTION("""COMPUTED_VALUE"""),21.936)</f>
        <v>21.936</v>
      </c>
      <c r="G1373" s="11">
        <f>IFERROR(__xludf.DUMMYFUNCTION("""COMPUTED_VALUE"""),2.0)</f>
        <v>2</v>
      </c>
      <c r="H1373" s="11">
        <f>IFERROR(__xludf.DUMMYFUNCTION("""COMPUTED_VALUE"""),-10.4196)</f>
        <v>-10.4196</v>
      </c>
    </row>
    <row r="1374">
      <c r="A1374" s="8" t="str">
        <f>IFERROR(__xludf.DUMMYFUNCTION("""COMPUTED_VALUE"""),"CA-2015-143105")</f>
        <v>CA-2015-143105</v>
      </c>
      <c r="B1374" s="9">
        <f>IFERROR(__xludf.DUMMYFUNCTION("""COMPUTED_VALUE"""),42348.0)</f>
        <v>42348</v>
      </c>
      <c r="C1374" s="8" t="str">
        <f>IFERROR(__xludf.DUMMYFUNCTION("""COMPUTED_VALUE"""),"Matt Abelman")</f>
        <v>Matt Abelman</v>
      </c>
      <c r="D1374" s="8" t="str">
        <f>IFERROR(__xludf.DUMMYFUNCTION("""COMPUTED_VALUE"""),"Home Office")</f>
        <v>Home Office</v>
      </c>
      <c r="E1374" s="8" t="str">
        <f>IFERROR(__xludf.DUMMYFUNCTION("""COMPUTED_VALUE"""),"East")</f>
        <v>East</v>
      </c>
      <c r="F1374" s="10">
        <f>IFERROR(__xludf.DUMMYFUNCTION("""COMPUTED_VALUE"""),7.31)</f>
        <v>7.31</v>
      </c>
      <c r="G1374" s="11">
        <f>IFERROR(__xludf.DUMMYFUNCTION("""COMPUTED_VALUE"""),1.0)</f>
        <v>1</v>
      </c>
      <c r="H1374" s="11">
        <f>IFERROR(__xludf.DUMMYFUNCTION("""COMPUTED_VALUE"""),3.4357)</f>
        <v>3.4357</v>
      </c>
    </row>
    <row r="1375">
      <c r="A1375" s="8" t="str">
        <f>IFERROR(__xludf.DUMMYFUNCTION("""COMPUTED_VALUE"""),"CA-2015-143119")</f>
        <v>CA-2015-143119</v>
      </c>
      <c r="B1375" s="9">
        <f>IFERROR(__xludf.DUMMYFUNCTION("""COMPUTED_VALUE"""),42271.0)</f>
        <v>42271</v>
      </c>
      <c r="C1375" s="8" t="str">
        <f>IFERROR(__xludf.DUMMYFUNCTION("""COMPUTED_VALUE"""),"Marc Crier")</f>
        <v>Marc Crier</v>
      </c>
      <c r="D1375" s="8" t="str">
        <f>IFERROR(__xludf.DUMMYFUNCTION("""COMPUTED_VALUE"""),"Consumer")</f>
        <v>Consumer</v>
      </c>
      <c r="E1375" s="8" t="str">
        <f>IFERROR(__xludf.DUMMYFUNCTION("""COMPUTED_VALUE"""),"South")</f>
        <v>South</v>
      </c>
      <c r="F1375" s="10">
        <f>IFERROR(__xludf.DUMMYFUNCTION("""COMPUTED_VALUE"""),517.5)</f>
        <v>517.5</v>
      </c>
      <c r="G1375" s="11">
        <f>IFERROR(__xludf.DUMMYFUNCTION("""COMPUTED_VALUE"""),6.0)</f>
        <v>6</v>
      </c>
      <c r="H1375" s="11">
        <f>IFERROR(__xludf.DUMMYFUNCTION("""COMPUTED_VALUE"""),155.25)</f>
        <v>155.25</v>
      </c>
    </row>
    <row r="1376">
      <c r="A1376" s="8" t="str">
        <f>IFERROR(__xludf.DUMMYFUNCTION("""COMPUTED_VALUE"""),"CA-2015-143147")</f>
        <v>CA-2015-143147</v>
      </c>
      <c r="B1376" s="9">
        <f>IFERROR(__xludf.DUMMYFUNCTION("""COMPUTED_VALUE"""),42150.0)</f>
        <v>42150</v>
      </c>
      <c r="C1376" s="8" t="str">
        <f>IFERROR(__xludf.DUMMYFUNCTION("""COMPUTED_VALUE"""),"Pamela Stobb")</f>
        <v>Pamela Stobb</v>
      </c>
      <c r="D1376" s="8" t="str">
        <f>IFERROR(__xludf.DUMMYFUNCTION("""COMPUTED_VALUE"""),"Consumer")</f>
        <v>Consumer</v>
      </c>
      <c r="E1376" s="8" t="str">
        <f>IFERROR(__xludf.DUMMYFUNCTION("""COMPUTED_VALUE"""),"Central")</f>
        <v>Central</v>
      </c>
      <c r="F1376" s="10">
        <f>IFERROR(__xludf.DUMMYFUNCTION("""COMPUTED_VALUE"""),105.686)</f>
        <v>105.686</v>
      </c>
      <c r="G1376" s="11">
        <f>IFERROR(__xludf.DUMMYFUNCTION("""COMPUTED_VALUE"""),1.0)</f>
        <v>1</v>
      </c>
      <c r="H1376" s="11">
        <f>IFERROR(__xludf.DUMMYFUNCTION("""COMPUTED_VALUE"""),-28.6862)</f>
        <v>-28.6862</v>
      </c>
    </row>
    <row r="1377">
      <c r="A1377" s="8" t="str">
        <f>IFERROR(__xludf.DUMMYFUNCTION("""COMPUTED_VALUE"""),"CA-2015-143238")</f>
        <v>CA-2015-143238</v>
      </c>
      <c r="B1377" s="9">
        <f>IFERROR(__xludf.DUMMYFUNCTION("""COMPUTED_VALUE"""),42253.0)</f>
        <v>42253</v>
      </c>
      <c r="C1377" s="8" t="str">
        <f>IFERROR(__xludf.DUMMYFUNCTION("""COMPUTED_VALUE"""),"Lori Olson")</f>
        <v>Lori Olson</v>
      </c>
      <c r="D1377" s="8" t="str">
        <f>IFERROR(__xludf.DUMMYFUNCTION("""COMPUTED_VALUE"""),"Corporate")</f>
        <v>Corporate</v>
      </c>
      <c r="E1377" s="8" t="str">
        <f>IFERROR(__xludf.DUMMYFUNCTION("""COMPUTED_VALUE"""),"West")</f>
        <v>West</v>
      </c>
      <c r="F1377" s="10">
        <f>IFERROR(__xludf.DUMMYFUNCTION("""COMPUTED_VALUE"""),46.32)</f>
        <v>46.32</v>
      </c>
      <c r="G1377" s="11">
        <f>IFERROR(__xludf.DUMMYFUNCTION("""COMPUTED_VALUE"""),4.0)</f>
        <v>4</v>
      </c>
      <c r="H1377" s="11">
        <f>IFERROR(__xludf.DUMMYFUNCTION("""COMPUTED_VALUE"""),18.0648)</f>
        <v>18.0648</v>
      </c>
    </row>
    <row r="1378">
      <c r="A1378" s="8" t="str">
        <f>IFERROR(__xludf.DUMMYFUNCTION("""COMPUTED_VALUE"""),"CA-2015-143364")</f>
        <v>CA-2015-143364</v>
      </c>
      <c r="B1378" s="9">
        <f>IFERROR(__xludf.DUMMYFUNCTION("""COMPUTED_VALUE"""),42199.0)</f>
        <v>42199</v>
      </c>
      <c r="C1378" s="8" t="str">
        <f>IFERROR(__xludf.DUMMYFUNCTION("""COMPUTED_VALUE"""),"Toby Gnade")</f>
        <v>Toby Gnade</v>
      </c>
      <c r="D1378" s="8" t="str">
        <f>IFERROR(__xludf.DUMMYFUNCTION("""COMPUTED_VALUE"""),"Consumer")</f>
        <v>Consumer</v>
      </c>
      <c r="E1378" s="8" t="str">
        <f>IFERROR(__xludf.DUMMYFUNCTION("""COMPUTED_VALUE"""),"West")</f>
        <v>West</v>
      </c>
      <c r="F1378" s="10">
        <f>IFERROR(__xludf.DUMMYFUNCTION("""COMPUTED_VALUE"""),272.736)</f>
        <v>272.736</v>
      </c>
      <c r="G1378" s="11">
        <f>IFERROR(__xludf.DUMMYFUNCTION("""COMPUTED_VALUE"""),3.0)</f>
        <v>3</v>
      </c>
      <c r="H1378" s="11">
        <f>IFERROR(__xludf.DUMMYFUNCTION("""COMPUTED_VALUE"""),-64.7748)</f>
        <v>-64.7748</v>
      </c>
    </row>
    <row r="1379">
      <c r="A1379" s="8" t="str">
        <f>IFERROR(__xludf.DUMMYFUNCTION("""COMPUTED_VALUE"""),"CA-2015-143490")</f>
        <v>CA-2015-143490</v>
      </c>
      <c r="B1379" s="9">
        <f>IFERROR(__xludf.DUMMYFUNCTION("""COMPUTED_VALUE"""),42344.0)</f>
        <v>42344</v>
      </c>
      <c r="C1379" s="8" t="str">
        <f>IFERROR(__xludf.DUMMYFUNCTION("""COMPUTED_VALUE"""),"Naresj Patel")</f>
        <v>Naresj Patel</v>
      </c>
      <c r="D1379" s="8" t="str">
        <f>IFERROR(__xludf.DUMMYFUNCTION("""COMPUTED_VALUE"""),"Consumer")</f>
        <v>Consumer</v>
      </c>
      <c r="E1379" s="8" t="str">
        <f>IFERROR(__xludf.DUMMYFUNCTION("""COMPUTED_VALUE"""),"West")</f>
        <v>West</v>
      </c>
      <c r="F1379" s="10">
        <f>IFERROR(__xludf.DUMMYFUNCTION("""COMPUTED_VALUE"""),120.15)</f>
        <v>120.15</v>
      </c>
      <c r="G1379" s="11">
        <f>IFERROR(__xludf.DUMMYFUNCTION("""COMPUTED_VALUE"""),9.0)</f>
        <v>9</v>
      </c>
      <c r="H1379" s="11">
        <f>IFERROR(__xludf.DUMMYFUNCTION("""COMPUTED_VALUE"""),33.642)</f>
        <v>33.642</v>
      </c>
    </row>
    <row r="1380">
      <c r="A1380" s="8" t="str">
        <f>IFERROR(__xludf.DUMMYFUNCTION("""COMPUTED_VALUE"""),"CA-2015-143532")</f>
        <v>CA-2015-143532</v>
      </c>
      <c r="B1380" s="9">
        <f>IFERROR(__xludf.DUMMYFUNCTION("""COMPUTED_VALUE"""),42082.0)</f>
        <v>42082</v>
      </c>
      <c r="C1380" s="8" t="str">
        <f>IFERROR(__xludf.DUMMYFUNCTION("""COMPUTED_VALUE"""),"Dan Campbell")</f>
        <v>Dan Campbell</v>
      </c>
      <c r="D1380" s="8" t="str">
        <f>IFERROR(__xludf.DUMMYFUNCTION("""COMPUTED_VALUE"""),"Consumer")</f>
        <v>Consumer</v>
      </c>
      <c r="E1380" s="8" t="str">
        <f>IFERROR(__xludf.DUMMYFUNCTION("""COMPUTED_VALUE"""),"South")</f>
        <v>South</v>
      </c>
      <c r="F1380" s="10">
        <f>IFERROR(__xludf.DUMMYFUNCTION("""COMPUTED_VALUE"""),14.496)</f>
        <v>14.496</v>
      </c>
      <c r="G1380" s="11">
        <f>IFERROR(__xludf.DUMMYFUNCTION("""COMPUTED_VALUE"""),3.0)</f>
        <v>3</v>
      </c>
      <c r="H1380" s="11">
        <f>IFERROR(__xludf.DUMMYFUNCTION("""COMPUTED_VALUE"""),4.8924)</f>
        <v>4.8924</v>
      </c>
    </row>
    <row r="1381">
      <c r="A1381" s="8" t="str">
        <f>IFERROR(__xludf.DUMMYFUNCTION("""COMPUTED_VALUE"""),"CA-2015-143602")</f>
        <v>CA-2015-143602</v>
      </c>
      <c r="B1381" s="9">
        <f>IFERROR(__xludf.DUMMYFUNCTION("""COMPUTED_VALUE"""),42119.0)</f>
        <v>42119</v>
      </c>
      <c r="C1381" s="8" t="str">
        <f>IFERROR(__xludf.DUMMYFUNCTION("""COMPUTED_VALUE"""),"Jill Stevenson")</f>
        <v>Jill Stevenson</v>
      </c>
      <c r="D1381" s="8" t="str">
        <f>IFERROR(__xludf.DUMMYFUNCTION("""COMPUTED_VALUE"""),"Corporate")</f>
        <v>Corporate</v>
      </c>
      <c r="E1381" s="8" t="str">
        <f>IFERROR(__xludf.DUMMYFUNCTION("""COMPUTED_VALUE"""),"West")</f>
        <v>West</v>
      </c>
      <c r="F1381" s="10">
        <f>IFERROR(__xludf.DUMMYFUNCTION("""COMPUTED_VALUE"""),13.944)</f>
        <v>13.944</v>
      </c>
      <c r="G1381" s="11">
        <f>IFERROR(__xludf.DUMMYFUNCTION("""COMPUTED_VALUE"""),3.0)</f>
        <v>3</v>
      </c>
      <c r="H1381" s="11">
        <f>IFERROR(__xludf.DUMMYFUNCTION("""COMPUTED_VALUE"""),4.5318)</f>
        <v>4.5318</v>
      </c>
    </row>
    <row r="1382">
      <c r="A1382" s="8" t="str">
        <f>IFERROR(__xludf.DUMMYFUNCTION("""COMPUTED_VALUE"""),"CA-2015-143616")</f>
        <v>CA-2015-143616</v>
      </c>
      <c r="B1382" s="9">
        <f>IFERROR(__xludf.DUMMYFUNCTION("""COMPUTED_VALUE"""),42274.0)</f>
        <v>42274</v>
      </c>
      <c r="C1382" s="8" t="str">
        <f>IFERROR(__xludf.DUMMYFUNCTION("""COMPUTED_VALUE"""),"Saphhira Shifley")</f>
        <v>Saphhira Shifley</v>
      </c>
      <c r="D1382" s="8" t="str">
        <f>IFERROR(__xludf.DUMMYFUNCTION("""COMPUTED_VALUE"""),"Corporate")</f>
        <v>Corporate</v>
      </c>
      <c r="E1382" s="8" t="str">
        <f>IFERROR(__xludf.DUMMYFUNCTION("""COMPUTED_VALUE"""),"West")</f>
        <v>West</v>
      </c>
      <c r="F1382" s="10">
        <f>IFERROR(__xludf.DUMMYFUNCTION("""COMPUTED_VALUE"""),99.2)</f>
        <v>99.2</v>
      </c>
      <c r="G1382" s="11">
        <f>IFERROR(__xludf.DUMMYFUNCTION("""COMPUTED_VALUE"""),5.0)</f>
        <v>5</v>
      </c>
      <c r="H1382" s="11">
        <f>IFERROR(__xludf.DUMMYFUNCTION("""COMPUTED_VALUE"""),25.792)</f>
        <v>25.792</v>
      </c>
    </row>
    <row r="1383">
      <c r="A1383" s="8" t="str">
        <f>IFERROR(__xludf.DUMMYFUNCTION("""COMPUTED_VALUE"""),"CA-2015-143700")</f>
        <v>CA-2015-143700</v>
      </c>
      <c r="B1383" s="9">
        <f>IFERROR(__xludf.DUMMYFUNCTION("""COMPUTED_VALUE"""),42211.0)</f>
        <v>42211</v>
      </c>
      <c r="C1383" s="8" t="str">
        <f>IFERROR(__xludf.DUMMYFUNCTION("""COMPUTED_VALUE"""),"Alan Shonely")</f>
        <v>Alan Shonely</v>
      </c>
      <c r="D1383" s="8" t="str">
        <f>IFERROR(__xludf.DUMMYFUNCTION("""COMPUTED_VALUE"""),"Consumer")</f>
        <v>Consumer</v>
      </c>
      <c r="E1383" s="8" t="str">
        <f>IFERROR(__xludf.DUMMYFUNCTION("""COMPUTED_VALUE"""),"East")</f>
        <v>East</v>
      </c>
      <c r="F1383" s="10">
        <f>IFERROR(__xludf.DUMMYFUNCTION("""COMPUTED_VALUE"""),10.368)</f>
        <v>10.368</v>
      </c>
      <c r="G1383" s="11">
        <f>IFERROR(__xludf.DUMMYFUNCTION("""COMPUTED_VALUE"""),2.0)</f>
        <v>2</v>
      </c>
      <c r="H1383" s="11">
        <f>IFERROR(__xludf.DUMMYFUNCTION("""COMPUTED_VALUE"""),3.6288)</f>
        <v>3.6288</v>
      </c>
    </row>
    <row r="1384">
      <c r="A1384" s="8" t="str">
        <f>IFERROR(__xludf.DUMMYFUNCTION("""COMPUTED_VALUE"""),"CA-2015-143882")</f>
        <v>CA-2015-143882</v>
      </c>
      <c r="B1384" s="9">
        <f>IFERROR(__xludf.DUMMYFUNCTION("""COMPUTED_VALUE"""),42181.0)</f>
        <v>42181</v>
      </c>
      <c r="C1384" s="8" t="str">
        <f>IFERROR(__xludf.DUMMYFUNCTION("""COMPUTED_VALUE"""),"Dennis Bolton")</f>
        <v>Dennis Bolton</v>
      </c>
      <c r="D1384" s="8" t="str">
        <f>IFERROR(__xludf.DUMMYFUNCTION("""COMPUTED_VALUE"""),"Home Office")</f>
        <v>Home Office</v>
      </c>
      <c r="E1384" s="8" t="str">
        <f>IFERROR(__xludf.DUMMYFUNCTION("""COMPUTED_VALUE"""),"East")</f>
        <v>East</v>
      </c>
      <c r="F1384" s="10">
        <f>IFERROR(__xludf.DUMMYFUNCTION("""COMPUTED_VALUE"""),43.056)</f>
        <v>43.056</v>
      </c>
      <c r="G1384" s="11">
        <f>IFERROR(__xludf.DUMMYFUNCTION("""COMPUTED_VALUE"""),9.0)</f>
        <v>9</v>
      </c>
      <c r="H1384" s="11">
        <f>IFERROR(__xludf.DUMMYFUNCTION("""COMPUTED_VALUE"""),15.6078)</f>
        <v>15.6078</v>
      </c>
    </row>
    <row r="1385">
      <c r="A1385" s="8" t="str">
        <f>IFERROR(__xludf.DUMMYFUNCTION("""COMPUTED_VALUE"""),"CA-2015-143980")</f>
        <v>CA-2015-143980</v>
      </c>
      <c r="B1385" s="9">
        <f>IFERROR(__xludf.DUMMYFUNCTION("""COMPUTED_VALUE"""),42363.0)</f>
        <v>42363</v>
      </c>
      <c r="C1385" s="8" t="str">
        <f>IFERROR(__xludf.DUMMYFUNCTION("""COMPUTED_VALUE"""),"Jim Kriz")</f>
        <v>Jim Kriz</v>
      </c>
      <c r="D1385" s="8" t="str">
        <f>IFERROR(__xludf.DUMMYFUNCTION("""COMPUTED_VALUE"""),"Home Office")</f>
        <v>Home Office</v>
      </c>
      <c r="E1385" s="8" t="str">
        <f>IFERROR(__xludf.DUMMYFUNCTION("""COMPUTED_VALUE"""),"East")</f>
        <v>East</v>
      </c>
      <c r="F1385" s="10">
        <f>IFERROR(__xludf.DUMMYFUNCTION("""COMPUTED_VALUE"""),414.96)</f>
        <v>414.96</v>
      </c>
      <c r="G1385" s="11">
        <f>IFERROR(__xludf.DUMMYFUNCTION("""COMPUTED_VALUE"""),2.0)</f>
        <v>2</v>
      </c>
      <c r="H1385" s="11">
        <f>IFERROR(__xludf.DUMMYFUNCTION("""COMPUTED_VALUE"""),124.488)</f>
        <v>124.488</v>
      </c>
    </row>
    <row r="1386">
      <c r="A1386" s="8" t="str">
        <f>IFERROR(__xludf.DUMMYFUNCTION("""COMPUTED_VALUE"""),"CA-2015-144043")</f>
        <v>CA-2015-144043</v>
      </c>
      <c r="B1386" s="9">
        <f>IFERROR(__xludf.DUMMYFUNCTION("""COMPUTED_VALUE"""),42134.0)</f>
        <v>42134</v>
      </c>
      <c r="C1386" s="8" t="str">
        <f>IFERROR(__xludf.DUMMYFUNCTION("""COMPUTED_VALUE"""),"Alan Barnes")</f>
        <v>Alan Barnes</v>
      </c>
      <c r="D1386" s="8" t="str">
        <f>IFERROR(__xludf.DUMMYFUNCTION("""COMPUTED_VALUE"""),"Consumer")</f>
        <v>Consumer</v>
      </c>
      <c r="E1386" s="8" t="str">
        <f>IFERROR(__xludf.DUMMYFUNCTION("""COMPUTED_VALUE"""),"West")</f>
        <v>West</v>
      </c>
      <c r="F1386" s="10">
        <f>IFERROR(__xludf.DUMMYFUNCTION("""COMPUTED_VALUE"""),46.688)</f>
        <v>46.688</v>
      </c>
      <c r="G1386" s="11">
        <f>IFERROR(__xludf.DUMMYFUNCTION("""COMPUTED_VALUE"""),4.0)</f>
        <v>4</v>
      </c>
      <c r="H1386" s="11">
        <f>IFERROR(__xludf.DUMMYFUNCTION("""COMPUTED_VALUE"""),-2.918)</f>
        <v>-2.918</v>
      </c>
    </row>
    <row r="1387">
      <c r="A1387" s="8" t="str">
        <f>IFERROR(__xludf.DUMMYFUNCTION("""COMPUTED_VALUE"""),"CA-2015-144099")</f>
        <v>CA-2015-144099</v>
      </c>
      <c r="B1387" s="9">
        <f>IFERROR(__xludf.DUMMYFUNCTION("""COMPUTED_VALUE"""),42337.0)</f>
        <v>42337</v>
      </c>
      <c r="C1387" s="8" t="str">
        <f>IFERROR(__xludf.DUMMYFUNCTION("""COMPUTED_VALUE"""),"Phillina Ober")</f>
        <v>Phillina Ober</v>
      </c>
      <c r="D1387" s="8" t="str">
        <f>IFERROR(__xludf.DUMMYFUNCTION("""COMPUTED_VALUE"""),"Home Office")</f>
        <v>Home Office</v>
      </c>
      <c r="E1387" s="8" t="str">
        <f>IFERROR(__xludf.DUMMYFUNCTION("""COMPUTED_VALUE"""),"West")</f>
        <v>West</v>
      </c>
      <c r="F1387" s="10">
        <f>IFERROR(__xludf.DUMMYFUNCTION("""COMPUTED_VALUE"""),4.304)</f>
        <v>4.304</v>
      </c>
      <c r="G1387" s="11">
        <f>IFERROR(__xludf.DUMMYFUNCTION("""COMPUTED_VALUE"""),1.0)</f>
        <v>1</v>
      </c>
      <c r="H1387" s="11">
        <f>IFERROR(__xludf.DUMMYFUNCTION("""COMPUTED_VALUE"""),1.5602)</f>
        <v>1.5602</v>
      </c>
    </row>
    <row r="1388">
      <c r="A1388" s="8" t="str">
        <f>IFERROR(__xludf.DUMMYFUNCTION("""COMPUTED_VALUE"""),"CA-2015-144190")</f>
        <v>CA-2015-144190</v>
      </c>
      <c r="B1388" s="9">
        <f>IFERROR(__xludf.DUMMYFUNCTION("""COMPUTED_VALUE"""),42164.0)</f>
        <v>42164</v>
      </c>
      <c r="C1388" s="8" t="str">
        <f>IFERROR(__xludf.DUMMYFUNCTION("""COMPUTED_VALUE"""),"Nathan Cano")</f>
        <v>Nathan Cano</v>
      </c>
      <c r="D1388" s="8" t="str">
        <f>IFERROR(__xludf.DUMMYFUNCTION("""COMPUTED_VALUE"""),"Consumer")</f>
        <v>Consumer</v>
      </c>
      <c r="E1388" s="8" t="str">
        <f>IFERROR(__xludf.DUMMYFUNCTION("""COMPUTED_VALUE"""),"Central")</f>
        <v>Central</v>
      </c>
      <c r="F1388" s="10">
        <f>IFERROR(__xludf.DUMMYFUNCTION("""COMPUTED_VALUE"""),12.96)</f>
        <v>12.96</v>
      </c>
      <c r="G1388" s="11">
        <f>IFERROR(__xludf.DUMMYFUNCTION("""COMPUTED_VALUE"""),2.0)</f>
        <v>2</v>
      </c>
      <c r="H1388" s="11">
        <f>IFERROR(__xludf.DUMMYFUNCTION("""COMPUTED_VALUE"""),6.2208)</f>
        <v>6.2208</v>
      </c>
    </row>
    <row r="1389">
      <c r="A1389" s="8" t="str">
        <f>IFERROR(__xludf.DUMMYFUNCTION("""COMPUTED_VALUE"""),"CA-2015-144253")</f>
        <v>CA-2015-144253</v>
      </c>
      <c r="B1389" s="9">
        <f>IFERROR(__xludf.DUMMYFUNCTION("""COMPUTED_VALUE"""),42128.0)</f>
        <v>42128</v>
      </c>
      <c r="C1389" s="8" t="str">
        <f>IFERROR(__xludf.DUMMYFUNCTION("""COMPUTED_VALUE"""),"Alan Schoenberger")</f>
        <v>Alan Schoenberger</v>
      </c>
      <c r="D1389" s="8" t="str">
        <f>IFERROR(__xludf.DUMMYFUNCTION("""COMPUTED_VALUE"""),"Corporate")</f>
        <v>Corporate</v>
      </c>
      <c r="E1389" s="8" t="str">
        <f>IFERROR(__xludf.DUMMYFUNCTION("""COMPUTED_VALUE"""),"East")</f>
        <v>East</v>
      </c>
      <c r="F1389" s="10">
        <f>IFERROR(__xludf.DUMMYFUNCTION("""COMPUTED_VALUE"""),26.8)</f>
        <v>26.8</v>
      </c>
      <c r="G1389" s="11">
        <f>IFERROR(__xludf.DUMMYFUNCTION("""COMPUTED_VALUE"""),2.0)</f>
        <v>2</v>
      </c>
      <c r="H1389" s="11">
        <f>IFERROR(__xludf.DUMMYFUNCTION("""COMPUTED_VALUE"""),12.864)</f>
        <v>12.864</v>
      </c>
    </row>
    <row r="1390">
      <c r="A1390" s="8" t="str">
        <f>IFERROR(__xludf.DUMMYFUNCTION("""COMPUTED_VALUE"""),"CA-2015-144267")</f>
        <v>CA-2015-144267</v>
      </c>
      <c r="B1390" s="9">
        <f>IFERROR(__xludf.DUMMYFUNCTION("""COMPUTED_VALUE"""),42237.0)</f>
        <v>42237</v>
      </c>
      <c r="C1390" s="8" t="str">
        <f>IFERROR(__xludf.DUMMYFUNCTION("""COMPUTED_VALUE"""),"Nick Zandusky")</f>
        <v>Nick Zandusky</v>
      </c>
      <c r="D1390" s="8" t="str">
        <f>IFERROR(__xludf.DUMMYFUNCTION("""COMPUTED_VALUE"""),"Home Office")</f>
        <v>Home Office</v>
      </c>
      <c r="E1390" s="8" t="str">
        <f>IFERROR(__xludf.DUMMYFUNCTION("""COMPUTED_VALUE"""),"West")</f>
        <v>West</v>
      </c>
      <c r="F1390" s="10">
        <f>IFERROR(__xludf.DUMMYFUNCTION("""COMPUTED_VALUE"""),544.008)</f>
        <v>544.008</v>
      </c>
      <c r="G1390" s="11">
        <f>IFERROR(__xludf.DUMMYFUNCTION("""COMPUTED_VALUE"""),3.0)</f>
        <v>3</v>
      </c>
      <c r="H1390" s="11">
        <f>IFERROR(__xludf.DUMMYFUNCTION("""COMPUTED_VALUE"""),40.8006)</f>
        <v>40.8006</v>
      </c>
    </row>
    <row r="1391">
      <c r="A1391" s="8" t="str">
        <f>IFERROR(__xludf.DUMMYFUNCTION("""COMPUTED_VALUE"""),"CA-2015-144274")</f>
        <v>CA-2015-144274</v>
      </c>
      <c r="B1391" s="9">
        <f>IFERROR(__xludf.DUMMYFUNCTION("""COMPUTED_VALUE"""),42331.0)</f>
        <v>42331</v>
      </c>
      <c r="C1391" s="8" t="str">
        <f>IFERROR(__xludf.DUMMYFUNCTION("""COMPUTED_VALUE"""),"Pierre Wener")</f>
        <v>Pierre Wener</v>
      </c>
      <c r="D1391" s="8" t="str">
        <f>IFERROR(__xludf.DUMMYFUNCTION("""COMPUTED_VALUE"""),"Consumer")</f>
        <v>Consumer</v>
      </c>
      <c r="E1391" s="8" t="str">
        <f>IFERROR(__xludf.DUMMYFUNCTION("""COMPUTED_VALUE"""),"East")</f>
        <v>East</v>
      </c>
      <c r="F1391" s="10">
        <f>IFERROR(__xludf.DUMMYFUNCTION("""COMPUTED_VALUE"""),307.98)</f>
        <v>307.98</v>
      </c>
      <c r="G1391" s="11">
        <f>IFERROR(__xludf.DUMMYFUNCTION("""COMPUTED_VALUE"""),2.0)</f>
        <v>2</v>
      </c>
      <c r="H1391" s="11">
        <f>IFERROR(__xludf.DUMMYFUNCTION("""COMPUTED_VALUE"""),89.3142)</f>
        <v>89.3142</v>
      </c>
    </row>
    <row r="1392">
      <c r="A1392" s="8" t="str">
        <f>IFERROR(__xludf.DUMMYFUNCTION("""COMPUTED_VALUE"""),"CA-2015-144288")</f>
        <v>CA-2015-144288</v>
      </c>
      <c r="B1392" s="9">
        <f>IFERROR(__xludf.DUMMYFUNCTION("""COMPUTED_VALUE"""),42363.0)</f>
        <v>42363</v>
      </c>
      <c r="C1392" s="8" t="str">
        <f>IFERROR(__xludf.DUMMYFUNCTION("""COMPUTED_VALUE"""),"Maria Bertelson")</f>
        <v>Maria Bertelson</v>
      </c>
      <c r="D1392" s="8" t="str">
        <f>IFERROR(__xludf.DUMMYFUNCTION("""COMPUTED_VALUE"""),"Consumer")</f>
        <v>Consumer</v>
      </c>
      <c r="E1392" s="8" t="str">
        <f>IFERROR(__xludf.DUMMYFUNCTION("""COMPUTED_VALUE"""),"South")</f>
        <v>South</v>
      </c>
      <c r="F1392" s="10">
        <f>IFERROR(__xludf.DUMMYFUNCTION("""COMPUTED_VALUE"""),9.216)</f>
        <v>9.216</v>
      </c>
      <c r="G1392" s="11">
        <f>IFERROR(__xludf.DUMMYFUNCTION("""COMPUTED_VALUE"""),4.0)</f>
        <v>4</v>
      </c>
      <c r="H1392" s="11">
        <f>IFERROR(__xludf.DUMMYFUNCTION("""COMPUTED_VALUE"""),3.3408)</f>
        <v>3.3408</v>
      </c>
    </row>
    <row r="1393">
      <c r="A1393" s="8" t="str">
        <f>IFERROR(__xludf.DUMMYFUNCTION("""COMPUTED_VALUE"""),"CA-2015-144302")</f>
        <v>CA-2015-144302</v>
      </c>
      <c r="B1393" s="9">
        <f>IFERROR(__xludf.DUMMYFUNCTION("""COMPUTED_VALUE"""),42174.0)</f>
        <v>42174</v>
      </c>
      <c r="C1393" s="8" t="str">
        <f>IFERROR(__xludf.DUMMYFUNCTION("""COMPUTED_VALUE"""),"Maria Etezadi")</f>
        <v>Maria Etezadi</v>
      </c>
      <c r="D1393" s="8" t="str">
        <f>IFERROR(__xludf.DUMMYFUNCTION("""COMPUTED_VALUE"""),"Home Office")</f>
        <v>Home Office</v>
      </c>
      <c r="E1393" s="8" t="str">
        <f>IFERROR(__xludf.DUMMYFUNCTION("""COMPUTED_VALUE"""),"Central")</f>
        <v>Central</v>
      </c>
      <c r="F1393" s="10">
        <f>IFERROR(__xludf.DUMMYFUNCTION("""COMPUTED_VALUE"""),5.792)</f>
        <v>5.792</v>
      </c>
      <c r="G1393" s="11">
        <f>IFERROR(__xludf.DUMMYFUNCTION("""COMPUTED_VALUE"""),2.0)</f>
        <v>2</v>
      </c>
      <c r="H1393" s="11">
        <f>IFERROR(__xludf.DUMMYFUNCTION("""COMPUTED_VALUE"""),-9.5568)</f>
        <v>-9.5568</v>
      </c>
    </row>
    <row r="1394">
      <c r="A1394" s="8" t="str">
        <f>IFERROR(__xludf.DUMMYFUNCTION("""COMPUTED_VALUE"""),"CA-2015-144386")</f>
        <v>CA-2015-144386</v>
      </c>
      <c r="B1394" s="9">
        <f>IFERROR(__xludf.DUMMYFUNCTION("""COMPUTED_VALUE"""),42313.0)</f>
        <v>42313</v>
      </c>
      <c r="C1394" s="8" t="str">
        <f>IFERROR(__xludf.DUMMYFUNCTION("""COMPUTED_VALUE"""),"Grant Thornton")</f>
        <v>Grant Thornton</v>
      </c>
      <c r="D1394" s="8" t="str">
        <f>IFERROR(__xludf.DUMMYFUNCTION("""COMPUTED_VALUE"""),"Corporate")</f>
        <v>Corporate</v>
      </c>
      <c r="E1394" s="8" t="str">
        <f>IFERROR(__xludf.DUMMYFUNCTION("""COMPUTED_VALUE"""),"East")</f>
        <v>East</v>
      </c>
      <c r="F1394" s="10">
        <f>IFERROR(__xludf.DUMMYFUNCTION("""COMPUTED_VALUE"""),25.344)</f>
        <v>25.344</v>
      </c>
      <c r="G1394" s="11">
        <f>IFERROR(__xludf.DUMMYFUNCTION("""COMPUTED_VALUE"""),6.0)</f>
        <v>6</v>
      </c>
      <c r="H1394" s="11">
        <f>IFERROR(__xludf.DUMMYFUNCTION("""COMPUTED_VALUE"""),8.8704)</f>
        <v>8.8704</v>
      </c>
    </row>
    <row r="1395">
      <c r="A1395" s="8" t="str">
        <f>IFERROR(__xludf.DUMMYFUNCTION("""COMPUTED_VALUE"""),"CA-2015-144519")</f>
        <v>CA-2015-144519</v>
      </c>
      <c r="B1395" s="9">
        <f>IFERROR(__xludf.DUMMYFUNCTION("""COMPUTED_VALUE"""),42321.0)</f>
        <v>42321</v>
      </c>
      <c r="C1395" s="8" t="str">
        <f>IFERROR(__xludf.DUMMYFUNCTION("""COMPUTED_VALUE"""),"Arthur Wiediger")</f>
        <v>Arthur Wiediger</v>
      </c>
      <c r="D1395" s="8" t="str">
        <f>IFERROR(__xludf.DUMMYFUNCTION("""COMPUTED_VALUE"""),"Home Office")</f>
        <v>Home Office</v>
      </c>
      <c r="E1395" s="8" t="str">
        <f>IFERROR(__xludf.DUMMYFUNCTION("""COMPUTED_VALUE"""),"West")</f>
        <v>West</v>
      </c>
      <c r="F1395" s="10">
        <f>IFERROR(__xludf.DUMMYFUNCTION("""COMPUTED_VALUE"""),339.96)</f>
        <v>339.96</v>
      </c>
      <c r="G1395" s="11">
        <f>IFERROR(__xludf.DUMMYFUNCTION("""COMPUTED_VALUE"""),5.0)</f>
        <v>5</v>
      </c>
      <c r="H1395" s="11">
        <f>IFERROR(__xludf.DUMMYFUNCTION("""COMPUTED_VALUE"""),42.495)</f>
        <v>42.495</v>
      </c>
    </row>
    <row r="1396">
      <c r="A1396" s="8" t="str">
        <f>IFERROR(__xludf.DUMMYFUNCTION("""COMPUTED_VALUE"""),"CA-2015-144652")</f>
        <v>CA-2015-144652</v>
      </c>
      <c r="B1396" s="9">
        <f>IFERROR(__xludf.DUMMYFUNCTION("""COMPUTED_VALUE"""),42328.0)</f>
        <v>42328</v>
      </c>
      <c r="C1396" s="8" t="str">
        <f>IFERROR(__xludf.DUMMYFUNCTION("""COMPUTED_VALUE"""),"Skye Norling")</f>
        <v>Skye Norling</v>
      </c>
      <c r="D1396" s="8" t="str">
        <f>IFERROR(__xludf.DUMMYFUNCTION("""COMPUTED_VALUE"""),"Home Office")</f>
        <v>Home Office</v>
      </c>
      <c r="E1396" s="8" t="str">
        <f>IFERROR(__xludf.DUMMYFUNCTION("""COMPUTED_VALUE"""),"West")</f>
        <v>West</v>
      </c>
      <c r="F1396" s="10">
        <f>IFERROR(__xludf.DUMMYFUNCTION("""COMPUTED_VALUE"""),19.46)</f>
        <v>19.46</v>
      </c>
      <c r="G1396" s="11">
        <f>IFERROR(__xludf.DUMMYFUNCTION("""COMPUTED_VALUE"""),7.0)</f>
        <v>7</v>
      </c>
      <c r="H1396" s="11">
        <f>IFERROR(__xludf.DUMMYFUNCTION("""COMPUTED_VALUE"""),5.0596)</f>
        <v>5.0596</v>
      </c>
    </row>
    <row r="1397">
      <c r="A1397" s="8" t="str">
        <f>IFERROR(__xludf.DUMMYFUNCTION("""COMPUTED_VALUE"""),"CA-2015-144722")</f>
        <v>CA-2015-144722</v>
      </c>
      <c r="B1397" s="9">
        <f>IFERROR(__xludf.DUMMYFUNCTION("""COMPUTED_VALUE"""),42079.0)</f>
        <v>42079</v>
      </c>
      <c r="C1397" s="8" t="str">
        <f>IFERROR(__xludf.DUMMYFUNCTION("""COMPUTED_VALUE"""),"Monica Federle")</f>
        <v>Monica Federle</v>
      </c>
      <c r="D1397" s="8" t="str">
        <f>IFERROR(__xludf.DUMMYFUNCTION("""COMPUTED_VALUE"""),"Corporate")</f>
        <v>Corporate</v>
      </c>
      <c r="E1397" s="8" t="str">
        <f>IFERROR(__xludf.DUMMYFUNCTION("""COMPUTED_VALUE"""),"West")</f>
        <v>West</v>
      </c>
      <c r="F1397" s="10">
        <f>IFERROR(__xludf.DUMMYFUNCTION("""COMPUTED_VALUE"""),43.13)</f>
        <v>43.13</v>
      </c>
      <c r="G1397" s="11">
        <f>IFERROR(__xludf.DUMMYFUNCTION("""COMPUTED_VALUE"""),1.0)</f>
        <v>1</v>
      </c>
      <c r="H1397" s="11">
        <f>IFERROR(__xludf.DUMMYFUNCTION("""COMPUTED_VALUE"""),18.1146)</f>
        <v>18.1146</v>
      </c>
    </row>
    <row r="1398">
      <c r="A1398" s="8" t="str">
        <f>IFERROR(__xludf.DUMMYFUNCTION("""COMPUTED_VALUE"""),"CA-2015-144806")</f>
        <v>CA-2015-144806</v>
      </c>
      <c r="B1398" s="9">
        <f>IFERROR(__xludf.DUMMYFUNCTION("""COMPUTED_VALUE"""),42344.0)</f>
        <v>42344</v>
      </c>
      <c r="C1398" s="8" t="str">
        <f>IFERROR(__xludf.DUMMYFUNCTION("""COMPUTED_VALUE"""),"Gary Hwang")</f>
        <v>Gary Hwang</v>
      </c>
      <c r="D1398" s="8" t="str">
        <f>IFERROR(__xludf.DUMMYFUNCTION("""COMPUTED_VALUE"""),"Consumer")</f>
        <v>Consumer</v>
      </c>
      <c r="E1398" s="8" t="str">
        <f>IFERROR(__xludf.DUMMYFUNCTION("""COMPUTED_VALUE"""),"West")</f>
        <v>West</v>
      </c>
      <c r="F1398" s="10">
        <f>IFERROR(__xludf.DUMMYFUNCTION("""COMPUTED_VALUE"""),206.112)</f>
        <v>206.112</v>
      </c>
      <c r="G1398" s="11">
        <f>IFERROR(__xludf.DUMMYFUNCTION("""COMPUTED_VALUE"""),6.0)</f>
        <v>6</v>
      </c>
      <c r="H1398" s="11">
        <f>IFERROR(__xludf.DUMMYFUNCTION("""COMPUTED_VALUE"""),48.9516)</f>
        <v>48.9516</v>
      </c>
    </row>
    <row r="1399">
      <c r="A1399" s="8" t="str">
        <f>IFERROR(__xludf.DUMMYFUNCTION("""COMPUTED_VALUE"""),"CA-2015-144890")</f>
        <v>CA-2015-144890</v>
      </c>
      <c r="B1399" s="9">
        <f>IFERROR(__xludf.DUMMYFUNCTION("""COMPUTED_VALUE"""),42363.0)</f>
        <v>42363</v>
      </c>
      <c r="C1399" s="8" t="str">
        <f>IFERROR(__xludf.DUMMYFUNCTION("""COMPUTED_VALUE"""),"Sean Miller")</f>
        <v>Sean Miller</v>
      </c>
      <c r="D1399" s="8" t="str">
        <f>IFERROR(__xludf.DUMMYFUNCTION("""COMPUTED_VALUE"""),"Home Office")</f>
        <v>Home Office</v>
      </c>
      <c r="E1399" s="8" t="str">
        <f>IFERROR(__xludf.DUMMYFUNCTION("""COMPUTED_VALUE"""),"West")</f>
        <v>West</v>
      </c>
      <c r="F1399" s="10">
        <f>IFERROR(__xludf.DUMMYFUNCTION("""COMPUTED_VALUE"""),9.96)</f>
        <v>9.96</v>
      </c>
      <c r="G1399" s="11">
        <f>IFERROR(__xludf.DUMMYFUNCTION("""COMPUTED_VALUE"""),2.0)</f>
        <v>2</v>
      </c>
      <c r="H1399" s="11">
        <f>IFERROR(__xludf.DUMMYFUNCTION("""COMPUTED_VALUE"""),4.8804)</f>
        <v>4.8804</v>
      </c>
    </row>
    <row r="1400">
      <c r="A1400" s="8" t="str">
        <f>IFERROR(__xludf.DUMMYFUNCTION("""COMPUTED_VALUE"""),"CA-2015-145065")</f>
        <v>CA-2015-145065</v>
      </c>
      <c r="B1400" s="9">
        <f>IFERROR(__xludf.DUMMYFUNCTION("""COMPUTED_VALUE"""),42350.0)</f>
        <v>42350</v>
      </c>
      <c r="C1400" s="8" t="str">
        <f>IFERROR(__xludf.DUMMYFUNCTION("""COMPUTED_VALUE"""),"Dennis Kane")</f>
        <v>Dennis Kane</v>
      </c>
      <c r="D1400" s="8" t="str">
        <f>IFERROR(__xludf.DUMMYFUNCTION("""COMPUTED_VALUE"""),"Consumer")</f>
        <v>Consumer</v>
      </c>
      <c r="E1400" s="8" t="str">
        <f>IFERROR(__xludf.DUMMYFUNCTION("""COMPUTED_VALUE"""),"West")</f>
        <v>West</v>
      </c>
      <c r="F1400" s="10">
        <f>IFERROR(__xludf.DUMMYFUNCTION("""COMPUTED_VALUE"""),7.86)</f>
        <v>7.86</v>
      </c>
      <c r="G1400" s="11">
        <f>IFERROR(__xludf.DUMMYFUNCTION("""COMPUTED_VALUE"""),2.0)</f>
        <v>2</v>
      </c>
      <c r="H1400" s="11">
        <f>IFERROR(__xludf.DUMMYFUNCTION("""COMPUTED_VALUE"""),3.6156)</f>
        <v>3.6156</v>
      </c>
    </row>
    <row r="1401">
      <c r="A1401" s="8" t="str">
        <f>IFERROR(__xludf.DUMMYFUNCTION("""COMPUTED_VALUE"""),"CA-2015-145184")</f>
        <v>CA-2015-145184</v>
      </c>
      <c r="B1401" s="9">
        <f>IFERROR(__xludf.DUMMYFUNCTION("""COMPUTED_VALUE"""),42335.0)</f>
        <v>42335</v>
      </c>
      <c r="C1401" s="8" t="str">
        <f>IFERROR(__xludf.DUMMYFUNCTION("""COMPUTED_VALUE"""),"Justin Deggeller")</f>
        <v>Justin Deggeller</v>
      </c>
      <c r="D1401" s="8" t="str">
        <f>IFERROR(__xludf.DUMMYFUNCTION("""COMPUTED_VALUE"""),"Corporate")</f>
        <v>Corporate</v>
      </c>
      <c r="E1401" s="8" t="str">
        <f>IFERROR(__xludf.DUMMYFUNCTION("""COMPUTED_VALUE"""),"East")</f>
        <v>East</v>
      </c>
      <c r="F1401" s="10">
        <f>IFERROR(__xludf.DUMMYFUNCTION("""COMPUTED_VALUE"""),83.97)</f>
        <v>83.97</v>
      </c>
      <c r="G1401" s="11">
        <f>IFERROR(__xludf.DUMMYFUNCTION("""COMPUTED_VALUE"""),3.0)</f>
        <v>3</v>
      </c>
      <c r="H1401" s="11">
        <f>IFERROR(__xludf.DUMMYFUNCTION("""COMPUTED_VALUE"""),23.5116)</f>
        <v>23.5116</v>
      </c>
    </row>
    <row r="1402">
      <c r="A1402" s="8" t="str">
        <f>IFERROR(__xludf.DUMMYFUNCTION("""COMPUTED_VALUE"""),"CA-2015-145324")</f>
        <v>CA-2015-145324</v>
      </c>
      <c r="B1402" s="9">
        <f>IFERROR(__xludf.DUMMYFUNCTION("""COMPUTED_VALUE"""),42323.0)</f>
        <v>42323</v>
      </c>
      <c r="C1402" s="8" t="str">
        <f>IFERROR(__xludf.DUMMYFUNCTION("""COMPUTED_VALUE"""),"Duane Huffman")</f>
        <v>Duane Huffman</v>
      </c>
      <c r="D1402" s="8" t="str">
        <f>IFERROR(__xludf.DUMMYFUNCTION("""COMPUTED_VALUE"""),"Home Office")</f>
        <v>Home Office</v>
      </c>
      <c r="E1402" s="8" t="str">
        <f>IFERROR(__xludf.DUMMYFUNCTION("""COMPUTED_VALUE"""),"South")</f>
        <v>South</v>
      </c>
      <c r="F1402" s="10">
        <f>IFERROR(__xludf.DUMMYFUNCTION("""COMPUTED_VALUE"""),39.96)</f>
        <v>39.96</v>
      </c>
      <c r="G1402" s="11">
        <f>IFERROR(__xludf.DUMMYFUNCTION("""COMPUTED_VALUE"""),2.0)</f>
        <v>2</v>
      </c>
      <c r="H1402" s="11">
        <f>IFERROR(__xludf.DUMMYFUNCTION("""COMPUTED_VALUE"""),14.3856)</f>
        <v>14.3856</v>
      </c>
    </row>
    <row r="1403">
      <c r="A1403" s="8" t="str">
        <f>IFERROR(__xludf.DUMMYFUNCTION("""COMPUTED_VALUE"""),"CA-2015-145352")</f>
        <v>CA-2015-145352</v>
      </c>
      <c r="B1403" s="9">
        <f>IFERROR(__xludf.DUMMYFUNCTION("""COMPUTED_VALUE"""),42079.0)</f>
        <v>42079</v>
      </c>
      <c r="C1403" s="8" t="str">
        <f>IFERROR(__xludf.DUMMYFUNCTION("""COMPUTED_VALUE"""),"Christopher Martinez")</f>
        <v>Christopher Martinez</v>
      </c>
      <c r="D1403" s="8" t="str">
        <f>IFERROR(__xludf.DUMMYFUNCTION("""COMPUTED_VALUE"""),"Consumer")</f>
        <v>Consumer</v>
      </c>
      <c r="E1403" s="8" t="str">
        <f>IFERROR(__xludf.DUMMYFUNCTION("""COMPUTED_VALUE"""),"South")</f>
        <v>South</v>
      </c>
      <c r="F1403" s="10">
        <f>IFERROR(__xludf.DUMMYFUNCTION("""COMPUTED_VALUE"""),2.74)</f>
        <v>2.74</v>
      </c>
      <c r="G1403" s="11">
        <f>IFERROR(__xludf.DUMMYFUNCTION("""COMPUTED_VALUE"""),1.0)</f>
        <v>1</v>
      </c>
      <c r="H1403" s="11">
        <f>IFERROR(__xludf.DUMMYFUNCTION("""COMPUTED_VALUE"""),0.7398)</f>
        <v>0.7398</v>
      </c>
    </row>
    <row r="1404">
      <c r="A1404" s="8" t="str">
        <f>IFERROR(__xludf.DUMMYFUNCTION("""COMPUTED_VALUE"""),"CA-2015-145394")</f>
        <v>CA-2015-145394</v>
      </c>
      <c r="B1404" s="9">
        <f>IFERROR(__xludf.DUMMYFUNCTION("""COMPUTED_VALUE"""),42324.0)</f>
        <v>42324</v>
      </c>
      <c r="C1404" s="8" t="str">
        <f>IFERROR(__xludf.DUMMYFUNCTION("""COMPUTED_VALUE"""),"Matt Connell")</f>
        <v>Matt Connell</v>
      </c>
      <c r="D1404" s="8" t="str">
        <f>IFERROR(__xludf.DUMMYFUNCTION("""COMPUTED_VALUE"""),"Corporate")</f>
        <v>Corporate</v>
      </c>
      <c r="E1404" s="8" t="str">
        <f>IFERROR(__xludf.DUMMYFUNCTION("""COMPUTED_VALUE"""),"Central")</f>
        <v>Central</v>
      </c>
      <c r="F1404" s="10">
        <f>IFERROR(__xludf.DUMMYFUNCTION("""COMPUTED_VALUE"""),21.488)</f>
        <v>21.488</v>
      </c>
      <c r="G1404" s="11">
        <f>IFERROR(__xludf.DUMMYFUNCTION("""COMPUTED_VALUE"""),2.0)</f>
        <v>2</v>
      </c>
      <c r="H1404" s="11">
        <f>IFERROR(__xludf.DUMMYFUNCTION("""COMPUTED_VALUE"""),1.6116)</f>
        <v>1.6116</v>
      </c>
    </row>
    <row r="1405">
      <c r="A1405" s="8" t="str">
        <f>IFERROR(__xludf.DUMMYFUNCTION("""COMPUTED_VALUE"""),"CA-2015-145401")</f>
        <v>CA-2015-145401</v>
      </c>
      <c r="B1405" s="9">
        <f>IFERROR(__xludf.DUMMYFUNCTION("""COMPUTED_VALUE"""),42034.0)</f>
        <v>42034</v>
      </c>
      <c r="C1405" s="8" t="str">
        <f>IFERROR(__xludf.DUMMYFUNCTION("""COMPUTED_VALUE"""),"Jeremy Pistek")</f>
        <v>Jeremy Pistek</v>
      </c>
      <c r="D1405" s="8" t="str">
        <f>IFERROR(__xludf.DUMMYFUNCTION("""COMPUTED_VALUE"""),"Consumer")</f>
        <v>Consumer</v>
      </c>
      <c r="E1405" s="8" t="str">
        <f>IFERROR(__xludf.DUMMYFUNCTION("""COMPUTED_VALUE"""),"Central")</f>
        <v>Central</v>
      </c>
      <c r="F1405" s="10">
        <f>IFERROR(__xludf.DUMMYFUNCTION("""COMPUTED_VALUE"""),14.304)</f>
        <v>14.304</v>
      </c>
      <c r="G1405" s="11">
        <f>IFERROR(__xludf.DUMMYFUNCTION("""COMPUTED_VALUE"""),6.0)</f>
        <v>6</v>
      </c>
      <c r="H1405" s="11">
        <f>IFERROR(__xludf.DUMMYFUNCTION("""COMPUTED_VALUE"""),5.0064)</f>
        <v>5.0064</v>
      </c>
    </row>
    <row r="1406">
      <c r="A1406" s="8" t="str">
        <f>IFERROR(__xludf.DUMMYFUNCTION("""COMPUTED_VALUE"""),"CA-2015-145415")</f>
        <v>CA-2015-145415</v>
      </c>
      <c r="B1406" s="9">
        <f>IFERROR(__xludf.DUMMYFUNCTION("""COMPUTED_VALUE"""),42106.0)</f>
        <v>42106</v>
      </c>
      <c r="C1406" s="8" t="str">
        <f>IFERROR(__xludf.DUMMYFUNCTION("""COMPUTED_VALUE"""),"Robert Dilbeck")</f>
        <v>Robert Dilbeck</v>
      </c>
      <c r="D1406" s="8" t="str">
        <f>IFERROR(__xludf.DUMMYFUNCTION("""COMPUTED_VALUE"""),"Home Office")</f>
        <v>Home Office</v>
      </c>
      <c r="E1406" s="8" t="str">
        <f>IFERROR(__xludf.DUMMYFUNCTION("""COMPUTED_VALUE"""),"West")</f>
        <v>West</v>
      </c>
      <c r="F1406" s="10">
        <f>IFERROR(__xludf.DUMMYFUNCTION("""COMPUTED_VALUE"""),40.74)</f>
        <v>40.74</v>
      </c>
      <c r="G1406" s="11">
        <f>IFERROR(__xludf.DUMMYFUNCTION("""COMPUTED_VALUE"""),3.0)</f>
        <v>3</v>
      </c>
      <c r="H1406" s="11">
        <f>IFERROR(__xludf.DUMMYFUNCTION("""COMPUTED_VALUE"""),0.4074)</f>
        <v>0.4074</v>
      </c>
    </row>
    <row r="1407">
      <c r="A1407" s="8" t="str">
        <f>IFERROR(__xludf.DUMMYFUNCTION("""COMPUTED_VALUE"""),"CA-2015-145457")</f>
        <v>CA-2015-145457</v>
      </c>
      <c r="B1407" s="9">
        <f>IFERROR(__xludf.DUMMYFUNCTION("""COMPUTED_VALUE"""),42087.0)</f>
        <v>42087</v>
      </c>
      <c r="C1407" s="8" t="str">
        <f>IFERROR(__xludf.DUMMYFUNCTION("""COMPUTED_VALUE"""),"Cathy Prescott")</f>
        <v>Cathy Prescott</v>
      </c>
      <c r="D1407" s="8" t="str">
        <f>IFERROR(__xludf.DUMMYFUNCTION("""COMPUTED_VALUE"""),"Corporate")</f>
        <v>Corporate</v>
      </c>
      <c r="E1407" s="8" t="str">
        <f>IFERROR(__xludf.DUMMYFUNCTION("""COMPUTED_VALUE"""),"West")</f>
        <v>West</v>
      </c>
      <c r="F1407" s="10">
        <f>IFERROR(__xludf.DUMMYFUNCTION("""COMPUTED_VALUE"""),46.9)</f>
        <v>46.9</v>
      </c>
      <c r="G1407" s="11">
        <f>IFERROR(__xludf.DUMMYFUNCTION("""COMPUTED_VALUE"""),5.0)</f>
        <v>5</v>
      </c>
      <c r="H1407" s="11">
        <f>IFERROR(__xludf.DUMMYFUNCTION("""COMPUTED_VALUE"""),13.132)</f>
        <v>13.132</v>
      </c>
    </row>
    <row r="1408">
      <c r="A1408" s="8" t="str">
        <f>IFERROR(__xludf.DUMMYFUNCTION("""COMPUTED_VALUE"""),"CA-2015-145485")</f>
        <v>CA-2015-145485</v>
      </c>
      <c r="B1408" s="9">
        <f>IFERROR(__xludf.DUMMYFUNCTION("""COMPUTED_VALUE"""),42313.0)</f>
        <v>42313</v>
      </c>
      <c r="C1408" s="8" t="str">
        <f>IFERROR(__xludf.DUMMYFUNCTION("""COMPUTED_VALUE"""),"Justin MacKendrick")</f>
        <v>Justin MacKendrick</v>
      </c>
      <c r="D1408" s="8" t="str">
        <f>IFERROR(__xludf.DUMMYFUNCTION("""COMPUTED_VALUE"""),"Consumer")</f>
        <v>Consumer</v>
      </c>
      <c r="E1408" s="8" t="str">
        <f>IFERROR(__xludf.DUMMYFUNCTION("""COMPUTED_VALUE"""),"West")</f>
        <v>West</v>
      </c>
      <c r="F1408" s="10">
        <f>IFERROR(__xludf.DUMMYFUNCTION("""COMPUTED_VALUE"""),62.8)</f>
        <v>62.8</v>
      </c>
      <c r="G1408" s="11">
        <f>IFERROR(__xludf.DUMMYFUNCTION("""COMPUTED_VALUE"""),4.0)</f>
        <v>4</v>
      </c>
      <c r="H1408" s="11">
        <f>IFERROR(__xludf.DUMMYFUNCTION("""COMPUTED_VALUE"""),15.7)</f>
        <v>15.7</v>
      </c>
    </row>
    <row r="1409">
      <c r="A1409" s="8" t="str">
        <f>IFERROR(__xludf.DUMMYFUNCTION("""COMPUTED_VALUE"""),"CA-2015-145758")</f>
        <v>CA-2015-145758</v>
      </c>
      <c r="B1409" s="9">
        <f>IFERROR(__xludf.DUMMYFUNCTION("""COMPUTED_VALUE"""),42307.0)</f>
        <v>42307</v>
      </c>
      <c r="C1409" s="8" t="str">
        <f>IFERROR(__xludf.DUMMYFUNCTION("""COMPUTED_VALUE"""),"Barry Französisch")</f>
        <v>Barry Französisch</v>
      </c>
      <c r="D1409" s="8" t="str">
        <f>IFERROR(__xludf.DUMMYFUNCTION("""COMPUTED_VALUE"""),"Corporate")</f>
        <v>Corporate</v>
      </c>
      <c r="E1409" s="8" t="str">
        <f>IFERROR(__xludf.DUMMYFUNCTION("""COMPUTED_VALUE"""),"East")</f>
        <v>East</v>
      </c>
      <c r="F1409" s="10">
        <f>IFERROR(__xludf.DUMMYFUNCTION("""COMPUTED_VALUE"""),1035.8)</f>
        <v>1035.8</v>
      </c>
      <c r="G1409" s="11">
        <f>IFERROR(__xludf.DUMMYFUNCTION("""COMPUTED_VALUE"""),4.0)</f>
        <v>4</v>
      </c>
      <c r="H1409" s="11">
        <f>IFERROR(__xludf.DUMMYFUNCTION("""COMPUTED_VALUE"""),269.308)</f>
        <v>269.308</v>
      </c>
    </row>
    <row r="1410">
      <c r="A1410" s="8" t="str">
        <f>IFERROR(__xludf.DUMMYFUNCTION("""COMPUTED_VALUE"""),"CA-2015-145814")</f>
        <v>CA-2015-145814</v>
      </c>
      <c r="B1410" s="9">
        <f>IFERROR(__xludf.DUMMYFUNCTION("""COMPUTED_VALUE"""),42327.0)</f>
        <v>42327</v>
      </c>
      <c r="C1410" s="8" t="str">
        <f>IFERROR(__xludf.DUMMYFUNCTION("""COMPUTED_VALUE"""),"Katherine Ducich")</f>
        <v>Katherine Ducich</v>
      </c>
      <c r="D1410" s="8" t="str">
        <f>IFERROR(__xludf.DUMMYFUNCTION("""COMPUTED_VALUE"""),"Consumer")</f>
        <v>Consumer</v>
      </c>
      <c r="E1410" s="8" t="str">
        <f>IFERROR(__xludf.DUMMYFUNCTION("""COMPUTED_VALUE"""),"East")</f>
        <v>East</v>
      </c>
      <c r="F1410" s="10">
        <f>IFERROR(__xludf.DUMMYFUNCTION("""COMPUTED_VALUE"""),5.984)</f>
        <v>5.984</v>
      </c>
      <c r="G1410" s="11">
        <f>IFERROR(__xludf.DUMMYFUNCTION("""COMPUTED_VALUE"""),2.0)</f>
        <v>2</v>
      </c>
      <c r="H1410" s="11">
        <f>IFERROR(__xludf.DUMMYFUNCTION("""COMPUTED_VALUE"""),2.244)</f>
        <v>2.244</v>
      </c>
    </row>
    <row r="1411">
      <c r="A1411" s="8" t="str">
        <f>IFERROR(__xludf.DUMMYFUNCTION("""COMPUTED_VALUE"""),"CA-2015-145821")</f>
        <v>CA-2015-145821</v>
      </c>
      <c r="B1411" s="9">
        <f>IFERROR(__xludf.DUMMYFUNCTION("""COMPUTED_VALUE"""),42125.0)</f>
        <v>42125</v>
      </c>
      <c r="C1411" s="8" t="str">
        <f>IFERROR(__xludf.DUMMYFUNCTION("""COMPUTED_VALUE"""),"Jennifer Braxton")</f>
        <v>Jennifer Braxton</v>
      </c>
      <c r="D1411" s="8" t="str">
        <f>IFERROR(__xludf.DUMMYFUNCTION("""COMPUTED_VALUE"""),"Corporate")</f>
        <v>Corporate</v>
      </c>
      <c r="E1411" s="8" t="str">
        <f>IFERROR(__xludf.DUMMYFUNCTION("""COMPUTED_VALUE"""),"West")</f>
        <v>West</v>
      </c>
      <c r="F1411" s="10">
        <f>IFERROR(__xludf.DUMMYFUNCTION("""COMPUTED_VALUE"""),88.752)</f>
        <v>88.752</v>
      </c>
      <c r="G1411" s="11">
        <f>IFERROR(__xludf.DUMMYFUNCTION("""COMPUTED_VALUE"""),3.0)</f>
        <v>3</v>
      </c>
      <c r="H1411" s="11">
        <f>IFERROR(__xludf.DUMMYFUNCTION("""COMPUTED_VALUE"""),11.094)</f>
        <v>11.094</v>
      </c>
    </row>
    <row r="1412">
      <c r="A1412" s="8" t="str">
        <f>IFERROR(__xludf.DUMMYFUNCTION("""COMPUTED_VALUE"""),"CA-2015-145828")</f>
        <v>CA-2015-145828</v>
      </c>
      <c r="B1412" s="9">
        <f>IFERROR(__xludf.DUMMYFUNCTION("""COMPUTED_VALUE"""),42282.0)</f>
        <v>42282</v>
      </c>
      <c r="C1412" s="8" t="str">
        <f>IFERROR(__xludf.DUMMYFUNCTION("""COMPUTED_VALUE"""),"Maria Bertelson")</f>
        <v>Maria Bertelson</v>
      </c>
      <c r="D1412" s="8" t="str">
        <f>IFERROR(__xludf.DUMMYFUNCTION("""COMPUTED_VALUE"""),"Consumer")</f>
        <v>Consumer</v>
      </c>
      <c r="E1412" s="8" t="str">
        <f>IFERROR(__xludf.DUMMYFUNCTION("""COMPUTED_VALUE"""),"East")</f>
        <v>East</v>
      </c>
      <c r="F1412" s="10">
        <f>IFERROR(__xludf.DUMMYFUNCTION("""COMPUTED_VALUE"""),53.04)</f>
        <v>53.04</v>
      </c>
      <c r="G1412" s="11">
        <f>IFERROR(__xludf.DUMMYFUNCTION("""COMPUTED_VALUE"""),3.0)</f>
        <v>3</v>
      </c>
      <c r="H1412" s="11">
        <f>IFERROR(__xludf.DUMMYFUNCTION("""COMPUTED_VALUE"""),-4.641)</f>
        <v>-4.641</v>
      </c>
    </row>
    <row r="1413">
      <c r="A1413" s="8" t="str">
        <f>IFERROR(__xludf.DUMMYFUNCTION("""COMPUTED_VALUE"""),"CA-2015-145835")</f>
        <v>CA-2015-145835</v>
      </c>
      <c r="B1413" s="9">
        <f>IFERROR(__xludf.DUMMYFUNCTION("""COMPUTED_VALUE"""),42137.0)</f>
        <v>42137</v>
      </c>
      <c r="C1413" s="8" t="str">
        <f>IFERROR(__xludf.DUMMYFUNCTION("""COMPUTED_VALUE"""),"Ben Ferrer")</f>
        <v>Ben Ferrer</v>
      </c>
      <c r="D1413" s="8" t="str">
        <f>IFERROR(__xludf.DUMMYFUNCTION("""COMPUTED_VALUE"""),"Home Office")</f>
        <v>Home Office</v>
      </c>
      <c r="E1413" s="8" t="str">
        <f>IFERROR(__xludf.DUMMYFUNCTION("""COMPUTED_VALUE"""),"Central")</f>
        <v>Central</v>
      </c>
      <c r="F1413" s="10">
        <f>IFERROR(__xludf.DUMMYFUNCTION("""COMPUTED_VALUE"""),222.384)</f>
        <v>222.384</v>
      </c>
      <c r="G1413" s="11">
        <f>IFERROR(__xludf.DUMMYFUNCTION("""COMPUTED_VALUE"""),2.0)</f>
        <v>2</v>
      </c>
      <c r="H1413" s="11">
        <f>IFERROR(__xludf.DUMMYFUNCTION("""COMPUTED_VALUE"""),16.6788)</f>
        <v>16.6788</v>
      </c>
    </row>
    <row r="1414">
      <c r="A1414" s="8" t="str">
        <f>IFERROR(__xludf.DUMMYFUNCTION("""COMPUTED_VALUE"""),"CA-2015-145849")</f>
        <v>CA-2015-145849</v>
      </c>
      <c r="B1414" s="9">
        <f>IFERROR(__xludf.DUMMYFUNCTION("""COMPUTED_VALUE"""),42262.0)</f>
        <v>42262</v>
      </c>
      <c r="C1414" s="8" t="str">
        <f>IFERROR(__xludf.DUMMYFUNCTION("""COMPUTED_VALUE"""),"Carol Triggs")</f>
        <v>Carol Triggs</v>
      </c>
      <c r="D1414" s="8" t="str">
        <f>IFERROR(__xludf.DUMMYFUNCTION("""COMPUTED_VALUE"""),"Consumer")</f>
        <v>Consumer</v>
      </c>
      <c r="E1414" s="8" t="str">
        <f>IFERROR(__xludf.DUMMYFUNCTION("""COMPUTED_VALUE"""),"Central")</f>
        <v>Central</v>
      </c>
      <c r="F1414" s="10">
        <f>IFERROR(__xludf.DUMMYFUNCTION("""COMPUTED_VALUE"""),190.86)</f>
        <v>190.86</v>
      </c>
      <c r="G1414" s="11">
        <f>IFERROR(__xludf.DUMMYFUNCTION("""COMPUTED_VALUE"""),2.0)</f>
        <v>2</v>
      </c>
      <c r="H1414" s="11">
        <f>IFERROR(__xludf.DUMMYFUNCTION("""COMPUTED_VALUE"""),11.4516)</f>
        <v>11.4516</v>
      </c>
    </row>
    <row r="1415">
      <c r="A1415" s="8" t="str">
        <f>IFERROR(__xludf.DUMMYFUNCTION("""COMPUTED_VALUE"""),"CA-2015-146038")</f>
        <v>CA-2015-146038</v>
      </c>
      <c r="B1415" s="9">
        <f>IFERROR(__xludf.DUMMYFUNCTION("""COMPUTED_VALUE"""),42044.0)</f>
        <v>42044</v>
      </c>
      <c r="C1415" s="8" t="str">
        <f>IFERROR(__xludf.DUMMYFUNCTION("""COMPUTED_VALUE"""),"Sarah Jordon")</f>
        <v>Sarah Jordon</v>
      </c>
      <c r="D1415" s="8" t="str">
        <f>IFERROR(__xludf.DUMMYFUNCTION("""COMPUTED_VALUE"""),"Consumer")</f>
        <v>Consumer</v>
      </c>
      <c r="E1415" s="8" t="str">
        <f>IFERROR(__xludf.DUMMYFUNCTION("""COMPUTED_VALUE"""),"West")</f>
        <v>West</v>
      </c>
      <c r="F1415" s="10">
        <f>IFERROR(__xludf.DUMMYFUNCTION("""COMPUTED_VALUE"""),203.92)</f>
        <v>203.92</v>
      </c>
      <c r="G1415" s="11">
        <f>IFERROR(__xludf.DUMMYFUNCTION("""COMPUTED_VALUE"""),5.0)</f>
        <v>5</v>
      </c>
      <c r="H1415" s="11">
        <f>IFERROR(__xludf.DUMMYFUNCTION("""COMPUTED_VALUE"""),22.941)</f>
        <v>22.941</v>
      </c>
    </row>
    <row r="1416">
      <c r="A1416" s="8" t="str">
        <f>IFERROR(__xludf.DUMMYFUNCTION("""COMPUTED_VALUE"""),"CA-2015-146087")</f>
        <v>CA-2015-146087</v>
      </c>
      <c r="B1416" s="9">
        <f>IFERROR(__xludf.DUMMYFUNCTION("""COMPUTED_VALUE"""),42191.0)</f>
        <v>42191</v>
      </c>
      <c r="C1416" s="8" t="str">
        <f>IFERROR(__xludf.DUMMYFUNCTION("""COMPUTED_VALUE"""),"Paul Prost")</f>
        <v>Paul Prost</v>
      </c>
      <c r="D1416" s="8" t="str">
        <f>IFERROR(__xludf.DUMMYFUNCTION("""COMPUTED_VALUE"""),"Home Office")</f>
        <v>Home Office</v>
      </c>
      <c r="E1416" s="8" t="str">
        <f>IFERROR(__xludf.DUMMYFUNCTION("""COMPUTED_VALUE"""),"East")</f>
        <v>East</v>
      </c>
      <c r="F1416" s="10">
        <f>IFERROR(__xludf.DUMMYFUNCTION("""COMPUTED_VALUE"""),301.96)</f>
        <v>301.96</v>
      </c>
      <c r="G1416" s="11">
        <f>IFERROR(__xludf.DUMMYFUNCTION("""COMPUTED_VALUE"""),2.0)</f>
        <v>2</v>
      </c>
      <c r="H1416" s="11">
        <f>IFERROR(__xludf.DUMMYFUNCTION("""COMPUTED_VALUE"""),60.392)</f>
        <v>60.392</v>
      </c>
    </row>
    <row r="1417">
      <c r="A1417" s="8" t="str">
        <f>IFERROR(__xludf.DUMMYFUNCTION("""COMPUTED_VALUE"""),"CA-2015-146255")</f>
        <v>CA-2015-146255</v>
      </c>
      <c r="B1417" s="9">
        <f>IFERROR(__xludf.DUMMYFUNCTION("""COMPUTED_VALUE"""),42070.0)</f>
        <v>42070</v>
      </c>
      <c r="C1417" s="8" t="str">
        <f>IFERROR(__xludf.DUMMYFUNCTION("""COMPUTED_VALUE"""),"Eugene Moren")</f>
        <v>Eugene Moren</v>
      </c>
      <c r="D1417" s="8" t="str">
        <f>IFERROR(__xludf.DUMMYFUNCTION("""COMPUTED_VALUE"""),"Home Office")</f>
        <v>Home Office</v>
      </c>
      <c r="E1417" s="8" t="str">
        <f>IFERROR(__xludf.DUMMYFUNCTION("""COMPUTED_VALUE"""),"East")</f>
        <v>East</v>
      </c>
      <c r="F1417" s="10">
        <f>IFERROR(__xludf.DUMMYFUNCTION("""COMPUTED_VALUE"""),119.85)</f>
        <v>119.85</v>
      </c>
      <c r="G1417" s="11">
        <f>IFERROR(__xludf.DUMMYFUNCTION("""COMPUTED_VALUE"""),3.0)</f>
        <v>3</v>
      </c>
      <c r="H1417" s="11">
        <f>IFERROR(__xludf.DUMMYFUNCTION("""COMPUTED_VALUE"""),52.734)</f>
        <v>52.734</v>
      </c>
    </row>
    <row r="1418">
      <c r="A1418" s="8" t="str">
        <f>IFERROR(__xludf.DUMMYFUNCTION("""COMPUTED_VALUE"""),"CA-2015-146262")</f>
        <v>CA-2015-146262</v>
      </c>
      <c r="B1418" s="9">
        <f>IFERROR(__xludf.DUMMYFUNCTION("""COMPUTED_VALUE"""),42006.0)</f>
        <v>42006</v>
      </c>
      <c r="C1418" s="8" t="str">
        <f>IFERROR(__xludf.DUMMYFUNCTION("""COMPUTED_VALUE"""),"Victoria Wilson")</f>
        <v>Victoria Wilson</v>
      </c>
      <c r="D1418" s="8" t="str">
        <f>IFERROR(__xludf.DUMMYFUNCTION("""COMPUTED_VALUE"""),"Corporate")</f>
        <v>Corporate</v>
      </c>
      <c r="E1418" s="8" t="str">
        <f>IFERROR(__xludf.DUMMYFUNCTION("""COMPUTED_VALUE"""),"East")</f>
        <v>East</v>
      </c>
      <c r="F1418" s="10">
        <f>IFERROR(__xludf.DUMMYFUNCTION("""COMPUTED_VALUE"""),23.68)</f>
        <v>23.68</v>
      </c>
      <c r="G1418" s="11">
        <f>IFERROR(__xludf.DUMMYFUNCTION("""COMPUTED_VALUE"""),2.0)</f>
        <v>2</v>
      </c>
      <c r="H1418" s="11">
        <f>IFERROR(__xludf.DUMMYFUNCTION("""COMPUTED_VALUE"""),8.88)</f>
        <v>8.88</v>
      </c>
    </row>
    <row r="1419">
      <c r="A1419" s="8" t="str">
        <f>IFERROR(__xludf.DUMMYFUNCTION("""COMPUTED_VALUE"""),"CA-2015-146290")</f>
        <v>CA-2015-146290</v>
      </c>
      <c r="B1419" s="9">
        <f>IFERROR(__xludf.DUMMYFUNCTION("""COMPUTED_VALUE"""),42128.0)</f>
        <v>42128</v>
      </c>
      <c r="C1419" s="8" t="str">
        <f>IFERROR(__xludf.DUMMYFUNCTION("""COMPUTED_VALUE"""),"Stuart Van")</f>
        <v>Stuart Van</v>
      </c>
      <c r="D1419" s="8" t="str">
        <f>IFERROR(__xludf.DUMMYFUNCTION("""COMPUTED_VALUE"""),"Corporate")</f>
        <v>Corporate</v>
      </c>
      <c r="E1419" s="8" t="str">
        <f>IFERROR(__xludf.DUMMYFUNCTION("""COMPUTED_VALUE"""),"Central")</f>
        <v>Central</v>
      </c>
      <c r="F1419" s="10">
        <f>IFERROR(__xludf.DUMMYFUNCTION("""COMPUTED_VALUE"""),125.93)</f>
        <v>125.93</v>
      </c>
      <c r="G1419" s="11">
        <f>IFERROR(__xludf.DUMMYFUNCTION("""COMPUTED_VALUE"""),7.0)</f>
        <v>7</v>
      </c>
      <c r="H1419" s="11">
        <f>IFERROR(__xludf.DUMMYFUNCTION("""COMPUTED_VALUE"""),35.2604)</f>
        <v>35.2604</v>
      </c>
    </row>
    <row r="1420">
      <c r="A1420" s="8" t="str">
        <f>IFERROR(__xludf.DUMMYFUNCTION("""COMPUTED_VALUE"""),"CA-2015-146465")</f>
        <v>CA-2015-146465</v>
      </c>
      <c r="B1420" s="9">
        <f>IFERROR(__xludf.DUMMYFUNCTION("""COMPUTED_VALUE"""),42328.0)</f>
        <v>42328</v>
      </c>
      <c r="C1420" s="8" t="str">
        <f>IFERROR(__xludf.DUMMYFUNCTION("""COMPUTED_VALUE"""),"Patrick Bzostek")</f>
        <v>Patrick Bzostek</v>
      </c>
      <c r="D1420" s="8" t="str">
        <f>IFERROR(__xludf.DUMMYFUNCTION("""COMPUTED_VALUE"""),"Home Office")</f>
        <v>Home Office</v>
      </c>
      <c r="E1420" s="8" t="str">
        <f>IFERROR(__xludf.DUMMYFUNCTION("""COMPUTED_VALUE"""),"West")</f>
        <v>West</v>
      </c>
      <c r="F1420" s="10">
        <f>IFERROR(__xludf.DUMMYFUNCTION("""COMPUTED_VALUE"""),24.192)</f>
        <v>24.192</v>
      </c>
      <c r="G1420" s="11">
        <f>IFERROR(__xludf.DUMMYFUNCTION("""COMPUTED_VALUE"""),9.0)</f>
        <v>9</v>
      </c>
      <c r="H1420" s="11">
        <f>IFERROR(__xludf.DUMMYFUNCTION("""COMPUTED_VALUE"""),7.56)</f>
        <v>7.56</v>
      </c>
    </row>
    <row r="1421">
      <c r="A1421" s="8" t="str">
        <f>IFERROR(__xludf.DUMMYFUNCTION("""COMPUTED_VALUE"""),"CA-2015-146486")</f>
        <v>CA-2015-146486</v>
      </c>
      <c r="B1421" s="9">
        <f>IFERROR(__xludf.DUMMYFUNCTION("""COMPUTED_VALUE"""),42317.0)</f>
        <v>42317</v>
      </c>
      <c r="C1421" s="8" t="str">
        <f>IFERROR(__xludf.DUMMYFUNCTION("""COMPUTED_VALUE"""),"Dianna Vittorini")</f>
        <v>Dianna Vittorini</v>
      </c>
      <c r="D1421" s="8" t="str">
        <f>IFERROR(__xludf.DUMMYFUNCTION("""COMPUTED_VALUE"""),"Consumer")</f>
        <v>Consumer</v>
      </c>
      <c r="E1421" s="8" t="str">
        <f>IFERROR(__xludf.DUMMYFUNCTION("""COMPUTED_VALUE"""),"East")</f>
        <v>East</v>
      </c>
      <c r="F1421" s="10">
        <f>IFERROR(__xludf.DUMMYFUNCTION("""COMPUTED_VALUE"""),244.55)</f>
        <v>244.55</v>
      </c>
      <c r="G1421" s="11">
        <f>IFERROR(__xludf.DUMMYFUNCTION("""COMPUTED_VALUE"""),5.0)</f>
        <v>5</v>
      </c>
      <c r="H1421" s="11">
        <f>IFERROR(__xludf.DUMMYFUNCTION("""COMPUTED_VALUE"""),4.891)</f>
        <v>4.891</v>
      </c>
    </row>
    <row r="1422">
      <c r="A1422" s="8" t="str">
        <f>IFERROR(__xludf.DUMMYFUNCTION("""COMPUTED_VALUE"""),"CA-2015-146563")</f>
        <v>CA-2015-146563</v>
      </c>
      <c r="B1422" s="9">
        <f>IFERROR(__xludf.DUMMYFUNCTION("""COMPUTED_VALUE"""),42240.0)</f>
        <v>42240</v>
      </c>
      <c r="C1422" s="8" t="str">
        <f>IFERROR(__xludf.DUMMYFUNCTION("""COMPUTED_VALUE"""),"Cassandra Brandow")</f>
        <v>Cassandra Brandow</v>
      </c>
      <c r="D1422" s="8" t="str">
        <f>IFERROR(__xludf.DUMMYFUNCTION("""COMPUTED_VALUE"""),"Consumer")</f>
        <v>Consumer</v>
      </c>
      <c r="E1422" s="8" t="str">
        <f>IFERROR(__xludf.DUMMYFUNCTION("""COMPUTED_VALUE"""),"Central")</f>
        <v>Central</v>
      </c>
      <c r="F1422" s="10">
        <f>IFERROR(__xludf.DUMMYFUNCTION("""COMPUTED_VALUE"""),999.432)</f>
        <v>999.432</v>
      </c>
      <c r="G1422" s="11">
        <f>IFERROR(__xludf.DUMMYFUNCTION("""COMPUTED_VALUE"""),7.0)</f>
        <v>7</v>
      </c>
      <c r="H1422" s="11">
        <f>IFERROR(__xludf.DUMMYFUNCTION("""COMPUTED_VALUE"""),124.929)</f>
        <v>124.929</v>
      </c>
    </row>
    <row r="1423">
      <c r="A1423" s="8" t="str">
        <f>IFERROR(__xludf.DUMMYFUNCTION("""COMPUTED_VALUE"""),"CA-2015-146675")</f>
        <v>CA-2015-146675</v>
      </c>
      <c r="B1423" s="9">
        <f>IFERROR(__xludf.DUMMYFUNCTION("""COMPUTED_VALUE"""),42110.0)</f>
        <v>42110</v>
      </c>
      <c r="C1423" s="8" t="str">
        <f>IFERROR(__xludf.DUMMYFUNCTION("""COMPUTED_VALUE"""),"Sarah Brown")</f>
        <v>Sarah Brown</v>
      </c>
      <c r="D1423" s="8" t="str">
        <f>IFERROR(__xludf.DUMMYFUNCTION("""COMPUTED_VALUE"""),"Consumer")</f>
        <v>Consumer</v>
      </c>
      <c r="E1423" s="8" t="str">
        <f>IFERROR(__xludf.DUMMYFUNCTION("""COMPUTED_VALUE"""),"Central")</f>
        <v>Central</v>
      </c>
      <c r="F1423" s="10">
        <f>IFERROR(__xludf.DUMMYFUNCTION("""COMPUTED_VALUE"""),1439.968)</f>
        <v>1439.968</v>
      </c>
      <c r="G1423" s="11">
        <f>IFERROR(__xludf.DUMMYFUNCTION("""COMPUTED_VALUE"""),4.0)</f>
        <v>4</v>
      </c>
      <c r="H1423" s="11">
        <f>IFERROR(__xludf.DUMMYFUNCTION("""COMPUTED_VALUE"""),485.9892)</f>
        <v>485.9892</v>
      </c>
    </row>
    <row r="1424">
      <c r="A1424" s="8" t="str">
        <f>IFERROR(__xludf.DUMMYFUNCTION("""COMPUTED_VALUE"""),"CA-2015-146696")</f>
        <v>CA-2015-146696</v>
      </c>
      <c r="B1424" s="9">
        <f>IFERROR(__xludf.DUMMYFUNCTION("""COMPUTED_VALUE"""),42352.0)</f>
        <v>42352</v>
      </c>
      <c r="C1424" s="8" t="str">
        <f>IFERROR(__xludf.DUMMYFUNCTION("""COMPUTED_VALUE"""),"Rick Duston")</f>
        <v>Rick Duston</v>
      </c>
      <c r="D1424" s="8" t="str">
        <f>IFERROR(__xludf.DUMMYFUNCTION("""COMPUTED_VALUE"""),"Consumer")</f>
        <v>Consumer</v>
      </c>
      <c r="E1424" s="8" t="str">
        <f>IFERROR(__xludf.DUMMYFUNCTION("""COMPUTED_VALUE"""),"West")</f>
        <v>West</v>
      </c>
      <c r="F1424" s="10">
        <f>IFERROR(__xludf.DUMMYFUNCTION("""COMPUTED_VALUE"""),8.096)</f>
        <v>8.096</v>
      </c>
      <c r="G1424" s="11">
        <f>IFERROR(__xludf.DUMMYFUNCTION("""COMPUTED_VALUE"""),2.0)</f>
        <v>2</v>
      </c>
      <c r="H1424" s="11">
        <f>IFERROR(__xludf.DUMMYFUNCTION("""COMPUTED_VALUE"""),2.7324)</f>
        <v>2.7324</v>
      </c>
    </row>
    <row r="1425">
      <c r="A1425" s="8" t="str">
        <f>IFERROR(__xludf.DUMMYFUNCTION("""COMPUTED_VALUE"""),"CA-2015-146829")</f>
        <v>CA-2015-146829</v>
      </c>
      <c r="B1425" s="9">
        <f>IFERROR(__xludf.DUMMYFUNCTION("""COMPUTED_VALUE"""),42073.0)</f>
        <v>42073</v>
      </c>
      <c r="C1425" s="8" t="str">
        <f>IFERROR(__xludf.DUMMYFUNCTION("""COMPUTED_VALUE"""),"Toby Swindell")</f>
        <v>Toby Swindell</v>
      </c>
      <c r="D1425" s="8" t="str">
        <f>IFERROR(__xludf.DUMMYFUNCTION("""COMPUTED_VALUE"""),"Consumer")</f>
        <v>Consumer</v>
      </c>
      <c r="E1425" s="8" t="str">
        <f>IFERROR(__xludf.DUMMYFUNCTION("""COMPUTED_VALUE"""),"Central")</f>
        <v>Central</v>
      </c>
      <c r="F1425" s="10">
        <f>IFERROR(__xludf.DUMMYFUNCTION("""COMPUTED_VALUE"""),1.112)</f>
        <v>1.112</v>
      </c>
      <c r="G1425" s="11">
        <f>IFERROR(__xludf.DUMMYFUNCTION("""COMPUTED_VALUE"""),2.0)</f>
        <v>2</v>
      </c>
      <c r="H1425" s="11">
        <f>IFERROR(__xludf.DUMMYFUNCTION("""COMPUTED_VALUE"""),-1.8904)</f>
        <v>-1.8904</v>
      </c>
    </row>
    <row r="1426">
      <c r="A1426" s="8" t="str">
        <f>IFERROR(__xludf.DUMMYFUNCTION("""COMPUTED_VALUE"""),"CA-2015-146948")</f>
        <v>CA-2015-146948</v>
      </c>
      <c r="B1426" s="9">
        <f>IFERROR(__xludf.DUMMYFUNCTION("""COMPUTED_VALUE"""),42201.0)</f>
        <v>42201</v>
      </c>
      <c r="C1426" s="8" t="str">
        <f>IFERROR(__xludf.DUMMYFUNCTION("""COMPUTED_VALUE"""),"Michael Granlund")</f>
        <v>Michael Granlund</v>
      </c>
      <c r="D1426" s="8" t="str">
        <f>IFERROR(__xludf.DUMMYFUNCTION("""COMPUTED_VALUE"""),"Home Office")</f>
        <v>Home Office</v>
      </c>
      <c r="E1426" s="8" t="str">
        <f>IFERROR(__xludf.DUMMYFUNCTION("""COMPUTED_VALUE"""),"East")</f>
        <v>East</v>
      </c>
      <c r="F1426" s="10">
        <f>IFERROR(__xludf.DUMMYFUNCTION("""COMPUTED_VALUE"""),150.98)</f>
        <v>150.98</v>
      </c>
      <c r="G1426" s="11">
        <f>IFERROR(__xludf.DUMMYFUNCTION("""COMPUTED_VALUE"""),1.0)</f>
        <v>1</v>
      </c>
      <c r="H1426" s="11">
        <f>IFERROR(__xludf.DUMMYFUNCTION("""COMPUTED_VALUE"""),43.7842)</f>
        <v>43.7842</v>
      </c>
    </row>
    <row r="1427">
      <c r="A1427" s="8" t="str">
        <f>IFERROR(__xludf.DUMMYFUNCTION("""COMPUTED_VALUE"""),"CA-2015-147011")</f>
        <v>CA-2015-147011</v>
      </c>
      <c r="B1427" s="9">
        <f>IFERROR(__xludf.DUMMYFUNCTION("""COMPUTED_VALUE"""),42173.0)</f>
        <v>42173</v>
      </c>
      <c r="C1427" s="8" t="str">
        <f>IFERROR(__xludf.DUMMYFUNCTION("""COMPUTED_VALUE"""),"Harold Ryan")</f>
        <v>Harold Ryan</v>
      </c>
      <c r="D1427" s="8" t="str">
        <f>IFERROR(__xludf.DUMMYFUNCTION("""COMPUTED_VALUE"""),"Corporate")</f>
        <v>Corporate</v>
      </c>
      <c r="E1427" s="8" t="str">
        <f>IFERROR(__xludf.DUMMYFUNCTION("""COMPUTED_VALUE"""),"South")</f>
        <v>South</v>
      </c>
      <c r="F1427" s="10">
        <f>IFERROR(__xludf.DUMMYFUNCTION("""COMPUTED_VALUE"""),13.632)</f>
        <v>13.632</v>
      </c>
      <c r="G1427" s="11">
        <f>IFERROR(__xludf.DUMMYFUNCTION("""COMPUTED_VALUE"""),4.0)</f>
        <v>4</v>
      </c>
      <c r="H1427" s="11">
        <f>IFERROR(__xludf.DUMMYFUNCTION("""COMPUTED_VALUE"""),3.5784)</f>
        <v>3.5784</v>
      </c>
    </row>
    <row r="1428">
      <c r="A1428" s="8" t="str">
        <f>IFERROR(__xludf.DUMMYFUNCTION("""COMPUTED_VALUE"""),"CA-2015-147102")</f>
        <v>CA-2015-147102</v>
      </c>
      <c r="B1428" s="9">
        <f>IFERROR(__xludf.DUMMYFUNCTION("""COMPUTED_VALUE"""),42266.0)</f>
        <v>42266</v>
      </c>
      <c r="C1428" s="8" t="str">
        <f>IFERROR(__xludf.DUMMYFUNCTION("""COMPUTED_VALUE"""),"Nicole Hansen")</f>
        <v>Nicole Hansen</v>
      </c>
      <c r="D1428" s="8" t="str">
        <f>IFERROR(__xludf.DUMMYFUNCTION("""COMPUTED_VALUE"""),"Corporate")</f>
        <v>Corporate</v>
      </c>
      <c r="E1428" s="8" t="str">
        <f>IFERROR(__xludf.DUMMYFUNCTION("""COMPUTED_VALUE"""),"South")</f>
        <v>South</v>
      </c>
      <c r="F1428" s="10">
        <f>IFERROR(__xludf.DUMMYFUNCTION("""COMPUTED_VALUE"""),66.36)</f>
        <v>66.36</v>
      </c>
      <c r="G1428" s="11">
        <f>IFERROR(__xludf.DUMMYFUNCTION("""COMPUTED_VALUE"""),4.0)</f>
        <v>4</v>
      </c>
      <c r="H1428" s="11">
        <f>IFERROR(__xludf.DUMMYFUNCTION("""COMPUTED_VALUE"""),23.226)</f>
        <v>23.226</v>
      </c>
    </row>
    <row r="1429">
      <c r="A1429" s="8" t="str">
        <f>IFERROR(__xludf.DUMMYFUNCTION("""COMPUTED_VALUE"""),"CA-2015-147501")</f>
        <v>CA-2015-147501</v>
      </c>
      <c r="B1429" s="9">
        <f>IFERROR(__xludf.DUMMYFUNCTION("""COMPUTED_VALUE"""),42218.0)</f>
        <v>42218</v>
      </c>
      <c r="C1429" s="8" t="str">
        <f>IFERROR(__xludf.DUMMYFUNCTION("""COMPUTED_VALUE"""),"Corey-Lock")</f>
        <v>Corey-Lock</v>
      </c>
      <c r="D1429" s="8" t="str">
        <f>IFERROR(__xludf.DUMMYFUNCTION("""COMPUTED_VALUE"""),"Consumer")</f>
        <v>Consumer</v>
      </c>
      <c r="E1429" s="8" t="str">
        <f>IFERROR(__xludf.DUMMYFUNCTION("""COMPUTED_VALUE"""),"West")</f>
        <v>West</v>
      </c>
      <c r="F1429" s="10">
        <f>IFERROR(__xludf.DUMMYFUNCTION("""COMPUTED_VALUE"""),6.368)</f>
        <v>6.368</v>
      </c>
      <c r="G1429" s="11">
        <f>IFERROR(__xludf.DUMMYFUNCTION("""COMPUTED_VALUE"""),2.0)</f>
        <v>2</v>
      </c>
      <c r="H1429" s="11">
        <f>IFERROR(__xludf.DUMMYFUNCTION("""COMPUTED_VALUE"""),2.1492)</f>
        <v>2.1492</v>
      </c>
    </row>
    <row r="1430">
      <c r="A1430" s="8" t="str">
        <f>IFERROR(__xludf.DUMMYFUNCTION("""COMPUTED_VALUE"""),"CA-2015-147529")</f>
        <v>CA-2015-147529</v>
      </c>
      <c r="B1430" s="9">
        <f>IFERROR(__xludf.DUMMYFUNCTION("""COMPUTED_VALUE"""),42042.0)</f>
        <v>42042</v>
      </c>
      <c r="C1430" s="8" t="str">
        <f>IFERROR(__xludf.DUMMYFUNCTION("""COMPUTED_VALUE"""),"Damala Kotsonis")</f>
        <v>Damala Kotsonis</v>
      </c>
      <c r="D1430" s="8" t="str">
        <f>IFERROR(__xludf.DUMMYFUNCTION("""COMPUTED_VALUE"""),"Corporate")</f>
        <v>Corporate</v>
      </c>
      <c r="E1430" s="8" t="str">
        <f>IFERROR(__xludf.DUMMYFUNCTION("""COMPUTED_VALUE"""),"South")</f>
        <v>South</v>
      </c>
      <c r="F1430" s="10">
        <f>IFERROR(__xludf.DUMMYFUNCTION("""COMPUTED_VALUE"""),311.15)</f>
        <v>311.15</v>
      </c>
      <c r="G1430" s="11">
        <f>IFERROR(__xludf.DUMMYFUNCTION("""COMPUTED_VALUE"""),5.0)</f>
        <v>5</v>
      </c>
      <c r="H1430" s="11">
        <f>IFERROR(__xludf.DUMMYFUNCTION("""COMPUTED_VALUE"""),146.2405)</f>
        <v>146.2405</v>
      </c>
    </row>
    <row r="1431">
      <c r="A1431" s="8" t="str">
        <f>IFERROR(__xludf.DUMMYFUNCTION("""COMPUTED_VALUE"""),"CA-2015-147690")</f>
        <v>CA-2015-147690</v>
      </c>
      <c r="B1431" s="9">
        <f>IFERROR(__xludf.DUMMYFUNCTION("""COMPUTED_VALUE"""),42318.0)</f>
        <v>42318</v>
      </c>
      <c r="C1431" s="8" t="str">
        <f>IFERROR(__xludf.DUMMYFUNCTION("""COMPUTED_VALUE"""),"Sam Craven")</f>
        <v>Sam Craven</v>
      </c>
      <c r="D1431" s="8" t="str">
        <f>IFERROR(__xludf.DUMMYFUNCTION("""COMPUTED_VALUE"""),"Consumer")</f>
        <v>Consumer</v>
      </c>
      <c r="E1431" s="8" t="str">
        <f>IFERROR(__xludf.DUMMYFUNCTION("""COMPUTED_VALUE"""),"East")</f>
        <v>East</v>
      </c>
      <c r="F1431" s="10">
        <f>IFERROR(__xludf.DUMMYFUNCTION("""COMPUTED_VALUE"""),577.584)</f>
        <v>577.584</v>
      </c>
      <c r="G1431" s="11">
        <f>IFERROR(__xludf.DUMMYFUNCTION("""COMPUTED_VALUE"""),6.0)</f>
        <v>6</v>
      </c>
      <c r="H1431" s="11">
        <f>IFERROR(__xludf.DUMMYFUNCTION("""COMPUTED_VALUE"""),43.3188)</f>
        <v>43.3188</v>
      </c>
    </row>
    <row r="1432">
      <c r="A1432" s="8" t="str">
        <f>IFERROR(__xludf.DUMMYFUNCTION("""COMPUTED_VALUE"""),"CA-2015-147788")</f>
        <v>CA-2015-147788</v>
      </c>
      <c r="B1432" s="9">
        <f>IFERROR(__xludf.DUMMYFUNCTION("""COMPUTED_VALUE"""),42155.0)</f>
        <v>42155</v>
      </c>
      <c r="C1432" s="8" t="str">
        <f>IFERROR(__xludf.DUMMYFUNCTION("""COMPUTED_VALUE"""),"Tamara Manning")</f>
        <v>Tamara Manning</v>
      </c>
      <c r="D1432" s="8" t="str">
        <f>IFERROR(__xludf.DUMMYFUNCTION("""COMPUTED_VALUE"""),"Consumer")</f>
        <v>Consumer</v>
      </c>
      <c r="E1432" s="8" t="str">
        <f>IFERROR(__xludf.DUMMYFUNCTION("""COMPUTED_VALUE"""),"West")</f>
        <v>West</v>
      </c>
      <c r="F1432" s="10">
        <f>IFERROR(__xludf.DUMMYFUNCTION("""COMPUTED_VALUE"""),1406.86)</f>
        <v>1406.86</v>
      </c>
      <c r="G1432" s="11">
        <f>IFERROR(__xludf.DUMMYFUNCTION("""COMPUTED_VALUE"""),7.0)</f>
        <v>7</v>
      </c>
      <c r="H1432" s="11">
        <f>IFERROR(__xludf.DUMMYFUNCTION("""COMPUTED_VALUE"""),140.686)</f>
        <v>140.686</v>
      </c>
    </row>
    <row r="1433">
      <c r="A1433" s="8" t="str">
        <f>IFERROR(__xludf.DUMMYFUNCTION("""COMPUTED_VALUE"""),"CA-2015-147816")</f>
        <v>CA-2015-147816</v>
      </c>
      <c r="B1433" s="9">
        <f>IFERROR(__xludf.DUMMYFUNCTION("""COMPUTED_VALUE"""),42271.0)</f>
        <v>42271</v>
      </c>
      <c r="C1433" s="8" t="str">
        <f>IFERROR(__xludf.DUMMYFUNCTION("""COMPUTED_VALUE"""),"Carlos Meador")</f>
        <v>Carlos Meador</v>
      </c>
      <c r="D1433" s="8" t="str">
        <f>IFERROR(__xludf.DUMMYFUNCTION("""COMPUTED_VALUE"""),"Consumer")</f>
        <v>Consumer</v>
      </c>
      <c r="E1433" s="8" t="str">
        <f>IFERROR(__xludf.DUMMYFUNCTION("""COMPUTED_VALUE"""),"West")</f>
        <v>West</v>
      </c>
      <c r="F1433" s="10">
        <f>IFERROR(__xludf.DUMMYFUNCTION("""COMPUTED_VALUE"""),35.12)</f>
        <v>35.12</v>
      </c>
      <c r="G1433" s="11">
        <f>IFERROR(__xludf.DUMMYFUNCTION("""COMPUTED_VALUE"""),2.0)</f>
        <v>2</v>
      </c>
      <c r="H1433" s="11">
        <f>IFERROR(__xludf.DUMMYFUNCTION("""COMPUTED_VALUE"""),13.17)</f>
        <v>13.17</v>
      </c>
    </row>
    <row r="1434">
      <c r="A1434" s="8" t="str">
        <f>IFERROR(__xludf.DUMMYFUNCTION("""COMPUTED_VALUE"""),"CA-2015-147830")</f>
        <v>CA-2015-147830</v>
      </c>
      <c r="B1434" s="9">
        <f>IFERROR(__xludf.DUMMYFUNCTION("""COMPUTED_VALUE"""),42353.0)</f>
        <v>42353</v>
      </c>
      <c r="C1434" s="8" t="str">
        <f>IFERROR(__xludf.DUMMYFUNCTION("""COMPUTED_VALUE"""),"Natalie Fritzler")</f>
        <v>Natalie Fritzler</v>
      </c>
      <c r="D1434" s="8" t="str">
        <f>IFERROR(__xludf.DUMMYFUNCTION("""COMPUTED_VALUE"""),"Consumer")</f>
        <v>Consumer</v>
      </c>
      <c r="E1434" s="8" t="str">
        <f>IFERROR(__xludf.DUMMYFUNCTION("""COMPUTED_VALUE"""),"East")</f>
        <v>East</v>
      </c>
      <c r="F1434" s="10">
        <f>IFERROR(__xludf.DUMMYFUNCTION("""COMPUTED_VALUE"""),2025.36)</f>
        <v>2025.36</v>
      </c>
      <c r="G1434" s="11">
        <f>IFERROR(__xludf.DUMMYFUNCTION("""COMPUTED_VALUE"""),6.0)</f>
        <v>6</v>
      </c>
      <c r="H1434" s="11">
        <f>IFERROR(__xludf.DUMMYFUNCTION("""COMPUTED_VALUE"""),607.608)</f>
        <v>607.608</v>
      </c>
    </row>
    <row r="1435">
      <c r="A1435" s="8" t="str">
        <f>IFERROR(__xludf.DUMMYFUNCTION("""COMPUTED_VALUE"""),"CA-2015-147851")</f>
        <v>CA-2015-147851</v>
      </c>
      <c r="B1435" s="9">
        <f>IFERROR(__xludf.DUMMYFUNCTION("""COMPUTED_VALUE"""),42341.0)</f>
        <v>42341</v>
      </c>
      <c r="C1435" s="8" t="str">
        <f>IFERROR(__xludf.DUMMYFUNCTION("""COMPUTED_VALUE"""),"Mark Packer")</f>
        <v>Mark Packer</v>
      </c>
      <c r="D1435" s="8" t="str">
        <f>IFERROR(__xludf.DUMMYFUNCTION("""COMPUTED_VALUE"""),"Home Office")</f>
        <v>Home Office</v>
      </c>
      <c r="E1435" s="8" t="str">
        <f>IFERROR(__xludf.DUMMYFUNCTION("""COMPUTED_VALUE"""),"East")</f>
        <v>East</v>
      </c>
      <c r="F1435" s="10">
        <f>IFERROR(__xludf.DUMMYFUNCTION("""COMPUTED_VALUE"""),10.752)</f>
        <v>10.752</v>
      </c>
      <c r="G1435" s="11">
        <f>IFERROR(__xludf.DUMMYFUNCTION("""COMPUTED_VALUE"""),4.0)</f>
        <v>4</v>
      </c>
      <c r="H1435" s="11">
        <f>IFERROR(__xludf.DUMMYFUNCTION("""COMPUTED_VALUE"""),3.36)</f>
        <v>3.36</v>
      </c>
    </row>
    <row r="1436">
      <c r="A1436" s="8" t="str">
        <f>IFERROR(__xludf.DUMMYFUNCTION("""COMPUTED_VALUE"""),"CA-2015-147879")</f>
        <v>CA-2015-147879</v>
      </c>
      <c r="B1436" s="9">
        <f>IFERROR(__xludf.DUMMYFUNCTION("""COMPUTED_VALUE"""),42131.0)</f>
        <v>42131</v>
      </c>
      <c r="C1436" s="8" t="str">
        <f>IFERROR(__xludf.DUMMYFUNCTION("""COMPUTED_VALUE"""),"Chris Cortes")</f>
        <v>Chris Cortes</v>
      </c>
      <c r="D1436" s="8" t="str">
        <f>IFERROR(__xludf.DUMMYFUNCTION("""COMPUTED_VALUE"""),"Consumer")</f>
        <v>Consumer</v>
      </c>
      <c r="E1436" s="8" t="str">
        <f>IFERROR(__xludf.DUMMYFUNCTION("""COMPUTED_VALUE"""),"South")</f>
        <v>South</v>
      </c>
      <c r="F1436" s="10">
        <f>IFERROR(__xludf.DUMMYFUNCTION("""COMPUTED_VALUE"""),45.68)</f>
        <v>45.68</v>
      </c>
      <c r="G1436" s="11">
        <f>IFERROR(__xludf.DUMMYFUNCTION("""COMPUTED_VALUE"""),2.0)</f>
        <v>2</v>
      </c>
      <c r="H1436" s="11">
        <f>IFERROR(__xludf.DUMMYFUNCTION("""COMPUTED_VALUE"""),21.0128)</f>
        <v>21.0128</v>
      </c>
    </row>
    <row r="1437">
      <c r="A1437" s="8" t="str">
        <f>IFERROR(__xludf.DUMMYFUNCTION("""COMPUTED_VALUE"""),"CA-2015-148180")</f>
        <v>CA-2015-148180</v>
      </c>
      <c r="B1437" s="9">
        <f>IFERROR(__xludf.DUMMYFUNCTION("""COMPUTED_VALUE"""),42211.0)</f>
        <v>42211</v>
      </c>
      <c r="C1437" s="8" t="str">
        <f>IFERROR(__xludf.DUMMYFUNCTION("""COMPUTED_VALUE"""),"Bart Pistole")</f>
        <v>Bart Pistole</v>
      </c>
      <c r="D1437" s="8" t="str">
        <f>IFERROR(__xludf.DUMMYFUNCTION("""COMPUTED_VALUE"""),"Corporate")</f>
        <v>Corporate</v>
      </c>
      <c r="E1437" s="8" t="str">
        <f>IFERROR(__xludf.DUMMYFUNCTION("""COMPUTED_VALUE"""),"West")</f>
        <v>West</v>
      </c>
      <c r="F1437" s="10">
        <f>IFERROR(__xludf.DUMMYFUNCTION("""COMPUTED_VALUE"""),9.144)</f>
        <v>9.144</v>
      </c>
      <c r="G1437" s="11">
        <f>IFERROR(__xludf.DUMMYFUNCTION("""COMPUTED_VALUE"""),3.0)</f>
        <v>3</v>
      </c>
      <c r="H1437" s="11">
        <f>IFERROR(__xludf.DUMMYFUNCTION("""COMPUTED_VALUE"""),3.0861)</f>
        <v>3.0861</v>
      </c>
    </row>
    <row r="1438">
      <c r="A1438" s="8" t="str">
        <f>IFERROR(__xludf.DUMMYFUNCTION("""COMPUTED_VALUE"""),"CA-2015-148250")</f>
        <v>CA-2015-148250</v>
      </c>
      <c r="B1438" s="9">
        <f>IFERROR(__xludf.DUMMYFUNCTION("""COMPUTED_VALUE"""),42351.0)</f>
        <v>42351</v>
      </c>
      <c r="C1438" s="8" t="str">
        <f>IFERROR(__xludf.DUMMYFUNCTION("""COMPUTED_VALUE"""),"Rachel Payne")</f>
        <v>Rachel Payne</v>
      </c>
      <c r="D1438" s="8" t="str">
        <f>IFERROR(__xludf.DUMMYFUNCTION("""COMPUTED_VALUE"""),"Corporate")</f>
        <v>Corporate</v>
      </c>
      <c r="E1438" s="8" t="str">
        <f>IFERROR(__xludf.DUMMYFUNCTION("""COMPUTED_VALUE"""),"West")</f>
        <v>West</v>
      </c>
      <c r="F1438" s="10">
        <f>IFERROR(__xludf.DUMMYFUNCTION("""COMPUTED_VALUE"""),12.96)</f>
        <v>12.96</v>
      </c>
      <c r="G1438" s="11">
        <f>IFERROR(__xludf.DUMMYFUNCTION("""COMPUTED_VALUE"""),2.0)</f>
        <v>2</v>
      </c>
      <c r="H1438" s="11">
        <f>IFERROR(__xludf.DUMMYFUNCTION("""COMPUTED_VALUE"""),6.2208)</f>
        <v>6.2208</v>
      </c>
    </row>
    <row r="1439">
      <c r="A1439" s="8" t="str">
        <f>IFERROR(__xludf.DUMMYFUNCTION("""COMPUTED_VALUE"""),"CA-2015-148376")</f>
        <v>CA-2015-148376</v>
      </c>
      <c r="B1439" s="9">
        <f>IFERROR(__xludf.DUMMYFUNCTION("""COMPUTED_VALUE"""),42365.0)</f>
        <v>42365</v>
      </c>
      <c r="C1439" s="8" t="str">
        <f>IFERROR(__xludf.DUMMYFUNCTION("""COMPUTED_VALUE"""),"Arthur Gainer")</f>
        <v>Arthur Gainer</v>
      </c>
      <c r="D1439" s="8" t="str">
        <f>IFERROR(__xludf.DUMMYFUNCTION("""COMPUTED_VALUE"""),"Consumer")</f>
        <v>Consumer</v>
      </c>
      <c r="E1439" s="8" t="str">
        <f>IFERROR(__xludf.DUMMYFUNCTION("""COMPUTED_VALUE"""),"West")</f>
        <v>West</v>
      </c>
      <c r="F1439" s="10">
        <f>IFERROR(__xludf.DUMMYFUNCTION("""COMPUTED_VALUE"""),106.96)</f>
        <v>106.96</v>
      </c>
      <c r="G1439" s="11">
        <f>IFERROR(__xludf.DUMMYFUNCTION("""COMPUTED_VALUE"""),2.0)</f>
        <v>2</v>
      </c>
      <c r="H1439" s="11">
        <f>IFERROR(__xludf.DUMMYFUNCTION("""COMPUTED_VALUE"""),31.0184)</f>
        <v>31.0184</v>
      </c>
    </row>
    <row r="1440">
      <c r="A1440" s="8" t="str">
        <f>IFERROR(__xludf.DUMMYFUNCTION("""COMPUTED_VALUE"""),"CA-2015-148432")</f>
        <v>CA-2015-148432</v>
      </c>
      <c r="B1440" s="9">
        <f>IFERROR(__xludf.DUMMYFUNCTION("""COMPUTED_VALUE"""),42315.0)</f>
        <v>42315</v>
      </c>
      <c r="C1440" s="8" t="str">
        <f>IFERROR(__xludf.DUMMYFUNCTION("""COMPUTED_VALUE"""),"Mike Caudle")</f>
        <v>Mike Caudle</v>
      </c>
      <c r="D1440" s="8" t="str">
        <f>IFERROR(__xludf.DUMMYFUNCTION("""COMPUTED_VALUE"""),"Corporate")</f>
        <v>Corporate</v>
      </c>
      <c r="E1440" s="8" t="str">
        <f>IFERROR(__xludf.DUMMYFUNCTION("""COMPUTED_VALUE"""),"East")</f>
        <v>East</v>
      </c>
      <c r="F1440" s="10">
        <f>IFERROR(__xludf.DUMMYFUNCTION("""COMPUTED_VALUE"""),26.18)</f>
        <v>26.18</v>
      </c>
      <c r="G1440" s="11">
        <f>IFERROR(__xludf.DUMMYFUNCTION("""COMPUTED_VALUE"""),7.0)</f>
        <v>7</v>
      </c>
      <c r="H1440" s="11">
        <f>IFERROR(__xludf.DUMMYFUNCTION("""COMPUTED_VALUE"""),0.5236)</f>
        <v>0.5236</v>
      </c>
    </row>
    <row r="1441">
      <c r="A1441" s="8" t="str">
        <f>IFERROR(__xludf.DUMMYFUNCTION("""COMPUTED_VALUE"""),"CA-2015-148495")</f>
        <v>CA-2015-148495</v>
      </c>
      <c r="B1441" s="9">
        <f>IFERROR(__xludf.DUMMYFUNCTION("""COMPUTED_VALUE"""),42229.0)</f>
        <v>42229</v>
      </c>
      <c r="C1441" s="8" t="str">
        <f>IFERROR(__xludf.DUMMYFUNCTION("""COMPUTED_VALUE"""),"Sandra Flanagan")</f>
        <v>Sandra Flanagan</v>
      </c>
      <c r="D1441" s="8" t="str">
        <f>IFERROR(__xludf.DUMMYFUNCTION("""COMPUTED_VALUE"""),"Consumer")</f>
        <v>Consumer</v>
      </c>
      <c r="E1441" s="8" t="str">
        <f>IFERROR(__xludf.DUMMYFUNCTION("""COMPUTED_VALUE"""),"West")</f>
        <v>West</v>
      </c>
      <c r="F1441" s="10">
        <f>IFERROR(__xludf.DUMMYFUNCTION("""COMPUTED_VALUE"""),31.56)</f>
        <v>31.56</v>
      </c>
      <c r="G1441" s="11">
        <f>IFERROR(__xludf.DUMMYFUNCTION("""COMPUTED_VALUE"""),3.0)</f>
        <v>3</v>
      </c>
      <c r="H1441" s="11">
        <f>IFERROR(__xludf.DUMMYFUNCTION("""COMPUTED_VALUE"""),10.4148)</f>
        <v>10.4148</v>
      </c>
    </row>
    <row r="1442">
      <c r="A1442" s="8" t="str">
        <f>IFERROR(__xludf.DUMMYFUNCTION("""COMPUTED_VALUE"""),"CA-2015-148628")</f>
        <v>CA-2015-148628</v>
      </c>
      <c r="B1442" s="9">
        <f>IFERROR(__xludf.DUMMYFUNCTION("""COMPUTED_VALUE"""),42344.0)</f>
        <v>42344</v>
      </c>
      <c r="C1442" s="8" t="str">
        <f>IFERROR(__xludf.DUMMYFUNCTION("""COMPUTED_VALUE"""),"Katherine Murray")</f>
        <v>Katherine Murray</v>
      </c>
      <c r="D1442" s="8" t="str">
        <f>IFERROR(__xludf.DUMMYFUNCTION("""COMPUTED_VALUE"""),"Home Office")</f>
        <v>Home Office</v>
      </c>
      <c r="E1442" s="8" t="str">
        <f>IFERROR(__xludf.DUMMYFUNCTION("""COMPUTED_VALUE"""),"West")</f>
        <v>West</v>
      </c>
      <c r="F1442" s="10">
        <f>IFERROR(__xludf.DUMMYFUNCTION("""COMPUTED_VALUE"""),32.75)</f>
        <v>32.75</v>
      </c>
      <c r="G1442" s="11">
        <f>IFERROR(__xludf.DUMMYFUNCTION("""COMPUTED_VALUE"""),5.0)</f>
        <v>5</v>
      </c>
      <c r="H1442" s="11">
        <f>IFERROR(__xludf.DUMMYFUNCTION("""COMPUTED_VALUE"""),15.065)</f>
        <v>15.065</v>
      </c>
    </row>
    <row r="1443">
      <c r="A1443" s="8" t="str">
        <f>IFERROR(__xludf.DUMMYFUNCTION("""COMPUTED_VALUE"""),"CA-2015-148635")</f>
        <v>CA-2015-148635</v>
      </c>
      <c r="B1443" s="9">
        <f>IFERROR(__xludf.DUMMYFUNCTION("""COMPUTED_VALUE"""),42210.0)</f>
        <v>42210</v>
      </c>
      <c r="C1443" s="8" t="str">
        <f>IFERROR(__xludf.DUMMYFUNCTION("""COMPUTED_VALUE"""),"Michelle Huthwaite")</f>
        <v>Michelle Huthwaite</v>
      </c>
      <c r="D1443" s="8" t="str">
        <f>IFERROR(__xludf.DUMMYFUNCTION("""COMPUTED_VALUE"""),"Consumer")</f>
        <v>Consumer</v>
      </c>
      <c r="E1443" s="8" t="str">
        <f>IFERROR(__xludf.DUMMYFUNCTION("""COMPUTED_VALUE"""),"West")</f>
        <v>West</v>
      </c>
      <c r="F1443" s="10">
        <f>IFERROR(__xludf.DUMMYFUNCTION("""COMPUTED_VALUE"""),9.42)</f>
        <v>9.42</v>
      </c>
      <c r="G1443" s="11">
        <f>IFERROR(__xludf.DUMMYFUNCTION("""COMPUTED_VALUE"""),2.0)</f>
        <v>2</v>
      </c>
      <c r="H1443" s="11">
        <f>IFERROR(__xludf.DUMMYFUNCTION("""COMPUTED_VALUE"""),0.471)</f>
        <v>0.471</v>
      </c>
    </row>
    <row r="1444">
      <c r="A1444" s="8" t="str">
        <f>IFERROR(__xludf.DUMMYFUNCTION("""COMPUTED_VALUE"""),"CA-2015-148705")</f>
        <v>CA-2015-148705</v>
      </c>
      <c r="B1444" s="9">
        <f>IFERROR(__xludf.DUMMYFUNCTION("""COMPUTED_VALUE"""),42075.0)</f>
        <v>42075</v>
      </c>
      <c r="C1444" s="8" t="str">
        <f>IFERROR(__xludf.DUMMYFUNCTION("""COMPUTED_VALUE"""),"Evan Bailliet")</f>
        <v>Evan Bailliet</v>
      </c>
      <c r="D1444" s="8" t="str">
        <f>IFERROR(__xludf.DUMMYFUNCTION("""COMPUTED_VALUE"""),"Consumer")</f>
        <v>Consumer</v>
      </c>
      <c r="E1444" s="8" t="str">
        <f>IFERROR(__xludf.DUMMYFUNCTION("""COMPUTED_VALUE"""),"South")</f>
        <v>South</v>
      </c>
      <c r="F1444" s="10">
        <f>IFERROR(__xludf.DUMMYFUNCTION("""COMPUTED_VALUE"""),5.04)</f>
        <v>5.04</v>
      </c>
      <c r="G1444" s="11">
        <f>IFERROR(__xludf.DUMMYFUNCTION("""COMPUTED_VALUE"""),2.0)</f>
        <v>2</v>
      </c>
      <c r="H1444" s="11">
        <f>IFERROR(__xludf.DUMMYFUNCTION("""COMPUTED_VALUE"""),1.764)</f>
        <v>1.764</v>
      </c>
    </row>
    <row r="1445">
      <c r="A1445" s="8" t="str">
        <f>IFERROR(__xludf.DUMMYFUNCTION("""COMPUTED_VALUE"""),"CA-2015-148712")</f>
        <v>CA-2015-148712</v>
      </c>
      <c r="B1445" s="9">
        <f>IFERROR(__xludf.DUMMYFUNCTION("""COMPUTED_VALUE"""),42111.0)</f>
        <v>42111</v>
      </c>
      <c r="C1445" s="8" t="str">
        <f>IFERROR(__xludf.DUMMYFUNCTION("""COMPUTED_VALUE"""),"Jessica Myrick")</f>
        <v>Jessica Myrick</v>
      </c>
      <c r="D1445" s="8" t="str">
        <f>IFERROR(__xludf.DUMMYFUNCTION("""COMPUTED_VALUE"""),"Consumer")</f>
        <v>Consumer</v>
      </c>
      <c r="E1445" s="8" t="str">
        <f>IFERROR(__xludf.DUMMYFUNCTION("""COMPUTED_VALUE"""),"East")</f>
        <v>East</v>
      </c>
      <c r="F1445" s="10">
        <f>IFERROR(__xludf.DUMMYFUNCTION("""COMPUTED_VALUE"""),99.6)</f>
        <v>99.6</v>
      </c>
      <c r="G1445" s="11">
        <f>IFERROR(__xludf.DUMMYFUNCTION("""COMPUTED_VALUE"""),1.0)</f>
        <v>1</v>
      </c>
      <c r="H1445" s="11">
        <f>IFERROR(__xludf.DUMMYFUNCTION("""COMPUTED_VALUE"""),36.852)</f>
        <v>36.852</v>
      </c>
    </row>
    <row r="1446">
      <c r="A1446" s="8" t="str">
        <f>IFERROR(__xludf.DUMMYFUNCTION("""COMPUTED_VALUE"""),"CA-2015-148859")</f>
        <v>CA-2015-148859</v>
      </c>
      <c r="B1446" s="9">
        <f>IFERROR(__xludf.DUMMYFUNCTION("""COMPUTED_VALUE"""),42366.0)</f>
        <v>42366</v>
      </c>
      <c r="C1446" s="8" t="str">
        <f>IFERROR(__xludf.DUMMYFUNCTION("""COMPUTED_VALUE"""),"Fred Harton")</f>
        <v>Fred Harton</v>
      </c>
      <c r="D1446" s="8" t="str">
        <f>IFERROR(__xludf.DUMMYFUNCTION("""COMPUTED_VALUE"""),"Consumer")</f>
        <v>Consumer</v>
      </c>
      <c r="E1446" s="8" t="str">
        <f>IFERROR(__xludf.DUMMYFUNCTION("""COMPUTED_VALUE"""),"Central")</f>
        <v>Central</v>
      </c>
      <c r="F1446" s="10">
        <f>IFERROR(__xludf.DUMMYFUNCTION("""COMPUTED_VALUE"""),24.816)</f>
        <v>24.816</v>
      </c>
      <c r="G1446" s="11">
        <f>IFERROR(__xludf.DUMMYFUNCTION("""COMPUTED_VALUE"""),2.0)</f>
        <v>2</v>
      </c>
      <c r="H1446" s="11">
        <f>IFERROR(__xludf.DUMMYFUNCTION("""COMPUTED_VALUE"""),1.551)</f>
        <v>1.551</v>
      </c>
    </row>
    <row r="1447">
      <c r="A1447" s="8" t="str">
        <f>IFERROR(__xludf.DUMMYFUNCTION("""COMPUTED_VALUE"""),"CA-2015-148873")</f>
        <v>CA-2015-148873</v>
      </c>
      <c r="B1447" s="9">
        <f>IFERROR(__xludf.DUMMYFUNCTION("""COMPUTED_VALUE"""),42278.0)</f>
        <v>42278</v>
      </c>
      <c r="C1447" s="8" t="str">
        <f>IFERROR(__xludf.DUMMYFUNCTION("""COMPUTED_VALUE"""),"Eric Murdock")</f>
        <v>Eric Murdock</v>
      </c>
      <c r="D1447" s="8" t="str">
        <f>IFERROR(__xludf.DUMMYFUNCTION("""COMPUTED_VALUE"""),"Consumer")</f>
        <v>Consumer</v>
      </c>
      <c r="E1447" s="8" t="str">
        <f>IFERROR(__xludf.DUMMYFUNCTION("""COMPUTED_VALUE"""),"Central")</f>
        <v>Central</v>
      </c>
      <c r="F1447" s="10">
        <f>IFERROR(__xludf.DUMMYFUNCTION("""COMPUTED_VALUE"""),2.992)</f>
        <v>2.992</v>
      </c>
      <c r="G1447" s="11">
        <f>IFERROR(__xludf.DUMMYFUNCTION("""COMPUTED_VALUE"""),4.0)</f>
        <v>4</v>
      </c>
      <c r="H1447" s="11">
        <f>IFERROR(__xludf.DUMMYFUNCTION("""COMPUTED_VALUE"""),-4.488)</f>
        <v>-4.488</v>
      </c>
    </row>
    <row r="1448">
      <c r="A1448" s="8" t="str">
        <f>IFERROR(__xludf.DUMMYFUNCTION("""COMPUTED_VALUE"""),"CA-2015-148964")</f>
        <v>CA-2015-148964</v>
      </c>
      <c r="B1448" s="9">
        <f>IFERROR(__xludf.DUMMYFUNCTION("""COMPUTED_VALUE"""),42150.0)</f>
        <v>42150</v>
      </c>
      <c r="C1448" s="8" t="str">
        <f>IFERROR(__xludf.DUMMYFUNCTION("""COMPUTED_VALUE"""),"Ruben Dartt")</f>
        <v>Ruben Dartt</v>
      </c>
      <c r="D1448" s="8" t="str">
        <f>IFERROR(__xludf.DUMMYFUNCTION("""COMPUTED_VALUE"""),"Consumer")</f>
        <v>Consumer</v>
      </c>
      <c r="E1448" s="8" t="str">
        <f>IFERROR(__xludf.DUMMYFUNCTION("""COMPUTED_VALUE"""),"West")</f>
        <v>West</v>
      </c>
      <c r="F1448" s="10">
        <f>IFERROR(__xludf.DUMMYFUNCTION("""COMPUTED_VALUE"""),20.24)</f>
        <v>20.24</v>
      </c>
      <c r="G1448" s="11">
        <f>IFERROR(__xludf.DUMMYFUNCTION("""COMPUTED_VALUE"""),1.0)</f>
        <v>1</v>
      </c>
      <c r="H1448" s="11">
        <f>IFERROR(__xludf.DUMMYFUNCTION("""COMPUTED_VALUE"""),7.8936)</f>
        <v>7.8936</v>
      </c>
    </row>
    <row r="1449">
      <c r="A1449" s="8" t="str">
        <f>IFERROR(__xludf.DUMMYFUNCTION("""COMPUTED_VALUE"""),"CA-2015-149083")</f>
        <v>CA-2015-149083</v>
      </c>
      <c r="B1449" s="9">
        <f>IFERROR(__xludf.DUMMYFUNCTION("""COMPUTED_VALUE"""),42272.0)</f>
        <v>42272</v>
      </c>
      <c r="C1449" s="8" t="str">
        <f>IFERROR(__xludf.DUMMYFUNCTION("""COMPUTED_VALUE"""),"Sally Hughsby")</f>
        <v>Sally Hughsby</v>
      </c>
      <c r="D1449" s="8" t="str">
        <f>IFERROR(__xludf.DUMMYFUNCTION("""COMPUTED_VALUE"""),"Corporate")</f>
        <v>Corporate</v>
      </c>
      <c r="E1449" s="8" t="str">
        <f>IFERROR(__xludf.DUMMYFUNCTION("""COMPUTED_VALUE"""),"West")</f>
        <v>West</v>
      </c>
      <c r="F1449" s="10">
        <f>IFERROR(__xludf.DUMMYFUNCTION("""COMPUTED_VALUE"""),307.136)</f>
        <v>307.136</v>
      </c>
      <c r="G1449" s="11">
        <f>IFERROR(__xludf.DUMMYFUNCTION("""COMPUTED_VALUE"""),4.0)</f>
        <v>4</v>
      </c>
      <c r="H1449" s="11">
        <f>IFERROR(__xludf.DUMMYFUNCTION("""COMPUTED_VALUE"""),-11.5176)</f>
        <v>-11.5176</v>
      </c>
    </row>
    <row r="1450">
      <c r="A1450" s="8" t="str">
        <f>IFERROR(__xludf.DUMMYFUNCTION("""COMPUTED_VALUE"""),"CA-2015-149097")</f>
        <v>CA-2015-149097</v>
      </c>
      <c r="B1450" s="9">
        <f>IFERROR(__xludf.DUMMYFUNCTION("""COMPUTED_VALUE"""),42297.0)</f>
        <v>42297</v>
      </c>
      <c r="C1450" s="8" t="str">
        <f>IFERROR(__xludf.DUMMYFUNCTION("""COMPUTED_VALUE"""),"Stewart Visinsky")</f>
        <v>Stewart Visinsky</v>
      </c>
      <c r="D1450" s="8" t="str">
        <f>IFERROR(__xludf.DUMMYFUNCTION("""COMPUTED_VALUE"""),"Consumer")</f>
        <v>Consumer</v>
      </c>
      <c r="E1450" s="8" t="str">
        <f>IFERROR(__xludf.DUMMYFUNCTION("""COMPUTED_VALUE"""),"West")</f>
        <v>West</v>
      </c>
      <c r="F1450" s="10">
        <f>IFERROR(__xludf.DUMMYFUNCTION("""COMPUTED_VALUE"""),74.76)</f>
        <v>74.76</v>
      </c>
      <c r="G1450" s="11">
        <f>IFERROR(__xludf.DUMMYFUNCTION("""COMPUTED_VALUE"""),7.0)</f>
        <v>7</v>
      </c>
      <c r="H1450" s="11">
        <f>IFERROR(__xludf.DUMMYFUNCTION("""COMPUTED_VALUE"""),23.9232)</f>
        <v>23.9232</v>
      </c>
    </row>
    <row r="1451">
      <c r="A1451" s="8" t="str">
        <f>IFERROR(__xludf.DUMMYFUNCTION("""COMPUTED_VALUE"""),"CA-2015-149300")</f>
        <v>CA-2015-149300</v>
      </c>
      <c r="B1451" s="9">
        <f>IFERROR(__xludf.DUMMYFUNCTION("""COMPUTED_VALUE"""),42330.0)</f>
        <v>42330</v>
      </c>
      <c r="C1451" s="8" t="str">
        <f>IFERROR(__xludf.DUMMYFUNCTION("""COMPUTED_VALUE"""),"Brosina Hoffman")</f>
        <v>Brosina Hoffman</v>
      </c>
      <c r="D1451" s="8" t="str">
        <f>IFERROR(__xludf.DUMMYFUNCTION("""COMPUTED_VALUE"""),"Consumer")</f>
        <v>Consumer</v>
      </c>
      <c r="E1451" s="8" t="str">
        <f>IFERROR(__xludf.DUMMYFUNCTION("""COMPUTED_VALUE"""),"South")</f>
        <v>South</v>
      </c>
      <c r="F1451" s="10">
        <f>IFERROR(__xludf.DUMMYFUNCTION("""COMPUTED_VALUE"""),32.985)</f>
        <v>32.985</v>
      </c>
      <c r="G1451" s="11">
        <f>IFERROR(__xludf.DUMMYFUNCTION("""COMPUTED_VALUE"""),3.0)</f>
        <v>3</v>
      </c>
      <c r="H1451" s="11">
        <f>IFERROR(__xludf.DUMMYFUNCTION("""COMPUTED_VALUE"""),-1.9791)</f>
        <v>-1.9791</v>
      </c>
    </row>
    <row r="1452">
      <c r="A1452" s="8" t="str">
        <f>IFERROR(__xludf.DUMMYFUNCTION("""COMPUTED_VALUE"""),"CA-2015-149342")</f>
        <v>CA-2015-149342</v>
      </c>
      <c r="B1452" s="9">
        <f>IFERROR(__xludf.DUMMYFUNCTION("""COMPUTED_VALUE"""),42114.0)</f>
        <v>42114</v>
      </c>
      <c r="C1452" s="8" t="str">
        <f>IFERROR(__xludf.DUMMYFUNCTION("""COMPUTED_VALUE"""),"Theresa Swint")</f>
        <v>Theresa Swint</v>
      </c>
      <c r="D1452" s="8" t="str">
        <f>IFERROR(__xludf.DUMMYFUNCTION("""COMPUTED_VALUE"""),"Corporate")</f>
        <v>Corporate</v>
      </c>
      <c r="E1452" s="8" t="str">
        <f>IFERROR(__xludf.DUMMYFUNCTION("""COMPUTED_VALUE"""),"South")</f>
        <v>South</v>
      </c>
      <c r="F1452" s="10">
        <f>IFERROR(__xludf.DUMMYFUNCTION("""COMPUTED_VALUE"""),287.97)</f>
        <v>287.97</v>
      </c>
      <c r="G1452" s="11">
        <f>IFERROR(__xludf.DUMMYFUNCTION("""COMPUTED_VALUE"""),3.0)</f>
        <v>3</v>
      </c>
      <c r="H1452" s="11">
        <f>IFERROR(__xludf.DUMMYFUNCTION("""COMPUTED_VALUE"""),77.7519)</f>
        <v>77.7519</v>
      </c>
    </row>
    <row r="1453">
      <c r="A1453" s="8" t="str">
        <f>IFERROR(__xludf.DUMMYFUNCTION("""COMPUTED_VALUE"""),"CA-2015-149384")</f>
        <v>CA-2015-149384</v>
      </c>
      <c r="B1453" s="9">
        <f>IFERROR(__xludf.DUMMYFUNCTION("""COMPUTED_VALUE"""),42195.0)</f>
        <v>42195</v>
      </c>
      <c r="C1453" s="8" t="str">
        <f>IFERROR(__xludf.DUMMYFUNCTION("""COMPUTED_VALUE"""),"Eric Hoffmann")</f>
        <v>Eric Hoffmann</v>
      </c>
      <c r="D1453" s="8" t="str">
        <f>IFERROR(__xludf.DUMMYFUNCTION("""COMPUTED_VALUE"""),"Consumer")</f>
        <v>Consumer</v>
      </c>
      <c r="E1453" s="8" t="str">
        <f>IFERROR(__xludf.DUMMYFUNCTION("""COMPUTED_VALUE"""),"West")</f>
        <v>West</v>
      </c>
      <c r="F1453" s="10">
        <f>IFERROR(__xludf.DUMMYFUNCTION("""COMPUTED_VALUE"""),3.366)</f>
        <v>3.366</v>
      </c>
      <c r="G1453" s="11">
        <f>IFERROR(__xludf.DUMMYFUNCTION("""COMPUTED_VALUE"""),3.0)</f>
        <v>3</v>
      </c>
      <c r="H1453" s="11">
        <f>IFERROR(__xludf.DUMMYFUNCTION("""COMPUTED_VALUE"""),-2.244)</f>
        <v>-2.244</v>
      </c>
    </row>
    <row r="1454">
      <c r="A1454" s="8" t="str">
        <f>IFERROR(__xludf.DUMMYFUNCTION("""COMPUTED_VALUE"""),"CA-2015-149517")</f>
        <v>CA-2015-149517</v>
      </c>
      <c r="B1454" s="9">
        <f>IFERROR(__xludf.DUMMYFUNCTION("""COMPUTED_VALUE"""),42266.0)</f>
        <v>42266</v>
      </c>
      <c r="C1454" s="8" t="str">
        <f>IFERROR(__xludf.DUMMYFUNCTION("""COMPUTED_VALUE"""),"Frank Carlisle")</f>
        <v>Frank Carlisle</v>
      </c>
      <c r="D1454" s="8" t="str">
        <f>IFERROR(__xludf.DUMMYFUNCTION("""COMPUTED_VALUE"""),"Home Office")</f>
        <v>Home Office</v>
      </c>
      <c r="E1454" s="8" t="str">
        <f>IFERROR(__xludf.DUMMYFUNCTION("""COMPUTED_VALUE"""),"West")</f>
        <v>West</v>
      </c>
      <c r="F1454" s="10">
        <f>IFERROR(__xludf.DUMMYFUNCTION("""COMPUTED_VALUE"""),60.84)</f>
        <v>60.84</v>
      </c>
      <c r="G1454" s="11">
        <f>IFERROR(__xludf.DUMMYFUNCTION("""COMPUTED_VALUE"""),3.0)</f>
        <v>3</v>
      </c>
      <c r="H1454" s="11">
        <f>IFERROR(__xludf.DUMMYFUNCTION("""COMPUTED_VALUE"""),19.4688)</f>
        <v>19.4688</v>
      </c>
    </row>
    <row r="1455">
      <c r="A1455" s="8" t="str">
        <f>IFERROR(__xludf.DUMMYFUNCTION("""COMPUTED_VALUE"""),"CA-2015-149566")</f>
        <v>CA-2015-149566</v>
      </c>
      <c r="B1455" s="9">
        <f>IFERROR(__xludf.DUMMYFUNCTION("""COMPUTED_VALUE"""),42343.0)</f>
        <v>42343</v>
      </c>
      <c r="C1455" s="8" t="str">
        <f>IFERROR(__xludf.DUMMYFUNCTION("""COMPUTED_VALUE"""),"George Bell")</f>
        <v>George Bell</v>
      </c>
      <c r="D1455" s="8" t="str">
        <f>IFERROR(__xludf.DUMMYFUNCTION("""COMPUTED_VALUE"""),"Corporate")</f>
        <v>Corporate</v>
      </c>
      <c r="E1455" s="8" t="str">
        <f>IFERROR(__xludf.DUMMYFUNCTION("""COMPUTED_VALUE"""),"West")</f>
        <v>West</v>
      </c>
      <c r="F1455" s="10">
        <f>IFERROR(__xludf.DUMMYFUNCTION("""COMPUTED_VALUE"""),39.0)</f>
        <v>39</v>
      </c>
      <c r="G1455" s="11">
        <f>IFERROR(__xludf.DUMMYFUNCTION("""COMPUTED_VALUE"""),3.0)</f>
        <v>3</v>
      </c>
      <c r="H1455" s="11">
        <f>IFERROR(__xludf.DUMMYFUNCTION("""COMPUTED_VALUE"""),17.55)</f>
        <v>17.55</v>
      </c>
    </row>
    <row r="1456">
      <c r="A1456" s="8" t="str">
        <f>IFERROR(__xludf.DUMMYFUNCTION("""COMPUTED_VALUE"""),"CA-2015-149587")</f>
        <v>CA-2015-149587</v>
      </c>
      <c r="B1456" s="9">
        <f>IFERROR(__xludf.DUMMYFUNCTION("""COMPUTED_VALUE"""),42035.0)</f>
        <v>42035</v>
      </c>
      <c r="C1456" s="8" t="str">
        <f>IFERROR(__xludf.DUMMYFUNCTION("""COMPUTED_VALUE"""),"Karl Braun")</f>
        <v>Karl Braun</v>
      </c>
      <c r="D1456" s="8" t="str">
        <f>IFERROR(__xludf.DUMMYFUNCTION("""COMPUTED_VALUE"""),"Consumer")</f>
        <v>Consumer</v>
      </c>
      <c r="E1456" s="8" t="str">
        <f>IFERROR(__xludf.DUMMYFUNCTION("""COMPUTED_VALUE"""),"Central")</f>
        <v>Central</v>
      </c>
      <c r="F1456" s="10">
        <f>IFERROR(__xludf.DUMMYFUNCTION("""COMPUTED_VALUE"""),12.96)</f>
        <v>12.96</v>
      </c>
      <c r="G1456" s="11">
        <f>IFERROR(__xludf.DUMMYFUNCTION("""COMPUTED_VALUE"""),2.0)</f>
        <v>2</v>
      </c>
      <c r="H1456" s="11">
        <f>IFERROR(__xludf.DUMMYFUNCTION("""COMPUTED_VALUE"""),6.2208)</f>
        <v>6.2208</v>
      </c>
    </row>
    <row r="1457">
      <c r="A1457" s="8" t="str">
        <f>IFERROR(__xludf.DUMMYFUNCTION("""COMPUTED_VALUE"""),"CA-2015-149601")</f>
        <v>CA-2015-149601</v>
      </c>
      <c r="B1457" s="9">
        <f>IFERROR(__xludf.DUMMYFUNCTION("""COMPUTED_VALUE"""),42152.0)</f>
        <v>42152</v>
      </c>
      <c r="C1457" s="8" t="str">
        <f>IFERROR(__xludf.DUMMYFUNCTION("""COMPUTED_VALUE"""),"Trudy Brown")</f>
        <v>Trudy Brown</v>
      </c>
      <c r="D1457" s="8" t="str">
        <f>IFERROR(__xludf.DUMMYFUNCTION("""COMPUTED_VALUE"""),"Consumer")</f>
        <v>Consumer</v>
      </c>
      <c r="E1457" s="8" t="str">
        <f>IFERROR(__xludf.DUMMYFUNCTION("""COMPUTED_VALUE"""),"East")</f>
        <v>East</v>
      </c>
      <c r="F1457" s="10">
        <f>IFERROR(__xludf.DUMMYFUNCTION("""COMPUTED_VALUE"""),16.24)</f>
        <v>16.24</v>
      </c>
      <c r="G1457" s="11">
        <f>IFERROR(__xludf.DUMMYFUNCTION("""COMPUTED_VALUE"""),1.0)</f>
        <v>1</v>
      </c>
      <c r="H1457" s="11">
        <f>IFERROR(__xludf.DUMMYFUNCTION("""COMPUTED_VALUE"""),2.436)</f>
        <v>2.436</v>
      </c>
    </row>
    <row r="1458">
      <c r="A1458" s="8" t="str">
        <f>IFERROR(__xludf.DUMMYFUNCTION("""COMPUTED_VALUE"""),"CA-2015-149636")</f>
        <v>CA-2015-149636</v>
      </c>
      <c r="B1458" s="9">
        <f>IFERROR(__xludf.DUMMYFUNCTION("""COMPUTED_VALUE"""),42010.0)</f>
        <v>42010</v>
      </c>
      <c r="C1458" s="8" t="str">
        <f>IFERROR(__xludf.DUMMYFUNCTION("""COMPUTED_VALUE"""),"Stefania Perrino")</f>
        <v>Stefania Perrino</v>
      </c>
      <c r="D1458" s="8" t="str">
        <f>IFERROR(__xludf.DUMMYFUNCTION("""COMPUTED_VALUE"""),"Corporate")</f>
        <v>Corporate</v>
      </c>
      <c r="E1458" s="8" t="str">
        <f>IFERROR(__xludf.DUMMYFUNCTION("""COMPUTED_VALUE"""),"West")</f>
        <v>West</v>
      </c>
      <c r="F1458" s="10">
        <f>IFERROR(__xludf.DUMMYFUNCTION("""COMPUTED_VALUE"""),29.6)</f>
        <v>29.6</v>
      </c>
      <c r="G1458" s="11">
        <f>IFERROR(__xludf.DUMMYFUNCTION("""COMPUTED_VALUE"""),5.0)</f>
        <v>5</v>
      </c>
      <c r="H1458" s="11">
        <f>IFERROR(__xludf.DUMMYFUNCTION("""COMPUTED_VALUE"""),9.25)</f>
        <v>9.25</v>
      </c>
    </row>
    <row r="1459">
      <c r="A1459" s="8" t="str">
        <f>IFERROR(__xludf.DUMMYFUNCTION("""COMPUTED_VALUE"""),"CA-2015-149650")</f>
        <v>CA-2015-149650</v>
      </c>
      <c r="B1459" s="9">
        <f>IFERROR(__xludf.DUMMYFUNCTION("""COMPUTED_VALUE"""),42301.0)</f>
        <v>42301</v>
      </c>
      <c r="C1459" s="8" t="str">
        <f>IFERROR(__xludf.DUMMYFUNCTION("""COMPUTED_VALUE"""),"Robert Dilbeck")</f>
        <v>Robert Dilbeck</v>
      </c>
      <c r="D1459" s="8" t="str">
        <f>IFERROR(__xludf.DUMMYFUNCTION("""COMPUTED_VALUE"""),"Home Office")</f>
        <v>Home Office</v>
      </c>
      <c r="E1459" s="8" t="str">
        <f>IFERROR(__xludf.DUMMYFUNCTION("""COMPUTED_VALUE"""),"West")</f>
        <v>West</v>
      </c>
      <c r="F1459" s="10">
        <f>IFERROR(__xludf.DUMMYFUNCTION("""COMPUTED_VALUE"""),454.272)</f>
        <v>454.272</v>
      </c>
      <c r="G1459" s="11">
        <f>IFERROR(__xludf.DUMMYFUNCTION("""COMPUTED_VALUE"""),8.0)</f>
        <v>8</v>
      </c>
      <c r="H1459" s="11">
        <f>IFERROR(__xludf.DUMMYFUNCTION("""COMPUTED_VALUE"""),-73.8192)</f>
        <v>-73.8192</v>
      </c>
    </row>
    <row r="1460">
      <c r="A1460" s="8" t="str">
        <f>IFERROR(__xludf.DUMMYFUNCTION("""COMPUTED_VALUE"""),"CA-2015-149678")</f>
        <v>CA-2015-149678</v>
      </c>
      <c r="B1460" s="9">
        <f>IFERROR(__xludf.DUMMYFUNCTION("""COMPUTED_VALUE"""),42107.0)</f>
        <v>42107</v>
      </c>
      <c r="C1460" s="8" t="str">
        <f>IFERROR(__xludf.DUMMYFUNCTION("""COMPUTED_VALUE"""),"Anthony Witt")</f>
        <v>Anthony Witt</v>
      </c>
      <c r="D1460" s="8" t="str">
        <f>IFERROR(__xludf.DUMMYFUNCTION("""COMPUTED_VALUE"""),"Consumer")</f>
        <v>Consumer</v>
      </c>
      <c r="E1460" s="8" t="str">
        <f>IFERROR(__xludf.DUMMYFUNCTION("""COMPUTED_VALUE"""),"West")</f>
        <v>West</v>
      </c>
      <c r="F1460" s="10">
        <f>IFERROR(__xludf.DUMMYFUNCTION("""COMPUTED_VALUE"""),12.88)</f>
        <v>12.88</v>
      </c>
      <c r="G1460" s="11">
        <f>IFERROR(__xludf.DUMMYFUNCTION("""COMPUTED_VALUE"""),1.0)</f>
        <v>1</v>
      </c>
      <c r="H1460" s="11">
        <f>IFERROR(__xludf.DUMMYFUNCTION("""COMPUTED_VALUE"""),0.3864)</f>
        <v>0.3864</v>
      </c>
    </row>
    <row r="1461">
      <c r="A1461" s="8" t="str">
        <f>IFERROR(__xludf.DUMMYFUNCTION("""COMPUTED_VALUE"""),"CA-2015-149713")</f>
        <v>CA-2015-149713</v>
      </c>
      <c r="B1461" s="9">
        <f>IFERROR(__xludf.DUMMYFUNCTION("""COMPUTED_VALUE"""),42265.0)</f>
        <v>42265</v>
      </c>
      <c r="C1461" s="8" t="str">
        <f>IFERROR(__xludf.DUMMYFUNCTION("""COMPUTED_VALUE"""),"Trudy Glocke")</f>
        <v>Trudy Glocke</v>
      </c>
      <c r="D1461" s="8" t="str">
        <f>IFERROR(__xludf.DUMMYFUNCTION("""COMPUTED_VALUE"""),"Consumer")</f>
        <v>Consumer</v>
      </c>
      <c r="E1461" s="8" t="str">
        <f>IFERROR(__xludf.DUMMYFUNCTION("""COMPUTED_VALUE"""),"West")</f>
        <v>West</v>
      </c>
      <c r="F1461" s="10">
        <f>IFERROR(__xludf.DUMMYFUNCTION("""COMPUTED_VALUE"""),160.72)</f>
        <v>160.72</v>
      </c>
      <c r="G1461" s="11">
        <f>IFERROR(__xludf.DUMMYFUNCTION("""COMPUTED_VALUE"""),14.0)</f>
        <v>14</v>
      </c>
      <c r="H1461" s="11">
        <f>IFERROR(__xludf.DUMMYFUNCTION("""COMPUTED_VALUE"""),78.7528)</f>
        <v>78.7528</v>
      </c>
    </row>
    <row r="1462">
      <c r="A1462" s="8" t="str">
        <f>IFERROR(__xludf.DUMMYFUNCTION("""COMPUTED_VALUE"""),"CA-2015-149734")</f>
        <v>CA-2015-149734</v>
      </c>
      <c r="B1462" s="9">
        <f>IFERROR(__xludf.DUMMYFUNCTION("""COMPUTED_VALUE"""),42250.0)</f>
        <v>42250</v>
      </c>
      <c r="C1462" s="8" t="str">
        <f>IFERROR(__xludf.DUMMYFUNCTION("""COMPUTED_VALUE"""),"Julie Creighton")</f>
        <v>Julie Creighton</v>
      </c>
      <c r="D1462" s="8" t="str">
        <f>IFERROR(__xludf.DUMMYFUNCTION("""COMPUTED_VALUE"""),"Corporate")</f>
        <v>Corporate</v>
      </c>
      <c r="E1462" s="8" t="str">
        <f>IFERROR(__xludf.DUMMYFUNCTION("""COMPUTED_VALUE"""),"South")</f>
        <v>South</v>
      </c>
      <c r="F1462" s="10">
        <f>IFERROR(__xludf.DUMMYFUNCTION("""COMPUTED_VALUE"""),200.984)</f>
        <v>200.984</v>
      </c>
      <c r="G1462" s="11">
        <f>IFERROR(__xludf.DUMMYFUNCTION("""COMPUTED_VALUE"""),7.0)</f>
        <v>7</v>
      </c>
      <c r="H1462" s="11">
        <f>IFERROR(__xludf.DUMMYFUNCTION("""COMPUTED_VALUE"""),62.8075)</f>
        <v>62.8075</v>
      </c>
    </row>
    <row r="1463">
      <c r="A1463" s="8" t="str">
        <f>IFERROR(__xludf.DUMMYFUNCTION("""COMPUTED_VALUE"""),"CA-2015-149748")</f>
        <v>CA-2015-149748</v>
      </c>
      <c r="B1463" s="9">
        <f>IFERROR(__xludf.DUMMYFUNCTION("""COMPUTED_VALUE"""),42155.0)</f>
        <v>42155</v>
      </c>
      <c r="C1463" s="8" t="str">
        <f>IFERROR(__xludf.DUMMYFUNCTION("""COMPUTED_VALUE"""),"Elizabeth Moffitt")</f>
        <v>Elizabeth Moffitt</v>
      </c>
      <c r="D1463" s="8" t="str">
        <f>IFERROR(__xludf.DUMMYFUNCTION("""COMPUTED_VALUE"""),"Corporate")</f>
        <v>Corporate</v>
      </c>
      <c r="E1463" s="8" t="str">
        <f>IFERROR(__xludf.DUMMYFUNCTION("""COMPUTED_VALUE"""),"East")</f>
        <v>East</v>
      </c>
      <c r="F1463" s="10">
        <f>IFERROR(__xludf.DUMMYFUNCTION("""COMPUTED_VALUE"""),274.8)</f>
        <v>274.8</v>
      </c>
      <c r="G1463" s="11">
        <f>IFERROR(__xludf.DUMMYFUNCTION("""COMPUTED_VALUE"""),5.0)</f>
        <v>5</v>
      </c>
      <c r="H1463" s="11">
        <f>IFERROR(__xludf.DUMMYFUNCTION("""COMPUTED_VALUE"""),134.652)</f>
        <v>134.652</v>
      </c>
    </row>
    <row r="1464">
      <c r="A1464" s="8" t="str">
        <f>IFERROR(__xludf.DUMMYFUNCTION("""COMPUTED_VALUE"""),"CA-2015-149811")</f>
        <v>CA-2015-149811</v>
      </c>
      <c r="B1464" s="9">
        <f>IFERROR(__xludf.DUMMYFUNCTION("""COMPUTED_VALUE"""),42008.0)</f>
        <v>42008</v>
      </c>
      <c r="C1464" s="8" t="str">
        <f>IFERROR(__xludf.DUMMYFUNCTION("""COMPUTED_VALUE"""),"Chris Selesnick")</f>
        <v>Chris Selesnick</v>
      </c>
      <c r="D1464" s="8" t="str">
        <f>IFERROR(__xludf.DUMMYFUNCTION("""COMPUTED_VALUE"""),"Corporate")</f>
        <v>Corporate</v>
      </c>
      <c r="E1464" s="8" t="str">
        <f>IFERROR(__xludf.DUMMYFUNCTION("""COMPUTED_VALUE"""),"Central")</f>
        <v>Central</v>
      </c>
      <c r="F1464" s="10">
        <f>IFERROR(__xludf.DUMMYFUNCTION("""COMPUTED_VALUE"""),32.34)</f>
        <v>32.34</v>
      </c>
      <c r="G1464" s="11">
        <f>IFERROR(__xludf.DUMMYFUNCTION("""COMPUTED_VALUE"""),3.0)</f>
        <v>3</v>
      </c>
      <c r="H1464" s="11">
        <f>IFERROR(__xludf.DUMMYFUNCTION("""COMPUTED_VALUE"""),15.5232)</f>
        <v>15.5232</v>
      </c>
    </row>
    <row r="1465">
      <c r="A1465" s="8" t="str">
        <f>IFERROR(__xludf.DUMMYFUNCTION("""COMPUTED_VALUE"""),"CA-2015-149846")</f>
        <v>CA-2015-149846</v>
      </c>
      <c r="B1465" s="9">
        <f>IFERROR(__xludf.DUMMYFUNCTION("""COMPUTED_VALUE"""),42146.0)</f>
        <v>42146</v>
      </c>
      <c r="C1465" s="8" t="str">
        <f>IFERROR(__xludf.DUMMYFUNCTION("""COMPUTED_VALUE"""),"Sarah Brown")</f>
        <v>Sarah Brown</v>
      </c>
      <c r="D1465" s="8" t="str">
        <f>IFERROR(__xludf.DUMMYFUNCTION("""COMPUTED_VALUE"""),"Consumer")</f>
        <v>Consumer</v>
      </c>
      <c r="E1465" s="8" t="str">
        <f>IFERROR(__xludf.DUMMYFUNCTION("""COMPUTED_VALUE"""),"West")</f>
        <v>West</v>
      </c>
      <c r="F1465" s="10">
        <f>IFERROR(__xludf.DUMMYFUNCTION("""COMPUTED_VALUE"""),8.26)</f>
        <v>8.26</v>
      </c>
      <c r="G1465" s="11">
        <f>IFERROR(__xludf.DUMMYFUNCTION("""COMPUTED_VALUE"""),2.0)</f>
        <v>2</v>
      </c>
      <c r="H1465" s="11">
        <f>IFERROR(__xludf.DUMMYFUNCTION("""COMPUTED_VALUE"""),3.7996)</f>
        <v>3.7996</v>
      </c>
    </row>
    <row r="1466">
      <c r="A1466" s="8" t="str">
        <f>IFERROR(__xludf.DUMMYFUNCTION("""COMPUTED_VALUE"""),"CA-2015-149909")</f>
        <v>CA-2015-149909</v>
      </c>
      <c r="B1466" s="9">
        <f>IFERROR(__xludf.DUMMYFUNCTION("""COMPUTED_VALUE"""),42321.0)</f>
        <v>42321</v>
      </c>
      <c r="C1466" s="8" t="str">
        <f>IFERROR(__xludf.DUMMYFUNCTION("""COMPUTED_VALUE"""),"Russell Applegate")</f>
        <v>Russell Applegate</v>
      </c>
      <c r="D1466" s="8" t="str">
        <f>IFERROR(__xludf.DUMMYFUNCTION("""COMPUTED_VALUE"""),"Consumer")</f>
        <v>Consumer</v>
      </c>
      <c r="E1466" s="8" t="str">
        <f>IFERROR(__xludf.DUMMYFUNCTION("""COMPUTED_VALUE"""),"Central")</f>
        <v>Central</v>
      </c>
      <c r="F1466" s="10">
        <f>IFERROR(__xludf.DUMMYFUNCTION("""COMPUTED_VALUE"""),63.77)</f>
        <v>63.77</v>
      </c>
      <c r="G1466" s="11">
        <f>IFERROR(__xludf.DUMMYFUNCTION("""COMPUTED_VALUE"""),7.0)</f>
        <v>7</v>
      </c>
      <c r="H1466" s="11">
        <f>IFERROR(__xludf.DUMMYFUNCTION("""COMPUTED_VALUE"""),28.6965)</f>
        <v>28.6965</v>
      </c>
    </row>
    <row r="1467">
      <c r="A1467" s="8" t="str">
        <f>IFERROR(__xludf.DUMMYFUNCTION("""COMPUTED_VALUE"""),"CA-2015-149972")</f>
        <v>CA-2015-149972</v>
      </c>
      <c r="B1467" s="9">
        <f>IFERROR(__xludf.DUMMYFUNCTION("""COMPUTED_VALUE"""),42268.0)</f>
        <v>42268</v>
      </c>
      <c r="C1467" s="8" t="str">
        <f>IFERROR(__xludf.DUMMYFUNCTION("""COMPUTED_VALUE"""),"Cynthia Delaney")</f>
        <v>Cynthia Delaney</v>
      </c>
      <c r="D1467" s="8" t="str">
        <f>IFERROR(__xludf.DUMMYFUNCTION("""COMPUTED_VALUE"""),"Home Office")</f>
        <v>Home Office</v>
      </c>
      <c r="E1467" s="8" t="str">
        <f>IFERROR(__xludf.DUMMYFUNCTION("""COMPUTED_VALUE"""),"West")</f>
        <v>West</v>
      </c>
      <c r="F1467" s="10">
        <f>IFERROR(__xludf.DUMMYFUNCTION("""COMPUTED_VALUE"""),601.536)</f>
        <v>601.536</v>
      </c>
      <c r="G1467" s="11">
        <f>IFERROR(__xludf.DUMMYFUNCTION("""COMPUTED_VALUE"""),4.0)</f>
        <v>4</v>
      </c>
      <c r="H1467" s="11">
        <f>IFERROR(__xludf.DUMMYFUNCTION("""COMPUTED_VALUE"""),0.0)</f>
        <v>0</v>
      </c>
    </row>
    <row r="1468">
      <c r="A1468" s="8" t="str">
        <f>IFERROR(__xludf.DUMMYFUNCTION("""COMPUTED_VALUE"""),"CA-2015-149993")</f>
        <v>CA-2015-149993</v>
      </c>
      <c r="B1468" s="9">
        <f>IFERROR(__xludf.DUMMYFUNCTION("""COMPUTED_VALUE"""),42082.0)</f>
        <v>42082</v>
      </c>
      <c r="C1468" s="8" t="str">
        <f>IFERROR(__xludf.DUMMYFUNCTION("""COMPUTED_VALUE"""),"Guy Armstrong")</f>
        <v>Guy Armstrong</v>
      </c>
      <c r="D1468" s="8" t="str">
        <f>IFERROR(__xludf.DUMMYFUNCTION("""COMPUTED_VALUE"""),"Consumer")</f>
        <v>Consumer</v>
      </c>
      <c r="E1468" s="8" t="str">
        <f>IFERROR(__xludf.DUMMYFUNCTION("""COMPUTED_VALUE"""),"West")</f>
        <v>West</v>
      </c>
      <c r="F1468" s="10">
        <f>IFERROR(__xludf.DUMMYFUNCTION("""COMPUTED_VALUE"""),10.9)</f>
        <v>10.9</v>
      </c>
      <c r="G1468" s="11">
        <f>IFERROR(__xludf.DUMMYFUNCTION("""COMPUTED_VALUE"""),5.0)</f>
        <v>5</v>
      </c>
      <c r="H1468" s="11">
        <f>IFERROR(__xludf.DUMMYFUNCTION("""COMPUTED_VALUE"""),3.597)</f>
        <v>3.597</v>
      </c>
    </row>
    <row r="1469">
      <c r="A1469" s="8" t="str">
        <f>IFERROR(__xludf.DUMMYFUNCTION("""COMPUTED_VALUE"""),"CA-2015-150196")</f>
        <v>CA-2015-150196</v>
      </c>
      <c r="B1469" s="9">
        <f>IFERROR(__xludf.DUMMYFUNCTION("""COMPUTED_VALUE"""),42187.0)</f>
        <v>42187</v>
      </c>
      <c r="C1469" s="8" t="str">
        <f>IFERROR(__xludf.DUMMYFUNCTION("""COMPUTED_VALUE"""),"Steven Roelle")</f>
        <v>Steven Roelle</v>
      </c>
      <c r="D1469" s="8" t="str">
        <f>IFERROR(__xludf.DUMMYFUNCTION("""COMPUTED_VALUE"""),"Home Office")</f>
        <v>Home Office</v>
      </c>
      <c r="E1469" s="8" t="str">
        <f>IFERROR(__xludf.DUMMYFUNCTION("""COMPUTED_VALUE"""),"East")</f>
        <v>East</v>
      </c>
      <c r="F1469" s="10">
        <f>IFERROR(__xludf.DUMMYFUNCTION("""COMPUTED_VALUE"""),19.44)</f>
        <v>19.44</v>
      </c>
      <c r="G1469" s="11">
        <f>IFERROR(__xludf.DUMMYFUNCTION("""COMPUTED_VALUE"""),3.0)</f>
        <v>3</v>
      </c>
      <c r="H1469" s="11">
        <f>IFERROR(__xludf.DUMMYFUNCTION("""COMPUTED_VALUE"""),9.3312)</f>
        <v>9.3312</v>
      </c>
    </row>
    <row r="1470">
      <c r="A1470" s="8" t="str">
        <f>IFERROR(__xludf.DUMMYFUNCTION("""COMPUTED_VALUE"""),"CA-2015-150308")</f>
        <v>CA-2015-150308</v>
      </c>
      <c r="B1470" s="9">
        <f>IFERROR(__xludf.DUMMYFUNCTION("""COMPUTED_VALUE"""),42353.0)</f>
        <v>42353</v>
      </c>
      <c r="C1470" s="8" t="str">
        <f>IFERROR(__xludf.DUMMYFUNCTION("""COMPUTED_VALUE"""),"Rick Reed")</f>
        <v>Rick Reed</v>
      </c>
      <c r="D1470" s="8" t="str">
        <f>IFERROR(__xludf.DUMMYFUNCTION("""COMPUTED_VALUE"""),"Corporate")</f>
        <v>Corporate</v>
      </c>
      <c r="E1470" s="8" t="str">
        <f>IFERROR(__xludf.DUMMYFUNCTION("""COMPUTED_VALUE"""),"South")</f>
        <v>South</v>
      </c>
      <c r="F1470" s="10">
        <f>IFERROR(__xludf.DUMMYFUNCTION("""COMPUTED_VALUE"""),246.168)</f>
        <v>246.168</v>
      </c>
      <c r="G1470" s="11">
        <f>IFERROR(__xludf.DUMMYFUNCTION("""COMPUTED_VALUE"""),3.0)</f>
        <v>3</v>
      </c>
      <c r="H1470" s="11">
        <f>IFERROR(__xludf.DUMMYFUNCTION("""COMPUTED_VALUE"""),21.5397)</f>
        <v>21.5397</v>
      </c>
    </row>
    <row r="1471">
      <c r="A1471" s="8" t="str">
        <f>IFERROR(__xludf.DUMMYFUNCTION("""COMPUTED_VALUE"""),"CA-2015-150413")</f>
        <v>CA-2015-150413</v>
      </c>
      <c r="B1471" s="9">
        <f>IFERROR(__xludf.DUMMYFUNCTION("""COMPUTED_VALUE"""),42296.0)</f>
        <v>42296</v>
      </c>
      <c r="C1471" s="8" t="str">
        <f>IFERROR(__xludf.DUMMYFUNCTION("""COMPUTED_VALUE"""),"Cari Schnelling")</f>
        <v>Cari Schnelling</v>
      </c>
      <c r="D1471" s="8" t="str">
        <f>IFERROR(__xludf.DUMMYFUNCTION("""COMPUTED_VALUE"""),"Consumer")</f>
        <v>Consumer</v>
      </c>
      <c r="E1471" s="8" t="str">
        <f>IFERROR(__xludf.DUMMYFUNCTION("""COMPUTED_VALUE"""),"Central")</f>
        <v>Central</v>
      </c>
      <c r="F1471" s="10">
        <f>IFERROR(__xludf.DUMMYFUNCTION("""COMPUTED_VALUE"""),1.72)</f>
        <v>1.72</v>
      </c>
      <c r="G1471" s="11">
        <f>IFERROR(__xludf.DUMMYFUNCTION("""COMPUTED_VALUE"""),1.0)</f>
        <v>1</v>
      </c>
      <c r="H1471" s="11">
        <f>IFERROR(__xludf.DUMMYFUNCTION("""COMPUTED_VALUE"""),-2.838)</f>
        <v>-2.838</v>
      </c>
    </row>
    <row r="1472">
      <c r="A1472" s="8" t="str">
        <f>IFERROR(__xludf.DUMMYFUNCTION("""COMPUTED_VALUE"""),"CA-2015-150441")</f>
        <v>CA-2015-150441</v>
      </c>
      <c r="B1472" s="9">
        <f>IFERROR(__xludf.DUMMYFUNCTION("""COMPUTED_VALUE"""),42229.0)</f>
        <v>42229</v>
      </c>
      <c r="C1472" s="8" t="str">
        <f>IFERROR(__xludf.DUMMYFUNCTION("""COMPUTED_VALUE"""),"Ralph Arnett")</f>
        <v>Ralph Arnett</v>
      </c>
      <c r="D1472" s="8" t="str">
        <f>IFERROR(__xludf.DUMMYFUNCTION("""COMPUTED_VALUE"""),"Consumer")</f>
        <v>Consumer</v>
      </c>
      <c r="E1472" s="8" t="str">
        <f>IFERROR(__xludf.DUMMYFUNCTION("""COMPUTED_VALUE"""),"Central")</f>
        <v>Central</v>
      </c>
      <c r="F1472" s="10">
        <f>IFERROR(__xludf.DUMMYFUNCTION("""COMPUTED_VALUE"""),11.36)</f>
        <v>11.36</v>
      </c>
      <c r="G1472" s="11">
        <f>IFERROR(__xludf.DUMMYFUNCTION("""COMPUTED_VALUE"""),4.0)</f>
        <v>4</v>
      </c>
      <c r="H1472" s="11">
        <f>IFERROR(__xludf.DUMMYFUNCTION("""COMPUTED_VALUE"""),5.5664)</f>
        <v>5.5664</v>
      </c>
    </row>
    <row r="1473">
      <c r="A1473" s="8" t="str">
        <f>IFERROR(__xludf.DUMMYFUNCTION("""COMPUTED_VALUE"""),"CA-2015-150511")</f>
        <v>CA-2015-150511</v>
      </c>
      <c r="B1473" s="9">
        <f>IFERROR(__xludf.DUMMYFUNCTION("""COMPUTED_VALUE"""),42265.0)</f>
        <v>42265</v>
      </c>
      <c r="C1473" s="8" t="str">
        <f>IFERROR(__xludf.DUMMYFUNCTION("""COMPUTED_VALUE"""),"Adam Bellavance")</f>
        <v>Adam Bellavance</v>
      </c>
      <c r="D1473" s="8" t="str">
        <f>IFERROR(__xludf.DUMMYFUNCTION("""COMPUTED_VALUE"""),"Home Office")</f>
        <v>Home Office</v>
      </c>
      <c r="E1473" s="8" t="str">
        <f>IFERROR(__xludf.DUMMYFUNCTION("""COMPUTED_VALUE"""),"West")</f>
        <v>West</v>
      </c>
      <c r="F1473" s="10">
        <f>IFERROR(__xludf.DUMMYFUNCTION("""COMPUTED_VALUE"""),18.54)</f>
        <v>18.54</v>
      </c>
      <c r="G1473" s="11">
        <f>IFERROR(__xludf.DUMMYFUNCTION("""COMPUTED_VALUE"""),2.0)</f>
        <v>2</v>
      </c>
      <c r="H1473" s="11">
        <f>IFERROR(__xludf.DUMMYFUNCTION("""COMPUTED_VALUE"""),8.7138)</f>
        <v>8.7138</v>
      </c>
    </row>
    <row r="1474">
      <c r="A1474" s="8" t="str">
        <f>IFERROR(__xludf.DUMMYFUNCTION("""COMPUTED_VALUE"""),"CA-2015-150560")</f>
        <v>CA-2015-150560</v>
      </c>
      <c r="B1474" s="9">
        <f>IFERROR(__xludf.DUMMYFUNCTION("""COMPUTED_VALUE"""),42349.0)</f>
        <v>42349</v>
      </c>
      <c r="C1474" s="8" t="str">
        <f>IFERROR(__xludf.DUMMYFUNCTION("""COMPUTED_VALUE"""),"Shaun Weien")</f>
        <v>Shaun Weien</v>
      </c>
      <c r="D1474" s="8" t="str">
        <f>IFERROR(__xludf.DUMMYFUNCTION("""COMPUTED_VALUE"""),"Consumer")</f>
        <v>Consumer</v>
      </c>
      <c r="E1474" s="8" t="str">
        <f>IFERROR(__xludf.DUMMYFUNCTION("""COMPUTED_VALUE"""),"South")</f>
        <v>South</v>
      </c>
      <c r="F1474" s="10">
        <f>IFERROR(__xludf.DUMMYFUNCTION("""COMPUTED_VALUE"""),196.62)</f>
        <v>196.62</v>
      </c>
      <c r="G1474" s="11">
        <f>IFERROR(__xludf.DUMMYFUNCTION("""COMPUTED_VALUE"""),2.0)</f>
        <v>2</v>
      </c>
      <c r="H1474" s="11">
        <f>IFERROR(__xludf.DUMMYFUNCTION("""COMPUTED_VALUE"""),96.3438)</f>
        <v>96.3438</v>
      </c>
    </row>
    <row r="1475">
      <c r="A1475" s="8" t="str">
        <f>IFERROR(__xludf.DUMMYFUNCTION("""COMPUTED_VALUE"""),"CA-2015-150714")</f>
        <v>CA-2015-150714</v>
      </c>
      <c r="B1475" s="9">
        <f>IFERROR(__xludf.DUMMYFUNCTION("""COMPUTED_VALUE"""),42303.0)</f>
        <v>42303</v>
      </c>
      <c r="C1475" s="8" t="str">
        <f>IFERROR(__xludf.DUMMYFUNCTION("""COMPUTED_VALUE"""),"Kristen Hastings")</f>
        <v>Kristen Hastings</v>
      </c>
      <c r="D1475" s="8" t="str">
        <f>IFERROR(__xludf.DUMMYFUNCTION("""COMPUTED_VALUE"""),"Corporate")</f>
        <v>Corporate</v>
      </c>
      <c r="E1475" s="8" t="str">
        <f>IFERROR(__xludf.DUMMYFUNCTION("""COMPUTED_VALUE"""),"West")</f>
        <v>West</v>
      </c>
      <c r="F1475" s="10">
        <f>IFERROR(__xludf.DUMMYFUNCTION("""COMPUTED_VALUE"""),146.544)</f>
        <v>146.544</v>
      </c>
      <c r="G1475" s="11">
        <f>IFERROR(__xludf.DUMMYFUNCTION("""COMPUTED_VALUE"""),6.0)</f>
        <v>6</v>
      </c>
      <c r="H1475" s="11">
        <f>IFERROR(__xludf.DUMMYFUNCTION("""COMPUTED_VALUE"""),47.6268)</f>
        <v>47.6268</v>
      </c>
    </row>
    <row r="1476">
      <c r="A1476" s="8" t="str">
        <f>IFERROR(__xludf.DUMMYFUNCTION("""COMPUTED_VALUE"""),"CA-2015-150749")</f>
        <v>CA-2015-150749</v>
      </c>
      <c r="B1476" s="9">
        <f>IFERROR(__xludf.DUMMYFUNCTION("""COMPUTED_VALUE"""),42092.0)</f>
        <v>42092</v>
      </c>
      <c r="C1476" s="8" t="str">
        <f>IFERROR(__xludf.DUMMYFUNCTION("""COMPUTED_VALUE"""),"Alan Shonely")</f>
        <v>Alan Shonely</v>
      </c>
      <c r="D1476" s="8" t="str">
        <f>IFERROR(__xludf.DUMMYFUNCTION("""COMPUTED_VALUE"""),"Consumer")</f>
        <v>Consumer</v>
      </c>
      <c r="E1476" s="8" t="str">
        <f>IFERROR(__xludf.DUMMYFUNCTION("""COMPUTED_VALUE"""),"South")</f>
        <v>South</v>
      </c>
      <c r="F1476" s="10">
        <f>IFERROR(__xludf.DUMMYFUNCTION("""COMPUTED_VALUE"""),5.56)</f>
        <v>5.56</v>
      </c>
      <c r="G1476" s="11">
        <f>IFERROR(__xludf.DUMMYFUNCTION("""COMPUTED_VALUE"""),2.0)</f>
        <v>2</v>
      </c>
      <c r="H1476" s="11">
        <f>IFERROR(__xludf.DUMMYFUNCTION("""COMPUTED_VALUE"""),1.4456)</f>
        <v>1.4456</v>
      </c>
    </row>
    <row r="1477">
      <c r="A1477" s="8" t="str">
        <f>IFERROR(__xludf.DUMMYFUNCTION("""COMPUTED_VALUE"""),"CA-2015-150770")</f>
        <v>CA-2015-150770</v>
      </c>
      <c r="B1477" s="9">
        <f>IFERROR(__xludf.DUMMYFUNCTION("""COMPUTED_VALUE"""),42127.0)</f>
        <v>42127</v>
      </c>
      <c r="C1477" s="8" t="str">
        <f>IFERROR(__xludf.DUMMYFUNCTION("""COMPUTED_VALUE"""),"Lena Cacioppo")</f>
        <v>Lena Cacioppo</v>
      </c>
      <c r="D1477" s="8" t="str">
        <f>IFERROR(__xludf.DUMMYFUNCTION("""COMPUTED_VALUE"""),"Consumer")</f>
        <v>Consumer</v>
      </c>
      <c r="E1477" s="8" t="str">
        <f>IFERROR(__xludf.DUMMYFUNCTION("""COMPUTED_VALUE"""),"West")</f>
        <v>West</v>
      </c>
      <c r="F1477" s="10">
        <f>IFERROR(__xludf.DUMMYFUNCTION("""COMPUTED_VALUE"""),8.82)</f>
        <v>8.82</v>
      </c>
      <c r="G1477" s="11">
        <f>IFERROR(__xludf.DUMMYFUNCTION("""COMPUTED_VALUE"""),3.0)</f>
        <v>3</v>
      </c>
      <c r="H1477" s="11">
        <f>IFERROR(__xludf.DUMMYFUNCTION("""COMPUTED_VALUE"""),2.5578)</f>
        <v>2.5578</v>
      </c>
    </row>
    <row r="1478">
      <c r="A1478" s="8" t="str">
        <f>IFERROR(__xludf.DUMMYFUNCTION("""COMPUTED_VALUE"""),"CA-2015-150791")</f>
        <v>CA-2015-150791</v>
      </c>
      <c r="B1478" s="9">
        <f>IFERROR(__xludf.DUMMYFUNCTION("""COMPUTED_VALUE"""),42253.0)</f>
        <v>42253</v>
      </c>
      <c r="C1478" s="8" t="str">
        <f>IFERROR(__xludf.DUMMYFUNCTION("""COMPUTED_VALUE"""),"Chuck Clark")</f>
        <v>Chuck Clark</v>
      </c>
      <c r="D1478" s="8" t="str">
        <f>IFERROR(__xludf.DUMMYFUNCTION("""COMPUTED_VALUE"""),"Home Office")</f>
        <v>Home Office</v>
      </c>
      <c r="E1478" s="8" t="str">
        <f>IFERROR(__xludf.DUMMYFUNCTION("""COMPUTED_VALUE"""),"East")</f>
        <v>East</v>
      </c>
      <c r="F1478" s="10">
        <f>IFERROR(__xludf.DUMMYFUNCTION("""COMPUTED_VALUE"""),271.764)</f>
        <v>271.764</v>
      </c>
      <c r="G1478" s="11">
        <f>IFERROR(__xludf.DUMMYFUNCTION("""COMPUTED_VALUE"""),2.0)</f>
        <v>2</v>
      </c>
      <c r="H1478" s="11">
        <f>IFERROR(__xludf.DUMMYFUNCTION("""COMPUTED_VALUE"""),60.392)</f>
        <v>60.392</v>
      </c>
    </row>
    <row r="1479">
      <c r="A1479" s="8" t="str">
        <f>IFERROR(__xludf.DUMMYFUNCTION("""COMPUTED_VALUE"""),"CA-2015-150875")</f>
        <v>CA-2015-150875</v>
      </c>
      <c r="B1479" s="9">
        <f>IFERROR(__xludf.DUMMYFUNCTION("""COMPUTED_VALUE"""),42324.0)</f>
        <v>42324</v>
      </c>
      <c r="C1479" s="8" t="str">
        <f>IFERROR(__xludf.DUMMYFUNCTION("""COMPUTED_VALUE"""),"Heather Kirkland")</f>
        <v>Heather Kirkland</v>
      </c>
      <c r="D1479" s="8" t="str">
        <f>IFERROR(__xludf.DUMMYFUNCTION("""COMPUTED_VALUE"""),"Corporate")</f>
        <v>Corporate</v>
      </c>
      <c r="E1479" s="8" t="str">
        <f>IFERROR(__xludf.DUMMYFUNCTION("""COMPUTED_VALUE"""),"West")</f>
        <v>West</v>
      </c>
      <c r="F1479" s="10">
        <f>IFERROR(__xludf.DUMMYFUNCTION("""COMPUTED_VALUE"""),696.42)</f>
        <v>696.42</v>
      </c>
      <c r="G1479" s="11">
        <f>IFERROR(__xludf.DUMMYFUNCTION("""COMPUTED_VALUE"""),2.0)</f>
        <v>2</v>
      </c>
      <c r="H1479" s="11">
        <f>IFERROR(__xludf.DUMMYFUNCTION("""COMPUTED_VALUE"""),160.1766)</f>
        <v>160.1766</v>
      </c>
    </row>
    <row r="1480">
      <c r="A1480" s="8" t="str">
        <f>IFERROR(__xludf.DUMMYFUNCTION("""COMPUTED_VALUE"""),"CA-2015-151043")</f>
        <v>CA-2015-151043</v>
      </c>
      <c r="B1480" s="9">
        <f>IFERROR(__xludf.DUMMYFUNCTION("""COMPUTED_VALUE"""),42322.0)</f>
        <v>42322</v>
      </c>
      <c r="C1480" s="8" t="str">
        <f>IFERROR(__xludf.DUMMYFUNCTION("""COMPUTED_VALUE"""),"Maureen Gastineau")</f>
        <v>Maureen Gastineau</v>
      </c>
      <c r="D1480" s="8" t="str">
        <f>IFERROR(__xludf.DUMMYFUNCTION("""COMPUTED_VALUE"""),"Home Office")</f>
        <v>Home Office</v>
      </c>
      <c r="E1480" s="8" t="str">
        <f>IFERROR(__xludf.DUMMYFUNCTION("""COMPUTED_VALUE"""),"East")</f>
        <v>East</v>
      </c>
      <c r="F1480" s="10">
        <f>IFERROR(__xludf.DUMMYFUNCTION("""COMPUTED_VALUE"""),47.984)</f>
        <v>47.984</v>
      </c>
      <c r="G1480" s="11">
        <f>IFERROR(__xludf.DUMMYFUNCTION("""COMPUTED_VALUE"""),2.0)</f>
        <v>2</v>
      </c>
      <c r="H1480" s="11">
        <f>IFERROR(__xludf.DUMMYFUNCTION("""COMPUTED_VALUE"""),-1.1996)</f>
        <v>-1.1996</v>
      </c>
    </row>
    <row r="1481">
      <c r="A1481" s="8" t="str">
        <f>IFERROR(__xludf.DUMMYFUNCTION("""COMPUTED_VALUE"""),"CA-2015-151253")</f>
        <v>CA-2015-151253</v>
      </c>
      <c r="B1481" s="9">
        <f>IFERROR(__xludf.DUMMYFUNCTION("""COMPUTED_VALUE"""),42116.0)</f>
        <v>42116</v>
      </c>
      <c r="C1481" s="8" t="str">
        <f>IFERROR(__xludf.DUMMYFUNCTION("""COMPUTED_VALUE"""),"Annie Zypern")</f>
        <v>Annie Zypern</v>
      </c>
      <c r="D1481" s="8" t="str">
        <f>IFERROR(__xludf.DUMMYFUNCTION("""COMPUTED_VALUE"""),"Consumer")</f>
        <v>Consumer</v>
      </c>
      <c r="E1481" s="8" t="str">
        <f>IFERROR(__xludf.DUMMYFUNCTION("""COMPUTED_VALUE"""),"West")</f>
        <v>West</v>
      </c>
      <c r="F1481" s="10">
        <f>IFERROR(__xludf.DUMMYFUNCTION("""COMPUTED_VALUE"""),88.776)</f>
        <v>88.776</v>
      </c>
      <c r="G1481" s="11">
        <f>IFERROR(__xludf.DUMMYFUNCTION("""COMPUTED_VALUE"""),3.0)</f>
        <v>3</v>
      </c>
      <c r="H1481" s="11">
        <f>IFERROR(__xludf.DUMMYFUNCTION("""COMPUTED_VALUE"""),7.7679)</f>
        <v>7.7679</v>
      </c>
    </row>
    <row r="1482">
      <c r="A1482" s="8" t="str">
        <f>IFERROR(__xludf.DUMMYFUNCTION("""COMPUTED_VALUE"""),"CA-2015-151470")</f>
        <v>CA-2015-151470</v>
      </c>
      <c r="B1482" s="9">
        <f>IFERROR(__xludf.DUMMYFUNCTION("""COMPUTED_VALUE"""),42267.0)</f>
        <v>42267</v>
      </c>
      <c r="C1482" s="8" t="str">
        <f>IFERROR(__xludf.DUMMYFUNCTION("""COMPUTED_VALUE"""),"Anne McFarland")</f>
        <v>Anne McFarland</v>
      </c>
      <c r="D1482" s="8" t="str">
        <f>IFERROR(__xludf.DUMMYFUNCTION("""COMPUTED_VALUE"""),"Consumer")</f>
        <v>Consumer</v>
      </c>
      <c r="E1482" s="8" t="str">
        <f>IFERROR(__xludf.DUMMYFUNCTION("""COMPUTED_VALUE"""),"West")</f>
        <v>West</v>
      </c>
      <c r="F1482" s="10">
        <f>IFERROR(__xludf.DUMMYFUNCTION("""COMPUTED_VALUE"""),45.584)</f>
        <v>45.584</v>
      </c>
      <c r="G1482" s="11">
        <f>IFERROR(__xludf.DUMMYFUNCTION("""COMPUTED_VALUE"""),11.0)</f>
        <v>11</v>
      </c>
      <c r="H1482" s="11">
        <f>IFERROR(__xludf.DUMMYFUNCTION("""COMPUTED_VALUE"""),16.5242)</f>
        <v>16.5242</v>
      </c>
    </row>
    <row r="1483">
      <c r="A1483" s="8" t="str">
        <f>IFERROR(__xludf.DUMMYFUNCTION("""COMPUTED_VALUE"""),"CA-2015-151547")</f>
        <v>CA-2015-151547</v>
      </c>
      <c r="B1483" s="9">
        <f>IFERROR(__xludf.DUMMYFUNCTION("""COMPUTED_VALUE"""),42021.0)</f>
        <v>42021</v>
      </c>
      <c r="C1483" s="8" t="str">
        <f>IFERROR(__xludf.DUMMYFUNCTION("""COMPUTED_VALUE"""),"Amy Hunt")</f>
        <v>Amy Hunt</v>
      </c>
      <c r="D1483" s="8" t="str">
        <f>IFERROR(__xludf.DUMMYFUNCTION("""COMPUTED_VALUE"""),"Consumer")</f>
        <v>Consumer</v>
      </c>
      <c r="E1483" s="8" t="str">
        <f>IFERROR(__xludf.DUMMYFUNCTION("""COMPUTED_VALUE"""),"South")</f>
        <v>South</v>
      </c>
      <c r="F1483" s="10">
        <f>IFERROR(__xludf.DUMMYFUNCTION("""COMPUTED_VALUE"""),88.96)</f>
        <v>88.96</v>
      </c>
      <c r="G1483" s="11">
        <f>IFERROR(__xludf.DUMMYFUNCTION("""COMPUTED_VALUE"""),8.0)</f>
        <v>8</v>
      </c>
      <c r="H1483" s="11">
        <f>IFERROR(__xludf.DUMMYFUNCTION("""COMPUTED_VALUE"""),10.008)</f>
        <v>10.008</v>
      </c>
    </row>
    <row r="1484">
      <c r="A1484" s="8" t="str">
        <f>IFERROR(__xludf.DUMMYFUNCTION("""COMPUTED_VALUE"""),"CA-2015-151589")</f>
        <v>CA-2015-151589</v>
      </c>
      <c r="B1484" s="9">
        <f>IFERROR(__xludf.DUMMYFUNCTION("""COMPUTED_VALUE"""),42365.0)</f>
        <v>42365</v>
      </c>
      <c r="C1484" s="8" t="str">
        <f>IFERROR(__xludf.DUMMYFUNCTION("""COMPUTED_VALUE"""),"Richard Eichhorn")</f>
        <v>Richard Eichhorn</v>
      </c>
      <c r="D1484" s="8" t="str">
        <f>IFERROR(__xludf.DUMMYFUNCTION("""COMPUTED_VALUE"""),"Consumer")</f>
        <v>Consumer</v>
      </c>
      <c r="E1484" s="8" t="str">
        <f>IFERROR(__xludf.DUMMYFUNCTION("""COMPUTED_VALUE"""),"Central")</f>
        <v>Central</v>
      </c>
      <c r="F1484" s="10">
        <f>IFERROR(__xludf.DUMMYFUNCTION("""COMPUTED_VALUE"""),195.64)</f>
        <v>195.64</v>
      </c>
      <c r="G1484" s="11">
        <f>IFERROR(__xludf.DUMMYFUNCTION("""COMPUTED_VALUE"""),4.0)</f>
        <v>4</v>
      </c>
      <c r="H1484" s="11">
        <f>IFERROR(__xludf.DUMMYFUNCTION("""COMPUTED_VALUE"""),91.9508)</f>
        <v>91.9508</v>
      </c>
    </row>
    <row r="1485">
      <c r="A1485" s="8" t="str">
        <f>IFERROR(__xludf.DUMMYFUNCTION("""COMPUTED_VALUE"""),"CA-2015-151624")</f>
        <v>CA-2015-151624</v>
      </c>
      <c r="B1485" s="9">
        <f>IFERROR(__xludf.DUMMYFUNCTION("""COMPUTED_VALUE"""),42255.0)</f>
        <v>42255</v>
      </c>
      <c r="C1485" s="8" t="str">
        <f>IFERROR(__xludf.DUMMYFUNCTION("""COMPUTED_VALUE"""),"Victoria Wilson")</f>
        <v>Victoria Wilson</v>
      </c>
      <c r="D1485" s="8" t="str">
        <f>IFERROR(__xludf.DUMMYFUNCTION("""COMPUTED_VALUE"""),"Corporate")</f>
        <v>Corporate</v>
      </c>
      <c r="E1485" s="8" t="str">
        <f>IFERROR(__xludf.DUMMYFUNCTION("""COMPUTED_VALUE"""),"South")</f>
        <v>South</v>
      </c>
      <c r="F1485" s="10">
        <f>IFERROR(__xludf.DUMMYFUNCTION("""COMPUTED_VALUE"""),21.36)</f>
        <v>21.36</v>
      </c>
      <c r="G1485" s="11">
        <f>IFERROR(__xludf.DUMMYFUNCTION("""COMPUTED_VALUE"""),8.0)</f>
        <v>8</v>
      </c>
      <c r="H1485" s="11">
        <f>IFERROR(__xludf.DUMMYFUNCTION("""COMPUTED_VALUE"""),8.1168)</f>
        <v>8.1168</v>
      </c>
    </row>
    <row r="1486">
      <c r="A1486" s="8" t="str">
        <f>IFERROR(__xludf.DUMMYFUNCTION("""COMPUTED_VALUE"""),"CA-2015-151680")</f>
        <v>CA-2015-151680</v>
      </c>
      <c r="B1486" s="9">
        <f>IFERROR(__xludf.DUMMYFUNCTION("""COMPUTED_VALUE"""),42327.0)</f>
        <v>42327</v>
      </c>
      <c r="C1486" s="8" t="str">
        <f>IFERROR(__xludf.DUMMYFUNCTION("""COMPUTED_VALUE"""),"Tony Chapman")</f>
        <v>Tony Chapman</v>
      </c>
      <c r="D1486" s="8" t="str">
        <f>IFERROR(__xludf.DUMMYFUNCTION("""COMPUTED_VALUE"""),"Home Office")</f>
        <v>Home Office</v>
      </c>
      <c r="E1486" s="8" t="str">
        <f>IFERROR(__xludf.DUMMYFUNCTION("""COMPUTED_VALUE"""),"West")</f>
        <v>West</v>
      </c>
      <c r="F1486" s="10">
        <f>IFERROR(__xludf.DUMMYFUNCTION("""COMPUTED_VALUE"""),141.96)</f>
        <v>141.96</v>
      </c>
      <c r="G1486" s="11">
        <f>IFERROR(__xludf.DUMMYFUNCTION("""COMPUTED_VALUE"""),2.0)</f>
        <v>2</v>
      </c>
      <c r="H1486" s="11">
        <f>IFERROR(__xludf.DUMMYFUNCTION("""COMPUTED_VALUE"""),22.7136)</f>
        <v>22.7136</v>
      </c>
    </row>
    <row r="1487">
      <c r="A1487" s="8" t="str">
        <f>IFERROR(__xludf.DUMMYFUNCTION("""COMPUTED_VALUE"""),"CA-2015-151722")</f>
        <v>CA-2015-151722</v>
      </c>
      <c r="B1487" s="9">
        <f>IFERROR(__xludf.DUMMYFUNCTION("""COMPUTED_VALUE"""),42282.0)</f>
        <v>42282</v>
      </c>
      <c r="C1487" s="8" t="str">
        <f>IFERROR(__xludf.DUMMYFUNCTION("""COMPUTED_VALUE"""),"Ivan Liston")</f>
        <v>Ivan Liston</v>
      </c>
      <c r="D1487" s="8" t="str">
        <f>IFERROR(__xludf.DUMMYFUNCTION("""COMPUTED_VALUE"""),"Consumer")</f>
        <v>Consumer</v>
      </c>
      <c r="E1487" s="8" t="str">
        <f>IFERROR(__xludf.DUMMYFUNCTION("""COMPUTED_VALUE"""),"East")</f>
        <v>East</v>
      </c>
      <c r="F1487" s="10">
        <f>IFERROR(__xludf.DUMMYFUNCTION("""COMPUTED_VALUE"""),288.0)</f>
        <v>288</v>
      </c>
      <c r="G1487" s="11">
        <f>IFERROR(__xludf.DUMMYFUNCTION("""COMPUTED_VALUE"""),4.0)</f>
        <v>4</v>
      </c>
      <c r="H1487" s="11">
        <f>IFERROR(__xludf.DUMMYFUNCTION("""COMPUTED_VALUE"""),57.6)</f>
        <v>57.6</v>
      </c>
    </row>
    <row r="1488">
      <c r="A1488" s="8" t="str">
        <f>IFERROR(__xludf.DUMMYFUNCTION("""COMPUTED_VALUE"""),"CA-2015-151785")</f>
        <v>CA-2015-151785</v>
      </c>
      <c r="B1488" s="9">
        <f>IFERROR(__xludf.DUMMYFUNCTION("""COMPUTED_VALUE"""),42068.0)</f>
        <v>42068</v>
      </c>
      <c r="C1488" s="8" t="str">
        <f>IFERROR(__xludf.DUMMYFUNCTION("""COMPUTED_VALUE"""),"Jennifer Jackson")</f>
        <v>Jennifer Jackson</v>
      </c>
      <c r="D1488" s="8" t="str">
        <f>IFERROR(__xludf.DUMMYFUNCTION("""COMPUTED_VALUE"""),"Consumer")</f>
        <v>Consumer</v>
      </c>
      <c r="E1488" s="8" t="str">
        <f>IFERROR(__xludf.DUMMYFUNCTION("""COMPUTED_VALUE"""),"Central")</f>
        <v>Central</v>
      </c>
      <c r="F1488" s="10">
        <f>IFERROR(__xludf.DUMMYFUNCTION("""COMPUTED_VALUE"""),7.104)</f>
        <v>7.104</v>
      </c>
      <c r="G1488" s="11">
        <f>IFERROR(__xludf.DUMMYFUNCTION("""COMPUTED_VALUE"""),6.0)</f>
        <v>6</v>
      </c>
      <c r="H1488" s="11">
        <f>IFERROR(__xludf.DUMMYFUNCTION("""COMPUTED_VALUE"""),2.4864)</f>
        <v>2.4864</v>
      </c>
    </row>
    <row r="1489">
      <c r="A1489" s="8" t="str">
        <f>IFERROR(__xludf.DUMMYFUNCTION("""COMPUTED_VALUE"""),"CA-2015-151841")</f>
        <v>CA-2015-151841</v>
      </c>
      <c r="B1489" s="9">
        <f>IFERROR(__xludf.DUMMYFUNCTION("""COMPUTED_VALUE"""),42121.0)</f>
        <v>42121</v>
      </c>
      <c r="C1489" s="8" t="str">
        <f>IFERROR(__xludf.DUMMYFUNCTION("""COMPUTED_VALUE"""),"Tony Chapman")</f>
        <v>Tony Chapman</v>
      </c>
      <c r="D1489" s="8" t="str">
        <f>IFERROR(__xludf.DUMMYFUNCTION("""COMPUTED_VALUE"""),"Home Office")</f>
        <v>Home Office</v>
      </c>
      <c r="E1489" s="8" t="str">
        <f>IFERROR(__xludf.DUMMYFUNCTION("""COMPUTED_VALUE"""),"West")</f>
        <v>West</v>
      </c>
      <c r="F1489" s="10">
        <f>IFERROR(__xludf.DUMMYFUNCTION("""COMPUTED_VALUE"""),43.56)</f>
        <v>43.56</v>
      </c>
      <c r="G1489" s="11">
        <f>IFERROR(__xludf.DUMMYFUNCTION("""COMPUTED_VALUE"""),5.0)</f>
        <v>5</v>
      </c>
      <c r="H1489" s="11">
        <f>IFERROR(__xludf.DUMMYFUNCTION("""COMPUTED_VALUE"""),3.267)</f>
        <v>3.267</v>
      </c>
    </row>
    <row r="1490">
      <c r="A1490" s="8" t="str">
        <f>IFERROR(__xludf.DUMMYFUNCTION("""COMPUTED_VALUE"""),"CA-2015-151869")</f>
        <v>CA-2015-151869</v>
      </c>
      <c r="B1490" s="9">
        <f>IFERROR(__xludf.DUMMYFUNCTION("""COMPUTED_VALUE"""),42272.0)</f>
        <v>42272</v>
      </c>
      <c r="C1490" s="8" t="str">
        <f>IFERROR(__xludf.DUMMYFUNCTION("""COMPUTED_VALUE"""),"Carlos Soltero")</f>
        <v>Carlos Soltero</v>
      </c>
      <c r="D1490" s="8" t="str">
        <f>IFERROR(__xludf.DUMMYFUNCTION("""COMPUTED_VALUE"""),"Consumer")</f>
        <v>Consumer</v>
      </c>
      <c r="E1490" s="8" t="str">
        <f>IFERROR(__xludf.DUMMYFUNCTION("""COMPUTED_VALUE"""),"East")</f>
        <v>East</v>
      </c>
      <c r="F1490" s="10">
        <f>IFERROR(__xludf.DUMMYFUNCTION("""COMPUTED_VALUE"""),102.582)</f>
        <v>102.582</v>
      </c>
      <c r="G1490" s="11">
        <f>IFERROR(__xludf.DUMMYFUNCTION("""COMPUTED_VALUE"""),1.0)</f>
        <v>1</v>
      </c>
      <c r="H1490" s="11">
        <f>IFERROR(__xludf.DUMMYFUNCTION("""COMPUTED_VALUE"""),6.8388)</f>
        <v>6.8388</v>
      </c>
    </row>
    <row r="1491">
      <c r="A1491" s="8" t="str">
        <f>IFERROR(__xludf.DUMMYFUNCTION("""COMPUTED_VALUE"""),"CA-2015-152513")</f>
        <v>CA-2015-152513</v>
      </c>
      <c r="B1491" s="9">
        <f>IFERROR(__xludf.DUMMYFUNCTION("""COMPUTED_VALUE"""),42189.0)</f>
        <v>42189</v>
      </c>
      <c r="C1491" s="8" t="str">
        <f>IFERROR(__xludf.DUMMYFUNCTION("""COMPUTED_VALUE"""),"Julie Prescott")</f>
        <v>Julie Prescott</v>
      </c>
      <c r="D1491" s="8" t="str">
        <f>IFERROR(__xludf.DUMMYFUNCTION("""COMPUTED_VALUE"""),"Home Office")</f>
        <v>Home Office</v>
      </c>
      <c r="E1491" s="8" t="str">
        <f>IFERROR(__xludf.DUMMYFUNCTION("""COMPUTED_VALUE"""),"West")</f>
        <v>West</v>
      </c>
      <c r="F1491" s="10">
        <f>IFERROR(__xludf.DUMMYFUNCTION("""COMPUTED_VALUE"""),22.848)</f>
        <v>22.848</v>
      </c>
      <c r="G1491" s="11">
        <f>IFERROR(__xludf.DUMMYFUNCTION("""COMPUTED_VALUE"""),2.0)</f>
        <v>2</v>
      </c>
      <c r="H1491" s="11">
        <f>IFERROR(__xludf.DUMMYFUNCTION("""COMPUTED_VALUE"""),7.4256)</f>
        <v>7.4256</v>
      </c>
    </row>
    <row r="1492">
      <c r="A1492" s="8" t="str">
        <f>IFERROR(__xludf.DUMMYFUNCTION("""COMPUTED_VALUE"""),"CA-2015-152527")</f>
        <v>CA-2015-152527</v>
      </c>
      <c r="B1492" s="9">
        <f>IFERROR(__xludf.DUMMYFUNCTION("""COMPUTED_VALUE"""),42294.0)</f>
        <v>42294</v>
      </c>
      <c r="C1492" s="8" t="str">
        <f>IFERROR(__xludf.DUMMYFUNCTION("""COMPUTED_VALUE"""),"Charlotte Melton")</f>
        <v>Charlotte Melton</v>
      </c>
      <c r="D1492" s="8" t="str">
        <f>IFERROR(__xludf.DUMMYFUNCTION("""COMPUTED_VALUE"""),"Consumer")</f>
        <v>Consumer</v>
      </c>
      <c r="E1492" s="8" t="str">
        <f>IFERROR(__xludf.DUMMYFUNCTION("""COMPUTED_VALUE"""),"West")</f>
        <v>West</v>
      </c>
      <c r="F1492" s="10">
        <f>IFERROR(__xludf.DUMMYFUNCTION("""COMPUTED_VALUE"""),77.88)</f>
        <v>77.88</v>
      </c>
      <c r="G1492" s="11">
        <f>IFERROR(__xludf.DUMMYFUNCTION("""COMPUTED_VALUE"""),2.0)</f>
        <v>2</v>
      </c>
      <c r="H1492" s="11">
        <f>IFERROR(__xludf.DUMMYFUNCTION("""COMPUTED_VALUE"""),3.894)</f>
        <v>3.894</v>
      </c>
    </row>
    <row r="1493">
      <c r="A1493" s="8" t="str">
        <f>IFERROR(__xludf.DUMMYFUNCTION("""COMPUTED_VALUE"""),"CA-2015-152611")</f>
        <v>CA-2015-152611</v>
      </c>
      <c r="B1493" s="9">
        <f>IFERROR(__xludf.DUMMYFUNCTION("""COMPUTED_VALUE"""),42055.0)</f>
        <v>42055</v>
      </c>
      <c r="C1493" s="8" t="str">
        <f>IFERROR(__xludf.DUMMYFUNCTION("""COMPUTED_VALUE"""),"Kelly Andreada")</f>
        <v>Kelly Andreada</v>
      </c>
      <c r="D1493" s="8" t="str">
        <f>IFERROR(__xludf.DUMMYFUNCTION("""COMPUTED_VALUE"""),"Consumer")</f>
        <v>Consumer</v>
      </c>
      <c r="E1493" s="8" t="str">
        <f>IFERROR(__xludf.DUMMYFUNCTION("""COMPUTED_VALUE"""),"East")</f>
        <v>East</v>
      </c>
      <c r="F1493" s="10">
        <f>IFERROR(__xludf.DUMMYFUNCTION("""COMPUTED_VALUE"""),286.79)</f>
        <v>286.79</v>
      </c>
      <c r="G1493" s="11">
        <f>IFERROR(__xludf.DUMMYFUNCTION("""COMPUTED_VALUE"""),7.0)</f>
        <v>7</v>
      </c>
      <c r="H1493" s="11">
        <f>IFERROR(__xludf.DUMMYFUNCTION("""COMPUTED_VALUE"""),74.5654)</f>
        <v>74.5654</v>
      </c>
    </row>
    <row r="1494">
      <c r="A1494" s="8" t="str">
        <f>IFERROR(__xludf.DUMMYFUNCTION("""COMPUTED_VALUE"""),"CA-2015-152681")</f>
        <v>CA-2015-152681</v>
      </c>
      <c r="B1494" s="9">
        <f>IFERROR(__xludf.DUMMYFUNCTION("""COMPUTED_VALUE"""),42021.0)</f>
        <v>42021</v>
      </c>
      <c r="C1494" s="8" t="str">
        <f>IFERROR(__xludf.DUMMYFUNCTION("""COMPUTED_VALUE"""),"Scott Cohen")</f>
        <v>Scott Cohen</v>
      </c>
      <c r="D1494" s="8" t="str">
        <f>IFERROR(__xludf.DUMMYFUNCTION("""COMPUTED_VALUE"""),"Corporate")</f>
        <v>Corporate</v>
      </c>
      <c r="E1494" s="8" t="str">
        <f>IFERROR(__xludf.DUMMYFUNCTION("""COMPUTED_VALUE"""),"East")</f>
        <v>East</v>
      </c>
      <c r="F1494" s="10">
        <f>IFERROR(__xludf.DUMMYFUNCTION("""COMPUTED_VALUE"""),6.68)</f>
        <v>6.68</v>
      </c>
      <c r="G1494" s="11">
        <f>IFERROR(__xludf.DUMMYFUNCTION("""COMPUTED_VALUE"""),2.0)</f>
        <v>2</v>
      </c>
      <c r="H1494" s="11">
        <f>IFERROR(__xludf.DUMMYFUNCTION("""COMPUTED_VALUE"""),2.004)</f>
        <v>2.004</v>
      </c>
    </row>
    <row r="1495">
      <c r="A1495" s="8" t="str">
        <f>IFERROR(__xludf.DUMMYFUNCTION("""COMPUTED_VALUE"""),"CA-2015-152891")</f>
        <v>CA-2015-152891</v>
      </c>
      <c r="B1495" s="9">
        <f>IFERROR(__xludf.DUMMYFUNCTION("""COMPUTED_VALUE"""),42302.0)</f>
        <v>42302</v>
      </c>
      <c r="C1495" s="8" t="str">
        <f>IFERROR(__xludf.DUMMYFUNCTION("""COMPUTED_VALUE"""),"Trudy Brown")</f>
        <v>Trudy Brown</v>
      </c>
      <c r="D1495" s="8" t="str">
        <f>IFERROR(__xludf.DUMMYFUNCTION("""COMPUTED_VALUE"""),"Consumer")</f>
        <v>Consumer</v>
      </c>
      <c r="E1495" s="8" t="str">
        <f>IFERROR(__xludf.DUMMYFUNCTION("""COMPUTED_VALUE"""),"West")</f>
        <v>West</v>
      </c>
      <c r="F1495" s="10">
        <f>IFERROR(__xludf.DUMMYFUNCTION("""COMPUTED_VALUE"""),60.45)</f>
        <v>60.45</v>
      </c>
      <c r="G1495" s="11">
        <f>IFERROR(__xludf.DUMMYFUNCTION("""COMPUTED_VALUE"""),3.0)</f>
        <v>3</v>
      </c>
      <c r="H1495" s="11">
        <f>IFERROR(__xludf.DUMMYFUNCTION("""COMPUTED_VALUE"""),16.3215)</f>
        <v>16.3215</v>
      </c>
    </row>
    <row r="1496">
      <c r="A1496" s="8" t="str">
        <f>IFERROR(__xludf.DUMMYFUNCTION("""COMPUTED_VALUE"""),"CA-2015-153038")</f>
        <v>CA-2015-153038</v>
      </c>
      <c r="B1496" s="9">
        <f>IFERROR(__xludf.DUMMYFUNCTION("""COMPUTED_VALUE"""),42356.0)</f>
        <v>42356</v>
      </c>
      <c r="C1496" s="8" t="str">
        <f>IFERROR(__xludf.DUMMYFUNCTION("""COMPUTED_VALUE"""),"Robert Barroso")</f>
        <v>Robert Barroso</v>
      </c>
      <c r="D1496" s="8" t="str">
        <f>IFERROR(__xludf.DUMMYFUNCTION("""COMPUTED_VALUE"""),"Corporate")</f>
        <v>Corporate</v>
      </c>
      <c r="E1496" s="8" t="str">
        <f>IFERROR(__xludf.DUMMYFUNCTION("""COMPUTED_VALUE"""),"South")</f>
        <v>South</v>
      </c>
      <c r="F1496" s="10">
        <f>IFERROR(__xludf.DUMMYFUNCTION("""COMPUTED_VALUE"""),55.936)</f>
        <v>55.936</v>
      </c>
      <c r="G1496" s="11">
        <f>IFERROR(__xludf.DUMMYFUNCTION("""COMPUTED_VALUE"""),8.0)</f>
        <v>8</v>
      </c>
      <c r="H1496" s="11">
        <f>IFERROR(__xludf.DUMMYFUNCTION("""COMPUTED_VALUE"""),18.8784)</f>
        <v>18.8784</v>
      </c>
    </row>
    <row r="1497">
      <c r="A1497" s="8" t="str">
        <f>IFERROR(__xludf.DUMMYFUNCTION("""COMPUTED_VALUE"""),"CA-2015-153073")</f>
        <v>CA-2015-153073</v>
      </c>
      <c r="B1497" s="9">
        <f>IFERROR(__xludf.DUMMYFUNCTION("""COMPUTED_VALUE"""),42321.0)</f>
        <v>42321</v>
      </c>
      <c r="C1497" s="8" t="str">
        <f>IFERROR(__xludf.DUMMYFUNCTION("""COMPUTED_VALUE"""),"Helen Abelman")</f>
        <v>Helen Abelman</v>
      </c>
      <c r="D1497" s="8" t="str">
        <f>IFERROR(__xludf.DUMMYFUNCTION("""COMPUTED_VALUE"""),"Consumer")</f>
        <v>Consumer</v>
      </c>
      <c r="E1497" s="8" t="str">
        <f>IFERROR(__xludf.DUMMYFUNCTION("""COMPUTED_VALUE"""),"Central")</f>
        <v>Central</v>
      </c>
      <c r="F1497" s="10">
        <f>IFERROR(__xludf.DUMMYFUNCTION("""COMPUTED_VALUE"""),17.496)</f>
        <v>17.496</v>
      </c>
      <c r="G1497" s="11">
        <f>IFERROR(__xludf.DUMMYFUNCTION("""COMPUTED_VALUE"""),9.0)</f>
        <v>9</v>
      </c>
      <c r="H1497" s="11">
        <f>IFERROR(__xludf.DUMMYFUNCTION("""COMPUTED_VALUE"""),-7.4358)</f>
        <v>-7.4358</v>
      </c>
    </row>
    <row r="1498">
      <c r="A1498" s="8" t="str">
        <f>IFERROR(__xludf.DUMMYFUNCTION("""COMPUTED_VALUE"""),"CA-2015-153108")</f>
        <v>CA-2015-153108</v>
      </c>
      <c r="B1498" s="9">
        <f>IFERROR(__xludf.DUMMYFUNCTION("""COMPUTED_VALUE"""),42068.0)</f>
        <v>42068</v>
      </c>
      <c r="C1498" s="8" t="str">
        <f>IFERROR(__xludf.DUMMYFUNCTION("""COMPUTED_VALUE"""),"Sarah Foster")</f>
        <v>Sarah Foster</v>
      </c>
      <c r="D1498" s="8" t="str">
        <f>IFERROR(__xludf.DUMMYFUNCTION("""COMPUTED_VALUE"""),"Consumer")</f>
        <v>Consumer</v>
      </c>
      <c r="E1498" s="8" t="str">
        <f>IFERROR(__xludf.DUMMYFUNCTION("""COMPUTED_VALUE"""),"Central")</f>
        <v>Central</v>
      </c>
      <c r="F1498" s="10">
        <f>IFERROR(__xludf.DUMMYFUNCTION("""COMPUTED_VALUE"""),23.92)</f>
        <v>23.92</v>
      </c>
      <c r="G1498" s="11">
        <f>IFERROR(__xludf.DUMMYFUNCTION("""COMPUTED_VALUE"""),2.0)</f>
        <v>2</v>
      </c>
      <c r="H1498" s="11">
        <f>IFERROR(__xludf.DUMMYFUNCTION("""COMPUTED_VALUE"""),6.6976)</f>
        <v>6.6976</v>
      </c>
    </row>
    <row r="1499">
      <c r="A1499" s="8" t="str">
        <f>IFERROR(__xludf.DUMMYFUNCTION("""COMPUTED_VALUE"""),"CA-2015-153220")</f>
        <v>CA-2015-153220</v>
      </c>
      <c r="B1499" s="9">
        <f>IFERROR(__xludf.DUMMYFUNCTION("""COMPUTED_VALUE"""),42320.0)</f>
        <v>42320</v>
      </c>
      <c r="C1499" s="8" t="str">
        <f>IFERROR(__xludf.DUMMYFUNCTION("""COMPUTED_VALUE"""),"Yoseph Carroll")</f>
        <v>Yoseph Carroll</v>
      </c>
      <c r="D1499" s="8" t="str">
        <f>IFERROR(__xludf.DUMMYFUNCTION("""COMPUTED_VALUE"""),"Corporate")</f>
        <v>Corporate</v>
      </c>
      <c r="E1499" s="8" t="str">
        <f>IFERROR(__xludf.DUMMYFUNCTION("""COMPUTED_VALUE"""),"West")</f>
        <v>West</v>
      </c>
      <c r="F1499" s="10">
        <f>IFERROR(__xludf.DUMMYFUNCTION("""COMPUTED_VALUE"""),15.7)</f>
        <v>15.7</v>
      </c>
      <c r="G1499" s="11">
        <f>IFERROR(__xludf.DUMMYFUNCTION("""COMPUTED_VALUE"""),5.0)</f>
        <v>5</v>
      </c>
      <c r="H1499" s="11">
        <f>IFERROR(__xludf.DUMMYFUNCTION("""COMPUTED_VALUE"""),7.065)</f>
        <v>7.065</v>
      </c>
    </row>
    <row r="1500">
      <c r="A1500" s="8" t="str">
        <f>IFERROR(__xludf.DUMMYFUNCTION("""COMPUTED_VALUE"""),"CA-2015-153325")</f>
        <v>CA-2015-153325</v>
      </c>
      <c r="B1500" s="9">
        <f>IFERROR(__xludf.DUMMYFUNCTION("""COMPUTED_VALUE"""),42064.0)</f>
        <v>42064</v>
      </c>
      <c r="C1500" s="8" t="str">
        <f>IFERROR(__xludf.DUMMYFUNCTION("""COMPUTED_VALUE"""),"Shui Tom")</f>
        <v>Shui Tom</v>
      </c>
      <c r="D1500" s="8" t="str">
        <f>IFERROR(__xludf.DUMMYFUNCTION("""COMPUTED_VALUE"""),"Consumer")</f>
        <v>Consumer</v>
      </c>
      <c r="E1500" s="8" t="str">
        <f>IFERROR(__xludf.DUMMYFUNCTION("""COMPUTED_VALUE"""),"South")</f>
        <v>South</v>
      </c>
      <c r="F1500" s="10">
        <f>IFERROR(__xludf.DUMMYFUNCTION("""COMPUTED_VALUE"""),58.72)</f>
        <v>58.72</v>
      </c>
      <c r="G1500" s="11">
        <f>IFERROR(__xludf.DUMMYFUNCTION("""COMPUTED_VALUE"""),4.0)</f>
        <v>4</v>
      </c>
      <c r="H1500" s="11">
        <f>IFERROR(__xludf.DUMMYFUNCTION("""COMPUTED_VALUE"""),27.0112)</f>
        <v>27.0112</v>
      </c>
    </row>
    <row r="1501">
      <c r="A1501" s="8" t="str">
        <f>IFERROR(__xludf.DUMMYFUNCTION("""COMPUTED_VALUE"""),"CA-2015-153381")</f>
        <v>CA-2015-153381</v>
      </c>
      <c r="B1501" s="9">
        <f>IFERROR(__xludf.DUMMYFUNCTION("""COMPUTED_VALUE"""),42271.0)</f>
        <v>42271</v>
      </c>
      <c r="C1501" s="8" t="str">
        <f>IFERROR(__xludf.DUMMYFUNCTION("""COMPUTED_VALUE"""),"Deanra Eno")</f>
        <v>Deanra Eno</v>
      </c>
      <c r="D1501" s="8" t="str">
        <f>IFERROR(__xludf.DUMMYFUNCTION("""COMPUTED_VALUE"""),"Home Office")</f>
        <v>Home Office</v>
      </c>
      <c r="E1501" s="8" t="str">
        <f>IFERROR(__xludf.DUMMYFUNCTION("""COMPUTED_VALUE"""),"Central")</f>
        <v>Central</v>
      </c>
      <c r="F1501" s="10">
        <f>IFERROR(__xludf.DUMMYFUNCTION("""COMPUTED_VALUE"""),15.24)</f>
        <v>15.24</v>
      </c>
      <c r="G1501" s="11">
        <f>IFERROR(__xludf.DUMMYFUNCTION("""COMPUTED_VALUE"""),4.0)</f>
        <v>4</v>
      </c>
      <c r="H1501" s="11">
        <f>IFERROR(__xludf.DUMMYFUNCTION("""COMPUTED_VALUE"""),6.858)</f>
        <v>6.858</v>
      </c>
    </row>
    <row r="1502">
      <c r="A1502" s="8" t="str">
        <f>IFERROR(__xludf.DUMMYFUNCTION("""COMPUTED_VALUE"""),"CA-2015-153388")</f>
        <v>CA-2015-153388</v>
      </c>
      <c r="B1502" s="9">
        <f>IFERROR(__xludf.DUMMYFUNCTION("""COMPUTED_VALUE"""),42217.0)</f>
        <v>42217</v>
      </c>
      <c r="C1502" s="8" t="str">
        <f>IFERROR(__xludf.DUMMYFUNCTION("""COMPUTED_VALUE"""),"Pauline Chand")</f>
        <v>Pauline Chand</v>
      </c>
      <c r="D1502" s="8" t="str">
        <f>IFERROR(__xludf.DUMMYFUNCTION("""COMPUTED_VALUE"""),"Home Office")</f>
        <v>Home Office</v>
      </c>
      <c r="E1502" s="8" t="str">
        <f>IFERROR(__xludf.DUMMYFUNCTION("""COMPUTED_VALUE"""),"West")</f>
        <v>West</v>
      </c>
      <c r="F1502" s="10">
        <f>IFERROR(__xludf.DUMMYFUNCTION("""COMPUTED_VALUE"""),6.72)</f>
        <v>6.72</v>
      </c>
      <c r="G1502" s="11">
        <f>IFERROR(__xludf.DUMMYFUNCTION("""COMPUTED_VALUE"""),4.0)</f>
        <v>4</v>
      </c>
      <c r="H1502" s="11">
        <f>IFERROR(__xludf.DUMMYFUNCTION("""COMPUTED_VALUE"""),3.36)</f>
        <v>3.36</v>
      </c>
    </row>
    <row r="1503">
      <c r="A1503" s="8" t="str">
        <f>IFERROR(__xludf.DUMMYFUNCTION("""COMPUTED_VALUE"""),"CA-2015-153416")</f>
        <v>CA-2015-153416</v>
      </c>
      <c r="B1503" s="9">
        <f>IFERROR(__xludf.DUMMYFUNCTION("""COMPUTED_VALUE"""),42332.0)</f>
        <v>42332</v>
      </c>
      <c r="C1503" s="8" t="str">
        <f>IFERROR(__xludf.DUMMYFUNCTION("""COMPUTED_VALUE"""),"Toby Swindell")</f>
        <v>Toby Swindell</v>
      </c>
      <c r="D1503" s="8" t="str">
        <f>IFERROR(__xludf.DUMMYFUNCTION("""COMPUTED_VALUE"""),"Consumer")</f>
        <v>Consumer</v>
      </c>
      <c r="E1503" s="8" t="str">
        <f>IFERROR(__xludf.DUMMYFUNCTION("""COMPUTED_VALUE"""),"West")</f>
        <v>West</v>
      </c>
      <c r="F1503" s="10">
        <f>IFERROR(__xludf.DUMMYFUNCTION("""COMPUTED_VALUE"""),3.168)</f>
        <v>3.168</v>
      </c>
      <c r="G1503" s="11">
        <f>IFERROR(__xludf.DUMMYFUNCTION("""COMPUTED_VALUE"""),2.0)</f>
        <v>2</v>
      </c>
      <c r="H1503" s="11">
        <f>IFERROR(__xludf.DUMMYFUNCTION("""COMPUTED_VALUE"""),0.99)</f>
        <v>0.99</v>
      </c>
    </row>
    <row r="1504">
      <c r="A1504" s="8" t="str">
        <f>IFERROR(__xludf.DUMMYFUNCTION("""COMPUTED_VALUE"""),"CA-2015-153423")</f>
        <v>CA-2015-153423</v>
      </c>
      <c r="B1504" s="9">
        <f>IFERROR(__xludf.DUMMYFUNCTION("""COMPUTED_VALUE"""),42177.0)</f>
        <v>42177</v>
      </c>
      <c r="C1504" s="8" t="str">
        <f>IFERROR(__xludf.DUMMYFUNCTION("""COMPUTED_VALUE"""),"Shaun Weien")</f>
        <v>Shaun Weien</v>
      </c>
      <c r="D1504" s="8" t="str">
        <f>IFERROR(__xludf.DUMMYFUNCTION("""COMPUTED_VALUE"""),"Consumer")</f>
        <v>Consumer</v>
      </c>
      <c r="E1504" s="8" t="str">
        <f>IFERROR(__xludf.DUMMYFUNCTION("""COMPUTED_VALUE"""),"East")</f>
        <v>East</v>
      </c>
      <c r="F1504" s="10">
        <f>IFERROR(__xludf.DUMMYFUNCTION("""COMPUTED_VALUE"""),1217.568)</f>
        <v>1217.568</v>
      </c>
      <c r="G1504" s="11">
        <f>IFERROR(__xludf.DUMMYFUNCTION("""COMPUTED_VALUE"""),2.0)</f>
        <v>2</v>
      </c>
      <c r="H1504" s="11">
        <f>IFERROR(__xludf.DUMMYFUNCTION("""COMPUTED_VALUE"""),456.588)</f>
        <v>456.588</v>
      </c>
    </row>
    <row r="1505">
      <c r="A1505" s="8" t="str">
        <f>IFERROR(__xludf.DUMMYFUNCTION("""COMPUTED_VALUE"""),"CA-2015-153535")</f>
        <v>CA-2015-153535</v>
      </c>
      <c r="B1505" s="9">
        <f>IFERROR(__xludf.DUMMYFUNCTION("""COMPUTED_VALUE"""),42144.0)</f>
        <v>42144</v>
      </c>
      <c r="C1505" s="8" t="str">
        <f>IFERROR(__xludf.DUMMYFUNCTION("""COMPUTED_VALUE"""),"Sheri Gordon")</f>
        <v>Sheri Gordon</v>
      </c>
      <c r="D1505" s="8" t="str">
        <f>IFERROR(__xludf.DUMMYFUNCTION("""COMPUTED_VALUE"""),"Consumer")</f>
        <v>Consumer</v>
      </c>
      <c r="E1505" s="8" t="str">
        <f>IFERROR(__xludf.DUMMYFUNCTION("""COMPUTED_VALUE"""),"South")</f>
        <v>South</v>
      </c>
      <c r="F1505" s="10">
        <f>IFERROR(__xludf.DUMMYFUNCTION("""COMPUTED_VALUE"""),163.136)</f>
        <v>163.136</v>
      </c>
      <c r="G1505" s="11">
        <f>IFERROR(__xludf.DUMMYFUNCTION("""COMPUTED_VALUE"""),4.0)</f>
        <v>4</v>
      </c>
      <c r="H1505" s="11">
        <f>IFERROR(__xludf.DUMMYFUNCTION("""COMPUTED_VALUE"""),20.392)</f>
        <v>20.392</v>
      </c>
    </row>
    <row r="1506">
      <c r="A1506" s="8" t="str">
        <f>IFERROR(__xludf.DUMMYFUNCTION("""COMPUTED_VALUE"""),"CA-2015-153549")</f>
        <v>CA-2015-153549</v>
      </c>
      <c r="B1506" s="9">
        <f>IFERROR(__xludf.DUMMYFUNCTION("""COMPUTED_VALUE"""),42092.0)</f>
        <v>42092</v>
      </c>
      <c r="C1506" s="8" t="str">
        <f>IFERROR(__xludf.DUMMYFUNCTION("""COMPUTED_VALUE"""),"Sara Luxemburg")</f>
        <v>Sara Luxemburg</v>
      </c>
      <c r="D1506" s="8" t="str">
        <f>IFERROR(__xludf.DUMMYFUNCTION("""COMPUTED_VALUE"""),"Home Office")</f>
        <v>Home Office</v>
      </c>
      <c r="E1506" s="8" t="str">
        <f>IFERROR(__xludf.DUMMYFUNCTION("""COMPUTED_VALUE"""),"South")</f>
        <v>South</v>
      </c>
      <c r="F1506" s="10">
        <f>IFERROR(__xludf.DUMMYFUNCTION("""COMPUTED_VALUE"""),1166.92)</f>
        <v>1166.92</v>
      </c>
      <c r="G1506" s="11">
        <f>IFERROR(__xludf.DUMMYFUNCTION("""COMPUTED_VALUE"""),5.0)</f>
        <v>5</v>
      </c>
      <c r="H1506" s="11">
        <f>IFERROR(__xludf.DUMMYFUNCTION("""COMPUTED_VALUE"""),131.2785)</f>
        <v>131.2785</v>
      </c>
    </row>
    <row r="1507">
      <c r="A1507" s="8" t="str">
        <f>IFERROR(__xludf.DUMMYFUNCTION("""COMPUTED_VALUE"""),"CA-2015-153612")</f>
        <v>CA-2015-153612</v>
      </c>
      <c r="B1507" s="9">
        <f>IFERROR(__xludf.DUMMYFUNCTION("""COMPUTED_VALUE"""),42360.0)</f>
        <v>42360</v>
      </c>
      <c r="C1507" s="8" t="str">
        <f>IFERROR(__xludf.DUMMYFUNCTION("""COMPUTED_VALUE"""),"Beth Thompson")</f>
        <v>Beth Thompson</v>
      </c>
      <c r="D1507" s="8" t="str">
        <f>IFERROR(__xludf.DUMMYFUNCTION("""COMPUTED_VALUE"""),"Home Office")</f>
        <v>Home Office</v>
      </c>
      <c r="E1507" s="8" t="str">
        <f>IFERROR(__xludf.DUMMYFUNCTION("""COMPUTED_VALUE"""),"Central")</f>
        <v>Central</v>
      </c>
      <c r="F1507" s="10">
        <f>IFERROR(__xludf.DUMMYFUNCTION("""COMPUTED_VALUE"""),17.12)</f>
        <v>17.12</v>
      </c>
      <c r="G1507" s="11">
        <f>IFERROR(__xludf.DUMMYFUNCTION("""COMPUTED_VALUE"""),4.0)</f>
        <v>4</v>
      </c>
      <c r="H1507" s="11">
        <f>IFERROR(__xludf.DUMMYFUNCTION("""COMPUTED_VALUE"""),4.9648)</f>
        <v>4.9648</v>
      </c>
    </row>
    <row r="1508">
      <c r="A1508" s="8" t="str">
        <f>IFERROR(__xludf.DUMMYFUNCTION("""COMPUTED_VALUE"""),"CA-2015-153626")</f>
        <v>CA-2015-153626</v>
      </c>
      <c r="B1508" s="9">
        <f>IFERROR(__xludf.DUMMYFUNCTION("""COMPUTED_VALUE"""),42194.0)</f>
        <v>42194</v>
      </c>
      <c r="C1508" s="8" t="str">
        <f>IFERROR(__xludf.DUMMYFUNCTION("""COMPUTED_VALUE"""),"Emily Burns")</f>
        <v>Emily Burns</v>
      </c>
      <c r="D1508" s="8" t="str">
        <f>IFERROR(__xludf.DUMMYFUNCTION("""COMPUTED_VALUE"""),"Consumer")</f>
        <v>Consumer</v>
      </c>
      <c r="E1508" s="8" t="str">
        <f>IFERROR(__xludf.DUMMYFUNCTION("""COMPUTED_VALUE"""),"South")</f>
        <v>South</v>
      </c>
      <c r="F1508" s="10">
        <f>IFERROR(__xludf.DUMMYFUNCTION("""COMPUTED_VALUE"""),5.16)</f>
        <v>5.16</v>
      </c>
      <c r="G1508" s="11">
        <f>IFERROR(__xludf.DUMMYFUNCTION("""COMPUTED_VALUE"""),3.0)</f>
        <v>3</v>
      </c>
      <c r="H1508" s="11">
        <f>IFERROR(__xludf.DUMMYFUNCTION("""COMPUTED_VALUE"""),0.8385)</f>
        <v>0.8385</v>
      </c>
    </row>
    <row r="1509">
      <c r="A1509" s="8" t="str">
        <f>IFERROR(__xludf.DUMMYFUNCTION("""COMPUTED_VALUE"""),"CA-2015-153717")</f>
        <v>CA-2015-153717</v>
      </c>
      <c r="B1509" s="9">
        <f>IFERROR(__xludf.DUMMYFUNCTION("""COMPUTED_VALUE"""),42363.0)</f>
        <v>42363</v>
      </c>
      <c r="C1509" s="8" t="str">
        <f>IFERROR(__xludf.DUMMYFUNCTION("""COMPUTED_VALUE"""),"Dionis Lloyd")</f>
        <v>Dionis Lloyd</v>
      </c>
      <c r="D1509" s="8" t="str">
        <f>IFERROR(__xludf.DUMMYFUNCTION("""COMPUTED_VALUE"""),"Corporate")</f>
        <v>Corporate</v>
      </c>
      <c r="E1509" s="8" t="str">
        <f>IFERROR(__xludf.DUMMYFUNCTION("""COMPUTED_VALUE"""),"Central")</f>
        <v>Central</v>
      </c>
      <c r="F1509" s="10">
        <f>IFERROR(__xludf.DUMMYFUNCTION("""COMPUTED_VALUE"""),73.98)</f>
        <v>73.98</v>
      </c>
      <c r="G1509" s="11">
        <f>IFERROR(__xludf.DUMMYFUNCTION("""COMPUTED_VALUE"""),2.0)</f>
        <v>2</v>
      </c>
      <c r="H1509" s="11">
        <f>IFERROR(__xludf.DUMMYFUNCTION("""COMPUTED_VALUE"""),19.9746)</f>
        <v>19.9746</v>
      </c>
    </row>
    <row r="1510">
      <c r="A1510" s="8" t="str">
        <f>IFERROR(__xludf.DUMMYFUNCTION("""COMPUTED_VALUE"""),"CA-2015-153738")</f>
        <v>CA-2015-153738</v>
      </c>
      <c r="B1510" s="9">
        <f>IFERROR(__xludf.DUMMYFUNCTION("""COMPUTED_VALUE"""),42267.0)</f>
        <v>42267</v>
      </c>
      <c r="C1510" s="8" t="str">
        <f>IFERROR(__xludf.DUMMYFUNCTION("""COMPUTED_VALUE"""),"Alejandro Grove")</f>
        <v>Alejandro Grove</v>
      </c>
      <c r="D1510" s="8" t="str">
        <f>IFERROR(__xludf.DUMMYFUNCTION("""COMPUTED_VALUE"""),"Consumer")</f>
        <v>Consumer</v>
      </c>
      <c r="E1510" s="8" t="str">
        <f>IFERROR(__xludf.DUMMYFUNCTION("""COMPUTED_VALUE"""),"East")</f>
        <v>East</v>
      </c>
      <c r="F1510" s="10">
        <f>IFERROR(__xludf.DUMMYFUNCTION("""COMPUTED_VALUE"""),37.68)</f>
        <v>37.68</v>
      </c>
      <c r="G1510" s="11">
        <f>IFERROR(__xludf.DUMMYFUNCTION("""COMPUTED_VALUE"""),6.0)</f>
        <v>6</v>
      </c>
      <c r="H1510" s="11">
        <f>IFERROR(__xludf.DUMMYFUNCTION("""COMPUTED_VALUE"""),16.956)</f>
        <v>16.956</v>
      </c>
    </row>
    <row r="1511">
      <c r="A1511" s="8" t="str">
        <f>IFERROR(__xludf.DUMMYFUNCTION("""COMPUTED_VALUE"""),"CA-2015-153752")</f>
        <v>CA-2015-153752</v>
      </c>
      <c r="B1511" s="9">
        <f>IFERROR(__xludf.DUMMYFUNCTION("""COMPUTED_VALUE"""),42344.0)</f>
        <v>42344</v>
      </c>
      <c r="C1511" s="8" t="str">
        <f>IFERROR(__xludf.DUMMYFUNCTION("""COMPUTED_VALUE"""),"Rose O'Brian")</f>
        <v>Rose O'Brian</v>
      </c>
      <c r="D1511" s="8" t="str">
        <f>IFERROR(__xludf.DUMMYFUNCTION("""COMPUTED_VALUE"""),"Consumer")</f>
        <v>Consumer</v>
      </c>
      <c r="E1511" s="8" t="str">
        <f>IFERROR(__xludf.DUMMYFUNCTION("""COMPUTED_VALUE"""),"South")</f>
        <v>South</v>
      </c>
      <c r="F1511" s="10">
        <f>IFERROR(__xludf.DUMMYFUNCTION("""COMPUTED_VALUE"""),173.94)</f>
        <v>173.94</v>
      </c>
      <c r="G1511" s="11">
        <f>IFERROR(__xludf.DUMMYFUNCTION("""COMPUTED_VALUE"""),6.0)</f>
        <v>6</v>
      </c>
      <c r="H1511" s="11">
        <f>IFERROR(__xludf.DUMMYFUNCTION("""COMPUTED_VALUE"""),50.4426)</f>
        <v>50.4426</v>
      </c>
    </row>
    <row r="1512">
      <c r="A1512" s="8" t="str">
        <f>IFERROR(__xludf.DUMMYFUNCTION("""COMPUTED_VALUE"""),"CA-2015-153794")</f>
        <v>CA-2015-153794</v>
      </c>
      <c r="B1512" s="9">
        <f>IFERROR(__xludf.DUMMYFUNCTION("""COMPUTED_VALUE"""),42258.0)</f>
        <v>42258</v>
      </c>
      <c r="C1512" s="8" t="str">
        <f>IFERROR(__xludf.DUMMYFUNCTION("""COMPUTED_VALUE"""),"Sean Braxton")</f>
        <v>Sean Braxton</v>
      </c>
      <c r="D1512" s="8" t="str">
        <f>IFERROR(__xludf.DUMMYFUNCTION("""COMPUTED_VALUE"""),"Corporate")</f>
        <v>Corporate</v>
      </c>
      <c r="E1512" s="8" t="str">
        <f>IFERROR(__xludf.DUMMYFUNCTION("""COMPUTED_VALUE"""),"West")</f>
        <v>West</v>
      </c>
      <c r="F1512" s="10">
        <f>IFERROR(__xludf.DUMMYFUNCTION("""COMPUTED_VALUE"""),265.86)</f>
        <v>265.86</v>
      </c>
      <c r="G1512" s="11">
        <f>IFERROR(__xludf.DUMMYFUNCTION("""COMPUTED_VALUE"""),7.0)</f>
        <v>7</v>
      </c>
      <c r="H1512" s="11">
        <f>IFERROR(__xludf.DUMMYFUNCTION("""COMPUTED_VALUE"""),79.758)</f>
        <v>79.758</v>
      </c>
    </row>
    <row r="1513">
      <c r="A1513" s="8" t="str">
        <f>IFERROR(__xludf.DUMMYFUNCTION("""COMPUTED_VALUE"""),"CA-2015-153878")</f>
        <v>CA-2015-153878</v>
      </c>
      <c r="B1513" s="9">
        <f>IFERROR(__xludf.DUMMYFUNCTION("""COMPUTED_VALUE"""),42119.0)</f>
        <v>42119</v>
      </c>
      <c r="C1513" s="8" t="str">
        <f>IFERROR(__xludf.DUMMYFUNCTION("""COMPUTED_VALUE"""),"Trudy Schmidt")</f>
        <v>Trudy Schmidt</v>
      </c>
      <c r="D1513" s="8" t="str">
        <f>IFERROR(__xludf.DUMMYFUNCTION("""COMPUTED_VALUE"""),"Consumer")</f>
        <v>Consumer</v>
      </c>
      <c r="E1513" s="8" t="str">
        <f>IFERROR(__xludf.DUMMYFUNCTION("""COMPUTED_VALUE"""),"Central")</f>
        <v>Central</v>
      </c>
      <c r="F1513" s="10">
        <f>IFERROR(__xludf.DUMMYFUNCTION("""COMPUTED_VALUE"""),57.75)</f>
        <v>57.75</v>
      </c>
      <c r="G1513" s="11">
        <f>IFERROR(__xludf.DUMMYFUNCTION("""COMPUTED_VALUE"""),5.0)</f>
        <v>5</v>
      </c>
      <c r="H1513" s="11">
        <f>IFERROR(__xludf.DUMMYFUNCTION("""COMPUTED_VALUE"""),16.17)</f>
        <v>16.17</v>
      </c>
    </row>
    <row r="1514">
      <c r="A1514" s="8" t="str">
        <f>IFERROR(__xludf.DUMMYFUNCTION("""COMPUTED_VALUE"""),"CA-2015-153906")</f>
        <v>CA-2015-153906</v>
      </c>
      <c r="B1514" s="9">
        <f>IFERROR(__xludf.DUMMYFUNCTION("""COMPUTED_VALUE"""),42079.0)</f>
        <v>42079</v>
      </c>
      <c r="C1514" s="8" t="str">
        <f>IFERROR(__xludf.DUMMYFUNCTION("""COMPUTED_VALUE"""),"Michael Stewart")</f>
        <v>Michael Stewart</v>
      </c>
      <c r="D1514" s="8" t="str">
        <f>IFERROR(__xludf.DUMMYFUNCTION("""COMPUTED_VALUE"""),"Corporate")</f>
        <v>Corporate</v>
      </c>
      <c r="E1514" s="8" t="str">
        <f>IFERROR(__xludf.DUMMYFUNCTION("""COMPUTED_VALUE"""),"East")</f>
        <v>East</v>
      </c>
      <c r="F1514" s="10">
        <f>IFERROR(__xludf.DUMMYFUNCTION("""COMPUTED_VALUE"""),85.9)</f>
        <v>85.9</v>
      </c>
      <c r="G1514" s="11">
        <f>IFERROR(__xludf.DUMMYFUNCTION("""COMPUTED_VALUE"""),2.0)</f>
        <v>2</v>
      </c>
      <c r="H1514" s="11">
        <f>IFERROR(__xludf.DUMMYFUNCTION("""COMPUTED_VALUE"""),2.577)</f>
        <v>2.577</v>
      </c>
    </row>
    <row r="1515">
      <c r="A1515" s="8" t="str">
        <f>IFERROR(__xludf.DUMMYFUNCTION("""COMPUTED_VALUE"""),"CA-2015-154144")</f>
        <v>CA-2015-154144</v>
      </c>
      <c r="B1515" s="9">
        <f>IFERROR(__xludf.DUMMYFUNCTION("""COMPUTED_VALUE"""),42358.0)</f>
        <v>42358</v>
      </c>
      <c r="C1515" s="8" t="str">
        <f>IFERROR(__xludf.DUMMYFUNCTION("""COMPUTED_VALUE"""),"Maya Herman")</f>
        <v>Maya Herman</v>
      </c>
      <c r="D1515" s="8" t="str">
        <f>IFERROR(__xludf.DUMMYFUNCTION("""COMPUTED_VALUE"""),"Corporate")</f>
        <v>Corporate</v>
      </c>
      <c r="E1515" s="8" t="str">
        <f>IFERROR(__xludf.DUMMYFUNCTION("""COMPUTED_VALUE"""),"East")</f>
        <v>East</v>
      </c>
      <c r="F1515" s="10">
        <f>IFERROR(__xludf.DUMMYFUNCTION("""COMPUTED_VALUE"""),55.48)</f>
        <v>55.48</v>
      </c>
      <c r="G1515" s="11">
        <f>IFERROR(__xludf.DUMMYFUNCTION("""COMPUTED_VALUE"""),1.0)</f>
        <v>1</v>
      </c>
      <c r="H1515" s="11">
        <f>IFERROR(__xludf.DUMMYFUNCTION("""COMPUTED_VALUE"""),26.6304)</f>
        <v>26.6304</v>
      </c>
    </row>
    <row r="1516">
      <c r="A1516" s="8" t="str">
        <f>IFERROR(__xludf.DUMMYFUNCTION("""COMPUTED_VALUE"""),"CA-2015-154200")</f>
        <v>CA-2015-154200</v>
      </c>
      <c r="B1516" s="9">
        <f>IFERROR(__xludf.DUMMYFUNCTION("""COMPUTED_VALUE"""),42173.0)</f>
        <v>42173</v>
      </c>
      <c r="C1516" s="8" t="str">
        <f>IFERROR(__xludf.DUMMYFUNCTION("""COMPUTED_VALUE"""),"Bruce Geld")</f>
        <v>Bruce Geld</v>
      </c>
      <c r="D1516" s="8" t="str">
        <f>IFERROR(__xludf.DUMMYFUNCTION("""COMPUTED_VALUE"""),"Consumer")</f>
        <v>Consumer</v>
      </c>
      <c r="E1516" s="8" t="str">
        <f>IFERROR(__xludf.DUMMYFUNCTION("""COMPUTED_VALUE"""),"West")</f>
        <v>West</v>
      </c>
      <c r="F1516" s="10">
        <f>IFERROR(__xludf.DUMMYFUNCTION("""COMPUTED_VALUE"""),51.98)</f>
        <v>51.98</v>
      </c>
      <c r="G1516" s="11">
        <f>IFERROR(__xludf.DUMMYFUNCTION("""COMPUTED_VALUE"""),2.0)</f>
        <v>2</v>
      </c>
      <c r="H1516" s="11">
        <f>IFERROR(__xludf.DUMMYFUNCTION("""COMPUTED_VALUE"""),15.0742)</f>
        <v>15.0742</v>
      </c>
    </row>
    <row r="1517">
      <c r="A1517" s="8" t="str">
        <f>IFERROR(__xludf.DUMMYFUNCTION("""COMPUTED_VALUE"""),"CA-2015-154284")</f>
        <v>CA-2015-154284</v>
      </c>
      <c r="B1517" s="9">
        <f>IFERROR(__xludf.DUMMYFUNCTION("""COMPUTED_VALUE"""),42359.0)</f>
        <v>42359</v>
      </c>
      <c r="C1517" s="8" t="str">
        <f>IFERROR(__xludf.DUMMYFUNCTION("""COMPUTED_VALUE"""),"Sam Zeldin")</f>
        <v>Sam Zeldin</v>
      </c>
      <c r="D1517" s="8" t="str">
        <f>IFERROR(__xludf.DUMMYFUNCTION("""COMPUTED_VALUE"""),"Home Office")</f>
        <v>Home Office</v>
      </c>
      <c r="E1517" s="8" t="str">
        <f>IFERROR(__xludf.DUMMYFUNCTION("""COMPUTED_VALUE"""),"Central")</f>
        <v>Central</v>
      </c>
      <c r="F1517" s="10">
        <f>IFERROR(__xludf.DUMMYFUNCTION("""COMPUTED_VALUE"""),600.53)</f>
        <v>600.53</v>
      </c>
      <c r="G1517" s="11">
        <f>IFERROR(__xludf.DUMMYFUNCTION("""COMPUTED_VALUE"""),2.0)</f>
        <v>2</v>
      </c>
      <c r="H1517" s="11">
        <f>IFERROR(__xludf.DUMMYFUNCTION("""COMPUTED_VALUE"""),137.264)</f>
        <v>137.264</v>
      </c>
    </row>
    <row r="1518">
      <c r="A1518" s="8" t="str">
        <f>IFERROR(__xludf.DUMMYFUNCTION("""COMPUTED_VALUE"""),"CA-2015-154291")</f>
        <v>CA-2015-154291</v>
      </c>
      <c r="B1518" s="9">
        <f>IFERROR(__xludf.DUMMYFUNCTION("""COMPUTED_VALUE"""),42210.0)</f>
        <v>42210</v>
      </c>
      <c r="C1518" s="8" t="str">
        <f>IFERROR(__xludf.DUMMYFUNCTION("""COMPUTED_VALUE"""),"Yana Sorensen")</f>
        <v>Yana Sorensen</v>
      </c>
      <c r="D1518" s="8" t="str">
        <f>IFERROR(__xludf.DUMMYFUNCTION("""COMPUTED_VALUE"""),"Corporate")</f>
        <v>Corporate</v>
      </c>
      <c r="E1518" s="8" t="str">
        <f>IFERROR(__xludf.DUMMYFUNCTION("""COMPUTED_VALUE"""),"South")</f>
        <v>South</v>
      </c>
      <c r="F1518" s="10">
        <f>IFERROR(__xludf.DUMMYFUNCTION("""COMPUTED_VALUE"""),98.46)</f>
        <v>98.46</v>
      </c>
      <c r="G1518" s="11">
        <f>IFERROR(__xludf.DUMMYFUNCTION("""COMPUTED_VALUE"""),9.0)</f>
        <v>9</v>
      </c>
      <c r="H1518" s="11">
        <f>IFERROR(__xludf.DUMMYFUNCTION("""COMPUTED_VALUE"""),49.23)</f>
        <v>49.23</v>
      </c>
    </row>
    <row r="1519">
      <c r="A1519" s="8" t="str">
        <f>IFERROR(__xludf.DUMMYFUNCTION("""COMPUTED_VALUE"""),"CA-2015-154326")</f>
        <v>CA-2015-154326</v>
      </c>
      <c r="B1519" s="9">
        <f>IFERROR(__xludf.DUMMYFUNCTION("""COMPUTED_VALUE"""),42050.0)</f>
        <v>42050</v>
      </c>
      <c r="C1519" s="8" t="str">
        <f>IFERROR(__xludf.DUMMYFUNCTION("""COMPUTED_VALUE"""),"Roy Phan")</f>
        <v>Roy Phan</v>
      </c>
      <c r="D1519" s="8" t="str">
        <f>IFERROR(__xludf.DUMMYFUNCTION("""COMPUTED_VALUE"""),"Corporate")</f>
        <v>Corporate</v>
      </c>
      <c r="E1519" s="8" t="str">
        <f>IFERROR(__xludf.DUMMYFUNCTION("""COMPUTED_VALUE"""),"Central")</f>
        <v>Central</v>
      </c>
      <c r="F1519" s="10">
        <f>IFERROR(__xludf.DUMMYFUNCTION("""COMPUTED_VALUE"""),134.97)</f>
        <v>134.97</v>
      </c>
      <c r="G1519" s="11">
        <f>IFERROR(__xludf.DUMMYFUNCTION("""COMPUTED_VALUE"""),3.0)</f>
        <v>3</v>
      </c>
      <c r="H1519" s="11">
        <f>IFERROR(__xludf.DUMMYFUNCTION("""COMPUTED_VALUE"""),64.7856)</f>
        <v>64.7856</v>
      </c>
    </row>
    <row r="1520">
      <c r="A1520" s="8" t="str">
        <f>IFERROR(__xludf.DUMMYFUNCTION("""COMPUTED_VALUE"""),"CA-2015-154340")</f>
        <v>CA-2015-154340</v>
      </c>
      <c r="B1520" s="9">
        <f>IFERROR(__xludf.DUMMYFUNCTION("""COMPUTED_VALUE"""),42337.0)</f>
        <v>42337</v>
      </c>
      <c r="C1520" s="8" t="str">
        <f>IFERROR(__xludf.DUMMYFUNCTION("""COMPUTED_VALUE"""),"Eileen Kiefer")</f>
        <v>Eileen Kiefer</v>
      </c>
      <c r="D1520" s="8" t="str">
        <f>IFERROR(__xludf.DUMMYFUNCTION("""COMPUTED_VALUE"""),"Home Office")</f>
        <v>Home Office</v>
      </c>
      <c r="E1520" s="8" t="str">
        <f>IFERROR(__xludf.DUMMYFUNCTION("""COMPUTED_VALUE"""),"West")</f>
        <v>West</v>
      </c>
      <c r="F1520" s="10">
        <f>IFERROR(__xludf.DUMMYFUNCTION("""COMPUTED_VALUE"""),56.3)</f>
        <v>56.3</v>
      </c>
      <c r="G1520" s="11">
        <f>IFERROR(__xludf.DUMMYFUNCTION("""COMPUTED_VALUE"""),2.0)</f>
        <v>2</v>
      </c>
      <c r="H1520" s="11">
        <f>IFERROR(__xludf.DUMMYFUNCTION("""COMPUTED_VALUE"""),15.764)</f>
        <v>15.764</v>
      </c>
    </row>
    <row r="1521">
      <c r="A1521" s="8" t="str">
        <f>IFERROR(__xludf.DUMMYFUNCTION("""COMPUTED_VALUE"""),"CA-2015-154620")</f>
        <v>CA-2015-154620</v>
      </c>
      <c r="B1521" s="9">
        <f>IFERROR(__xludf.DUMMYFUNCTION("""COMPUTED_VALUE"""),42350.0)</f>
        <v>42350</v>
      </c>
      <c r="C1521" s="8" t="str">
        <f>IFERROR(__xludf.DUMMYFUNCTION("""COMPUTED_VALUE"""),"Liz Thompson")</f>
        <v>Liz Thompson</v>
      </c>
      <c r="D1521" s="8" t="str">
        <f>IFERROR(__xludf.DUMMYFUNCTION("""COMPUTED_VALUE"""),"Consumer")</f>
        <v>Consumer</v>
      </c>
      <c r="E1521" s="8" t="str">
        <f>IFERROR(__xludf.DUMMYFUNCTION("""COMPUTED_VALUE"""),"West")</f>
        <v>West</v>
      </c>
      <c r="F1521" s="10">
        <f>IFERROR(__xludf.DUMMYFUNCTION("""COMPUTED_VALUE"""),348.928)</f>
        <v>348.928</v>
      </c>
      <c r="G1521" s="11">
        <f>IFERROR(__xludf.DUMMYFUNCTION("""COMPUTED_VALUE"""),2.0)</f>
        <v>2</v>
      </c>
      <c r="H1521" s="11">
        <f>IFERROR(__xludf.DUMMYFUNCTION("""COMPUTED_VALUE"""),34.8928)</f>
        <v>34.8928</v>
      </c>
    </row>
    <row r="1522">
      <c r="A1522" s="8" t="str">
        <f>IFERROR(__xludf.DUMMYFUNCTION("""COMPUTED_VALUE"""),"CA-2015-154746")</f>
        <v>CA-2015-154746</v>
      </c>
      <c r="B1522" s="9">
        <f>IFERROR(__xludf.DUMMYFUNCTION("""COMPUTED_VALUE"""),42322.0)</f>
        <v>42322</v>
      </c>
      <c r="C1522" s="8" t="str">
        <f>IFERROR(__xludf.DUMMYFUNCTION("""COMPUTED_VALUE"""),"Patrick Jones")</f>
        <v>Patrick Jones</v>
      </c>
      <c r="D1522" s="8" t="str">
        <f>IFERROR(__xludf.DUMMYFUNCTION("""COMPUTED_VALUE"""),"Corporate")</f>
        <v>Corporate</v>
      </c>
      <c r="E1522" s="8" t="str">
        <f>IFERROR(__xludf.DUMMYFUNCTION("""COMPUTED_VALUE"""),"South")</f>
        <v>South</v>
      </c>
      <c r="F1522" s="10">
        <f>IFERROR(__xludf.DUMMYFUNCTION("""COMPUTED_VALUE"""),33.96)</f>
        <v>33.96</v>
      </c>
      <c r="G1522" s="11">
        <f>IFERROR(__xludf.DUMMYFUNCTION("""COMPUTED_VALUE"""),2.0)</f>
        <v>2</v>
      </c>
      <c r="H1522" s="11">
        <f>IFERROR(__xludf.DUMMYFUNCTION("""COMPUTED_VALUE"""),16.98)</f>
        <v>16.98</v>
      </c>
    </row>
    <row r="1523">
      <c r="A1523" s="8" t="str">
        <f>IFERROR(__xludf.DUMMYFUNCTION("""COMPUTED_VALUE"""),"CA-2015-154795")</f>
        <v>CA-2015-154795</v>
      </c>
      <c r="B1523" s="9">
        <f>IFERROR(__xludf.DUMMYFUNCTION("""COMPUTED_VALUE"""),42358.0)</f>
        <v>42358</v>
      </c>
      <c r="C1523" s="8" t="str">
        <f>IFERROR(__xludf.DUMMYFUNCTION("""COMPUTED_VALUE"""),"Gary Zandusky")</f>
        <v>Gary Zandusky</v>
      </c>
      <c r="D1523" s="8" t="str">
        <f>IFERROR(__xludf.DUMMYFUNCTION("""COMPUTED_VALUE"""),"Consumer")</f>
        <v>Consumer</v>
      </c>
      <c r="E1523" s="8" t="str">
        <f>IFERROR(__xludf.DUMMYFUNCTION("""COMPUTED_VALUE"""),"West")</f>
        <v>West</v>
      </c>
      <c r="F1523" s="10">
        <f>IFERROR(__xludf.DUMMYFUNCTION("""COMPUTED_VALUE"""),7.92)</f>
        <v>7.92</v>
      </c>
      <c r="G1523" s="11">
        <f>IFERROR(__xludf.DUMMYFUNCTION("""COMPUTED_VALUE"""),1.0)</f>
        <v>1</v>
      </c>
      <c r="H1523" s="11">
        <f>IFERROR(__xludf.DUMMYFUNCTION("""COMPUTED_VALUE"""),2.772)</f>
        <v>2.772</v>
      </c>
    </row>
    <row r="1524">
      <c r="A1524" s="8" t="str">
        <f>IFERROR(__xludf.DUMMYFUNCTION("""COMPUTED_VALUE"""),"CA-2015-154823")</f>
        <v>CA-2015-154823</v>
      </c>
      <c r="B1524" s="9">
        <f>IFERROR(__xludf.DUMMYFUNCTION("""COMPUTED_VALUE"""),42237.0)</f>
        <v>42237</v>
      </c>
      <c r="C1524" s="8" t="str">
        <f>IFERROR(__xludf.DUMMYFUNCTION("""COMPUTED_VALUE"""),"Katherine Nockton")</f>
        <v>Katherine Nockton</v>
      </c>
      <c r="D1524" s="8" t="str">
        <f>IFERROR(__xludf.DUMMYFUNCTION("""COMPUTED_VALUE"""),"Corporate")</f>
        <v>Corporate</v>
      </c>
      <c r="E1524" s="8" t="str">
        <f>IFERROR(__xludf.DUMMYFUNCTION("""COMPUTED_VALUE"""),"East")</f>
        <v>East</v>
      </c>
      <c r="F1524" s="10">
        <f>IFERROR(__xludf.DUMMYFUNCTION("""COMPUTED_VALUE"""),12.828)</f>
        <v>12.828</v>
      </c>
      <c r="G1524" s="11">
        <f>IFERROR(__xludf.DUMMYFUNCTION("""COMPUTED_VALUE"""),2.0)</f>
        <v>2</v>
      </c>
      <c r="H1524" s="11">
        <f>IFERROR(__xludf.DUMMYFUNCTION("""COMPUTED_VALUE"""),-8.9796)</f>
        <v>-8.9796</v>
      </c>
    </row>
    <row r="1525">
      <c r="A1525" s="8" t="str">
        <f>IFERROR(__xludf.DUMMYFUNCTION("""COMPUTED_VALUE"""),"CA-2015-154886")</f>
        <v>CA-2015-154886</v>
      </c>
      <c r="B1525" s="9">
        <f>IFERROR(__xludf.DUMMYFUNCTION("""COMPUTED_VALUE"""),42316.0)</f>
        <v>42316</v>
      </c>
      <c r="C1525" s="8" t="str">
        <f>IFERROR(__xludf.DUMMYFUNCTION("""COMPUTED_VALUE"""),"Shaun Weien")</f>
        <v>Shaun Weien</v>
      </c>
      <c r="D1525" s="8" t="str">
        <f>IFERROR(__xludf.DUMMYFUNCTION("""COMPUTED_VALUE"""),"Consumer")</f>
        <v>Consumer</v>
      </c>
      <c r="E1525" s="8" t="str">
        <f>IFERROR(__xludf.DUMMYFUNCTION("""COMPUTED_VALUE"""),"West")</f>
        <v>West</v>
      </c>
      <c r="F1525" s="10">
        <f>IFERROR(__xludf.DUMMYFUNCTION("""COMPUTED_VALUE"""),119.9)</f>
        <v>119.9</v>
      </c>
      <c r="G1525" s="11">
        <f>IFERROR(__xludf.DUMMYFUNCTION("""COMPUTED_VALUE"""),2.0)</f>
        <v>2</v>
      </c>
      <c r="H1525" s="11">
        <f>IFERROR(__xludf.DUMMYFUNCTION("""COMPUTED_VALUE"""),43.164)</f>
        <v>43.164</v>
      </c>
    </row>
    <row r="1526">
      <c r="A1526" s="8" t="str">
        <f>IFERROR(__xludf.DUMMYFUNCTION("""COMPUTED_VALUE"""),"CA-2015-154900")</f>
        <v>CA-2015-154900</v>
      </c>
      <c r="B1526" s="9">
        <f>IFERROR(__xludf.DUMMYFUNCTION("""COMPUTED_VALUE"""),42060.0)</f>
        <v>42060</v>
      </c>
      <c r="C1526" s="8" t="str">
        <f>IFERROR(__xludf.DUMMYFUNCTION("""COMPUTED_VALUE"""),"Sung Shariari")</f>
        <v>Sung Shariari</v>
      </c>
      <c r="D1526" s="8" t="str">
        <f>IFERROR(__xludf.DUMMYFUNCTION("""COMPUTED_VALUE"""),"Consumer")</f>
        <v>Consumer</v>
      </c>
      <c r="E1526" s="8" t="str">
        <f>IFERROR(__xludf.DUMMYFUNCTION("""COMPUTED_VALUE"""),"East")</f>
        <v>East</v>
      </c>
      <c r="F1526" s="10">
        <f>IFERROR(__xludf.DUMMYFUNCTION("""COMPUTED_VALUE"""),3.15)</f>
        <v>3.15</v>
      </c>
      <c r="G1526" s="11">
        <f>IFERROR(__xludf.DUMMYFUNCTION("""COMPUTED_VALUE"""),1.0)</f>
        <v>1</v>
      </c>
      <c r="H1526" s="11">
        <f>IFERROR(__xludf.DUMMYFUNCTION("""COMPUTED_VALUE"""),1.512)</f>
        <v>1.512</v>
      </c>
    </row>
    <row r="1527">
      <c r="A1527" s="8" t="str">
        <f>IFERROR(__xludf.DUMMYFUNCTION("""COMPUTED_VALUE"""),"CA-2015-154921")</f>
        <v>CA-2015-154921</v>
      </c>
      <c r="B1527" s="9">
        <f>IFERROR(__xludf.DUMMYFUNCTION("""COMPUTED_VALUE"""),42147.0)</f>
        <v>42147</v>
      </c>
      <c r="C1527" s="8" t="str">
        <f>IFERROR(__xludf.DUMMYFUNCTION("""COMPUTED_VALUE"""),"Erin Ashbrook")</f>
        <v>Erin Ashbrook</v>
      </c>
      <c r="D1527" s="8" t="str">
        <f>IFERROR(__xludf.DUMMYFUNCTION("""COMPUTED_VALUE"""),"Corporate")</f>
        <v>Corporate</v>
      </c>
      <c r="E1527" s="8" t="str">
        <f>IFERROR(__xludf.DUMMYFUNCTION("""COMPUTED_VALUE"""),"South")</f>
        <v>South</v>
      </c>
      <c r="F1527" s="10">
        <f>IFERROR(__xludf.DUMMYFUNCTION("""COMPUTED_VALUE"""),186.69)</f>
        <v>186.69</v>
      </c>
      <c r="G1527" s="11">
        <f>IFERROR(__xludf.DUMMYFUNCTION("""COMPUTED_VALUE"""),3.0)</f>
        <v>3</v>
      </c>
      <c r="H1527" s="11">
        <f>IFERROR(__xludf.DUMMYFUNCTION("""COMPUTED_VALUE"""),87.7443)</f>
        <v>87.7443</v>
      </c>
    </row>
    <row r="1528">
      <c r="A1528" s="8" t="str">
        <f>IFERROR(__xludf.DUMMYFUNCTION("""COMPUTED_VALUE"""),"CA-2015-154956")</f>
        <v>CA-2015-154956</v>
      </c>
      <c r="B1528" s="9">
        <f>IFERROR(__xludf.DUMMYFUNCTION("""COMPUTED_VALUE"""),42189.0)</f>
        <v>42189</v>
      </c>
      <c r="C1528" s="8" t="str">
        <f>IFERROR(__xludf.DUMMYFUNCTION("""COMPUTED_VALUE"""),"Irene Maddox")</f>
        <v>Irene Maddox</v>
      </c>
      <c r="D1528" s="8" t="str">
        <f>IFERROR(__xludf.DUMMYFUNCTION("""COMPUTED_VALUE"""),"Consumer")</f>
        <v>Consumer</v>
      </c>
      <c r="E1528" s="8" t="str">
        <f>IFERROR(__xludf.DUMMYFUNCTION("""COMPUTED_VALUE"""),"Central")</f>
        <v>Central</v>
      </c>
      <c r="F1528" s="10">
        <f>IFERROR(__xludf.DUMMYFUNCTION("""COMPUTED_VALUE"""),1099.96)</f>
        <v>1099.96</v>
      </c>
      <c r="G1528" s="11">
        <f>IFERROR(__xludf.DUMMYFUNCTION("""COMPUTED_VALUE"""),4.0)</f>
        <v>4</v>
      </c>
      <c r="H1528" s="11">
        <f>IFERROR(__xludf.DUMMYFUNCTION("""COMPUTED_VALUE"""),285.9896)</f>
        <v>285.9896</v>
      </c>
    </row>
    <row r="1529">
      <c r="A1529" s="8" t="str">
        <f>IFERROR(__xludf.DUMMYFUNCTION("""COMPUTED_VALUE"""),"CA-2015-154970")</f>
        <v>CA-2015-154970</v>
      </c>
      <c r="B1529" s="9">
        <f>IFERROR(__xludf.DUMMYFUNCTION("""COMPUTED_VALUE"""),42009.0)</f>
        <v>42009</v>
      </c>
      <c r="C1529" s="8" t="str">
        <f>IFERROR(__xludf.DUMMYFUNCTION("""COMPUTED_VALUE"""),"Steven Roelle")</f>
        <v>Steven Roelle</v>
      </c>
      <c r="D1529" s="8" t="str">
        <f>IFERROR(__xludf.DUMMYFUNCTION("""COMPUTED_VALUE"""),"Home Office")</f>
        <v>Home Office</v>
      </c>
      <c r="E1529" s="8" t="str">
        <f>IFERROR(__xludf.DUMMYFUNCTION("""COMPUTED_VALUE"""),"West")</f>
        <v>West</v>
      </c>
      <c r="F1529" s="10">
        <f>IFERROR(__xludf.DUMMYFUNCTION("""COMPUTED_VALUE"""),61.584)</f>
        <v>61.584</v>
      </c>
      <c r="G1529" s="11">
        <f>IFERROR(__xludf.DUMMYFUNCTION("""COMPUTED_VALUE"""),1.0)</f>
        <v>1</v>
      </c>
      <c r="H1529" s="11">
        <f>IFERROR(__xludf.DUMMYFUNCTION("""COMPUTED_VALUE"""),-6.9282)</f>
        <v>-6.9282</v>
      </c>
    </row>
    <row r="1530">
      <c r="A1530" s="8" t="str">
        <f>IFERROR(__xludf.DUMMYFUNCTION("""COMPUTED_VALUE"""),"CA-2015-155040")</f>
        <v>CA-2015-155040</v>
      </c>
      <c r="B1530" s="9">
        <f>IFERROR(__xludf.DUMMYFUNCTION("""COMPUTED_VALUE"""),42318.0)</f>
        <v>42318</v>
      </c>
      <c r="C1530" s="8" t="str">
        <f>IFERROR(__xludf.DUMMYFUNCTION("""COMPUTED_VALUE"""),"Alan Hwang")</f>
        <v>Alan Hwang</v>
      </c>
      <c r="D1530" s="8" t="str">
        <f>IFERROR(__xludf.DUMMYFUNCTION("""COMPUTED_VALUE"""),"Consumer")</f>
        <v>Consumer</v>
      </c>
      <c r="E1530" s="8" t="str">
        <f>IFERROR(__xludf.DUMMYFUNCTION("""COMPUTED_VALUE"""),"West")</f>
        <v>West</v>
      </c>
      <c r="F1530" s="10">
        <f>IFERROR(__xludf.DUMMYFUNCTION("""COMPUTED_VALUE"""),79.9)</f>
        <v>79.9</v>
      </c>
      <c r="G1530" s="11">
        <f>IFERROR(__xludf.DUMMYFUNCTION("""COMPUTED_VALUE"""),2.0)</f>
        <v>2</v>
      </c>
      <c r="H1530" s="11">
        <f>IFERROR(__xludf.DUMMYFUNCTION("""COMPUTED_VALUE"""),35.156)</f>
        <v>35.156</v>
      </c>
    </row>
    <row r="1531">
      <c r="A1531" s="8" t="str">
        <f>IFERROR(__xludf.DUMMYFUNCTION("""COMPUTED_VALUE"""),"CA-2015-155054")</f>
        <v>CA-2015-155054</v>
      </c>
      <c r="B1531" s="9">
        <f>IFERROR(__xludf.DUMMYFUNCTION("""COMPUTED_VALUE"""),42168.0)</f>
        <v>42168</v>
      </c>
      <c r="C1531" s="8" t="str">
        <f>IFERROR(__xludf.DUMMYFUNCTION("""COMPUTED_VALUE"""),"Penelope Sewall")</f>
        <v>Penelope Sewall</v>
      </c>
      <c r="D1531" s="8" t="str">
        <f>IFERROR(__xludf.DUMMYFUNCTION("""COMPUTED_VALUE"""),"Home Office")</f>
        <v>Home Office</v>
      </c>
      <c r="E1531" s="8" t="str">
        <f>IFERROR(__xludf.DUMMYFUNCTION("""COMPUTED_VALUE"""),"East")</f>
        <v>East</v>
      </c>
      <c r="F1531" s="10">
        <f>IFERROR(__xludf.DUMMYFUNCTION("""COMPUTED_VALUE"""),8.26)</f>
        <v>8.26</v>
      </c>
      <c r="G1531" s="11">
        <f>IFERROR(__xludf.DUMMYFUNCTION("""COMPUTED_VALUE"""),2.0)</f>
        <v>2</v>
      </c>
      <c r="H1531" s="11">
        <f>IFERROR(__xludf.DUMMYFUNCTION("""COMPUTED_VALUE"""),3.8822)</f>
        <v>3.8822</v>
      </c>
    </row>
    <row r="1532">
      <c r="A1532" s="8" t="str">
        <f>IFERROR(__xludf.DUMMYFUNCTION("""COMPUTED_VALUE"""),"CA-2015-155068")</f>
        <v>CA-2015-155068</v>
      </c>
      <c r="B1532" s="9">
        <f>IFERROR(__xludf.DUMMYFUNCTION("""COMPUTED_VALUE"""),42300.0)</f>
        <v>42300</v>
      </c>
      <c r="C1532" s="8" t="str">
        <f>IFERROR(__xludf.DUMMYFUNCTION("""COMPUTED_VALUE"""),"Ralph Arnett")</f>
        <v>Ralph Arnett</v>
      </c>
      <c r="D1532" s="8" t="str">
        <f>IFERROR(__xludf.DUMMYFUNCTION("""COMPUTED_VALUE"""),"Consumer")</f>
        <v>Consumer</v>
      </c>
      <c r="E1532" s="8" t="str">
        <f>IFERROR(__xludf.DUMMYFUNCTION("""COMPUTED_VALUE"""),"South")</f>
        <v>South</v>
      </c>
      <c r="F1532" s="10">
        <f>IFERROR(__xludf.DUMMYFUNCTION("""COMPUTED_VALUE"""),55.944)</f>
        <v>55.944</v>
      </c>
      <c r="G1532" s="11">
        <f>IFERROR(__xludf.DUMMYFUNCTION("""COMPUTED_VALUE"""),7.0)</f>
        <v>7</v>
      </c>
      <c r="H1532" s="11">
        <f>IFERROR(__xludf.DUMMYFUNCTION("""COMPUTED_VALUE"""),-13.2867)</f>
        <v>-13.2867</v>
      </c>
    </row>
    <row r="1533">
      <c r="A1533" s="8" t="str">
        <f>IFERROR(__xludf.DUMMYFUNCTION("""COMPUTED_VALUE"""),"CA-2015-155124")</f>
        <v>CA-2015-155124</v>
      </c>
      <c r="B1533" s="9">
        <f>IFERROR(__xludf.DUMMYFUNCTION("""COMPUTED_VALUE"""),42078.0)</f>
        <v>42078</v>
      </c>
      <c r="C1533" s="8" t="str">
        <f>IFERROR(__xludf.DUMMYFUNCTION("""COMPUTED_VALUE"""),"Karen Seio")</f>
        <v>Karen Seio</v>
      </c>
      <c r="D1533" s="8" t="str">
        <f>IFERROR(__xludf.DUMMYFUNCTION("""COMPUTED_VALUE"""),"Corporate")</f>
        <v>Corporate</v>
      </c>
      <c r="E1533" s="8" t="str">
        <f>IFERROR(__xludf.DUMMYFUNCTION("""COMPUTED_VALUE"""),"West")</f>
        <v>West</v>
      </c>
      <c r="F1533" s="10">
        <f>IFERROR(__xludf.DUMMYFUNCTION("""COMPUTED_VALUE"""),16.776)</f>
        <v>16.776</v>
      </c>
      <c r="G1533" s="11">
        <f>IFERROR(__xludf.DUMMYFUNCTION("""COMPUTED_VALUE"""),3.0)</f>
        <v>3</v>
      </c>
      <c r="H1533" s="11">
        <f>IFERROR(__xludf.DUMMYFUNCTION("""COMPUTED_VALUE"""),1.6776)</f>
        <v>1.6776</v>
      </c>
    </row>
    <row r="1534">
      <c r="A1534" s="8" t="str">
        <f>IFERROR(__xludf.DUMMYFUNCTION("""COMPUTED_VALUE"""),"CA-2015-155145")</f>
        <v>CA-2015-155145</v>
      </c>
      <c r="B1534" s="9">
        <f>IFERROR(__xludf.DUMMYFUNCTION("""COMPUTED_VALUE"""),42365.0)</f>
        <v>42365</v>
      </c>
      <c r="C1534" s="8" t="str">
        <f>IFERROR(__xludf.DUMMYFUNCTION("""COMPUTED_VALUE"""),"Kean Nguyen")</f>
        <v>Kean Nguyen</v>
      </c>
      <c r="D1534" s="8" t="str">
        <f>IFERROR(__xludf.DUMMYFUNCTION("""COMPUTED_VALUE"""),"Corporate")</f>
        <v>Corporate</v>
      </c>
      <c r="E1534" s="8" t="str">
        <f>IFERROR(__xludf.DUMMYFUNCTION("""COMPUTED_VALUE"""),"West")</f>
        <v>West</v>
      </c>
      <c r="F1534" s="10">
        <f>IFERROR(__xludf.DUMMYFUNCTION("""COMPUTED_VALUE"""),7.92)</f>
        <v>7.92</v>
      </c>
      <c r="G1534" s="11">
        <f>IFERROR(__xludf.DUMMYFUNCTION("""COMPUTED_VALUE"""),8.0)</f>
        <v>8</v>
      </c>
      <c r="H1534" s="11">
        <f>IFERROR(__xludf.DUMMYFUNCTION("""COMPUTED_VALUE"""),3.4848)</f>
        <v>3.4848</v>
      </c>
    </row>
    <row r="1535">
      <c r="A1535" s="8" t="str">
        <f>IFERROR(__xludf.DUMMYFUNCTION("""COMPUTED_VALUE"""),"CA-2015-155306")</f>
        <v>CA-2015-155306</v>
      </c>
      <c r="B1535" s="9">
        <f>IFERROR(__xludf.DUMMYFUNCTION("""COMPUTED_VALUE"""),42111.0)</f>
        <v>42111</v>
      </c>
      <c r="C1535" s="8" t="str">
        <f>IFERROR(__xludf.DUMMYFUNCTION("""COMPUTED_VALUE"""),"George Ashbrook")</f>
        <v>George Ashbrook</v>
      </c>
      <c r="D1535" s="8" t="str">
        <f>IFERROR(__xludf.DUMMYFUNCTION("""COMPUTED_VALUE"""),"Consumer")</f>
        <v>Consumer</v>
      </c>
      <c r="E1535" s="8" t="str">
        <f>IFERROR(__xludf.DUMMYFUNCTION("""COMPUTED_VALUE"""),"West")</f>
        <v>West</v>
      </c>
      <c r="F1535" s="10">
        <f>IFERROR(__xludf.DUMMYFUNCTION("""COMPUTED_VALUE"""),5.56)</f>
        <v>5.56</v>
      </c>
      <c r="G1535" s="11">
        <f>IFERROR(__xludf.DUMMYFUNCTION("""COMPUTED_VALUE"""),2.0)</f>
        <v>2</v>
      </c>
      <c r="H1535" s="11">
        <f>IFERROR(__xludf.DUMMYFUNCTION("""COMPUTED_VALUE"""),2.224)</f>
        <v>2.224</v>
      </c>
    </row>
    <row r="1536">
      <c r="A1536" s="8" t="str">
        <f>IFERROR(__xludf.DUMMYFUNCTION("""COMPUTED_VALUE"""),"CA-2015-155334")</f>
        <v>CA-2015-155334</v>
      </c>
      <c r="B1536" s="9">
        <f>IFERROR(__xludf.DUMMYFUNCTION("""COMPUTED_VALUE"""),42215.0)</f>
        <v>42215</v>
      </c>
      <c r="C1536" s="8" t="str">
        <f>IFERROR(__xludf.DUMMYFUNCTION("""COMPUTED_VALUE"""),"Helen Andreada")</f>
        <v>Helen Andreada</v>
      </c>
      <c r="D1536" s="8" t="str">
        <f>IFERROR(__xludf.DUMMYFUNCTION("""COMPUTED_VALUE"""),"Consumer")</f>
        <v>Consumer</v>
      </c>
      <c r="E1536" s="8" t="str">
        <f>IFERROR(__xludf.DUMMYFUNCTION("""COMPUTED_VALUE"""),"West")</f>
        <v>West</v>
      </c>
      <c r="F1536" s="10">
        <f>IFERROR(__xludf.DUMMYFUNCTION("""COMPUTED_VALUE"""),209.93)</f>
        <v>209.93</v>
      </c>
      <c r="G1536" s="11">
        <f>IFERROR(__xludf.DUMMYFUNCTION("""COMPUTED_VALUE"""),7.0)</f>
        <v>7</v>
      </c>
      <c r="H1536" s="11">
        <f>IFERROR(__xludf.DUMMYFUNCTION("""COMPUTED_VALUE"""),92.3692)</f>
        <v>92.3692</v>
      </c>
    </row>
    <row r="1537">
      <c r="A1537" s="8" t="str">
        <f>IFERROR(__xludf.DUMMYFUNCTION("""COMPUTED_VALUE"""),"CA-2015-155453")</f>
        <v>CA-2015-155453</v>
      </c>
      <c r="B1537" s="9">
        <f>IFERROR(__xludf.DUMMYFUNCTION("""COMPUTED_VALUE"""),42225.0)</f>
        <v>42225</v>
      </c>
      <c r="C1537" s="8" t="str">
        <f>IFERROR(__xludf.DUMMYFUNCTION("""COMPUTED_VALUE"""),"Ruben Ausman")</f>
        <v>Ruben Ausman</v>
      </c>
      <c r="D1537" s="8" t="str">
        <f>IFERROR(__xludf.DUMMYFUNCTION("""COMPUTED_VALUE"""),"Corporate")</f>
        <v>Corporate</v>
      </c>
      <c r="E1537" s="8" t="str">
        <f>IFERROR(__xludf.DUMMYFUNCTION("""COMPUTED_VALUE"""),"South")</f>
        <v>South</v>
      </c>
      <c r="F1537" s="10">
        <f>IFERROR(__xludf.DUMMYFUNCTION("""COMPUTED_VALUE"""),4.608)</f>
        <v>4.608</v>
      </c>
      <c r="G1537" s="11">
        <f>IFERROR(__xludf.DUMMYFUNCTION("""COMPUTED_VALUE"""),2.0)</f>
        <v>2</v>
      </c>
      <c r="H1537" s="11">
        <f>IFERROR(__xludf.DUMMYFUNCTION("""COMPUTED_VALUE"""),1.6704)</f>
        <v>1.6704</v>
      </c>
    </row>
    <row r="1538">
      <c r="A1538" s="8" t="str">
        <f>IFERROR(__xludf.DUMMYFUNCTION("""COMPUTED_VALUE"""),"CA-2015-155586")</f>
        <v>CA-2015-155586</v>
      </c>
      <c r="B1538" s="9">
        <f>IFERROR(__xludf.DUMMYFUNCTION("""COMPUTED_VALUE"""),42350.0)</f>
        <v>42350</v>
      </c>
      <c r="C1538" s="8" t="str">
        <f>IFERROR(__xludf.DUMMYFUNCTION("""COMPUTED_VALUE"""),"Xylona Preis")</f>
        <v>Xylona Preis</v>
      </c>
      <c r="D1538" s="8" t="str">
        <f>IFERROR(__xludf.DUMMYFUNCTION("""COMPUTED_VALUE"""),"Consumer")</f>
        <v>Consumer</v>
      </c>
      <c r="E1538" s="8" t="str">
        <f>IFERROR(__xludf.DUMMYFUNCTION("""COMPUTED_VALUE"""),"West")</f>
        <v>West</v>
      </c>
      <c r="F1538" s="10">
        <f>IFERROR(__xludf.DUMMYFUNCTION("""COMPUTED_VALUE"""),2.21)</f>
        <v>2.21</v>
      </c>
      <c r="G1538" s="11">
        <f>IFERROR(__xludf.DUMMYFUNCTION("""COMPUTED_VALUE"""),1.0)</f>
        <v>1</v>
      </c>
      <c r="H1538" s="11">
        <f>IFERROR(__xludf.DUMMYFUNCTION("""COMPUTED_VALUE"""),0.5967)</f>
        <v>0.5967</v>
      </c>
    </row>
    <row r="1539">
      <c r="A1539" s="8" t="str">
        <f>IFERROR(__xludf.DUMMYFUNCTION("""COMPUTED_VALUE"""),"CA-2015-155600")</f>
        <v>CA-2015-155600</v>
      </c>
      <c r="B1539" s="9">
        <f>IFERROR(__xludf.DUMMYFUNCTION("""COMPUTED_VALUE"""),42342.0)</f>
        <v>42342</v>
      </c>
      <c r="C1539" s="8" t="str">
        <f>IFERROR(__xludf.DUMMYFUNCTION("""COMPUTED_VALUE"""),"Rose O'Brian")</f>
        <v>Rose O'Brian</v>
      </c>
      <c r="D1539" s="8" t="str">
        <f>IFERROR(__xludf.DUMMYFUNCTION("""COMPUTED_VALUE"""),"Consumer")</f>
        <v>Consumer</v>
      </c>
      <c r="E1539" s="8" t="str">
        <f>IFERROR(__xludf.DUMMYFUNCTION("""COMPUTED_VALUE"""),"South")</f>
        <v>South</v>
      </c>
      <c r="F1539" s="10">
        <f>IFERROR(__xludf.DUMMYFUNCTION("""COMPUTED_VALUE"""),1598.058)</f>
        <v>1598.058</v>
      </c>
      <c r="G1539" s="11">
        <f>IFERROR(__xludf.DUMMYFUNCTION("""COMPUTED_VALUE"""),7.0)</f>
        <v>7</v>
      </c>
      <c r="H1539" s="11">
        <f>IFERROR(__xludf.DUMMYFUNCTION("""COMPUTED_VALUE"""),-1065.372)</f>
        <v>-1065.372</v>
      </c>
    </row>
    <row r="1540">
      <c r="A1540" s="8" t="str">
        <f>IFERROR(__xludf.DUMMYFUNCTION("""COMPUTED_VALUE"""),"CA-2015-155635")</f>
        <v>CA-2015-155635</v>
      </c>
      <c r="B1540" s="9">
        <f>IFERROR(__xludf.DUMMYFUNCTION("""COMPUTED_VALUE"""),42133.0)</f>
        <v>42133</v>
      </c>
      <c r="C1540" s="8" t="str">
        <f>IFERROR(__xludf.DUMMYFUNCTION("""COMPUTED_VALUE"""),"Max Engle")</f>
        <v>Max Engle</v>
      </c>
      <c r="D1540" s="8" t="str">
        <f>IFERROR(__xludf.DUMMYFUNCTION("""COMPUTED_VALUE"""),"Consumer")</f>
        <v>Consumer</v>
      </c>
      <c r="E1540" s="8" t="str">
        <f>IFERROR(__xludf.DUMMYFUNCTION("""COMPUTED_VALUE"""),"South")</f>
        <v>South</v>
      </c>
      <c r="F1540" s="10">
        <f>IFERROR(__xludf.DUMMYFUNCTION("""COMPUTED_VALUE"""),48.81)</f>
        <v>48.81</v>
      </c>
      <c r="G1540" s="11">
        <f>IFERROR(__xludf.DUMMYFUNCTION("""COMPUTED_VALUE"""),3.0)</f>
        <v>3</v>
      </c>
      <c r="H1540" s="11">
        <f>IFERROR(__xludf.DUMMYFUNCTION("""COMPUTED_VALUE"""),23.9169)</f>
        <v>23.9169</v>
      </c>
    </row>
    <row r="1541">
      <c r="A1541" s="8" t="str">
        <f>IFERROR(__xludf.DUMMYFUNCTION("""COMPUTED_VALUE"""),"CA-2015-155761")</f>
        <v>CA-2015-155761</v>
      </c>
      <c r="B1541" s="9">
        <f>IFERROR(__xludf.DUMMYFUNCTION("""COMPUTED_VALUE"""),42349.0)</f>
        <v>42349</v>
      </c>
      <c r="C1541" s="8" t="str">
        <f>IFERROR(__xludf.DUMMYFUNCTION("""COMPUTED_VALUE"""),"Stuart Calhoun")</f>
        <v>Stuart Calhoun</v>
      </c>
      <c r="D1541" s="8" t="str">
        <f>IFERROR(__xludf.DUMMYFUNCTION("""COMPUTED_VALUE"""),"Consumer")</f>
        <v>Consumer</v>
      </c>
      <c r="E1541" s="8" t="str">
        <f>IFERROR(__xludf.DUMMYFUNCTION("""COMPUTED_VALUE"""),"Central")</f>
        <v>Central</v>
      </c>
      <c r="F1541" s="10">
        <f>IFERROR(__xludf.DUMMYFUNCTION("""COMPUTED_VALUE"""),159.984)</f>
        <v>159.984</v>
      </c>
      <c r="G1541" s="11">
        <f>IFERROR(__xludf.DUMMYFUNCTION("""COMPUTED_VALUE"""),2.0)</f>
        <v>2</v>
      </c>
      <c r="H1541" s="11">
        <f>IFERROR(__xludf.DUMMYFUNCTION("""COMPUTED_VALUE"""),35.9964)</f>
        <v>35.9964</v>
      </c>
    </row>
    <row r="1542">
      <c r="A1542" s="8" t="str">
        <f>IFERROR(__xludf.DUMMYFUNCTION("""COMPUTED_VALUE"""),"CA-2015-156013")</f>
        <v>CA-2015-156013</v>
      </c>
      <c r="B1542" s="9">
        <f>IFERROR(__xludf.DUMMYFUNCTION("""COMPUTED_VALUE"""),42267.0)</f>
        <v>42267</v>
      </c>
      <c r="C1542" s="8" t="str">
        <f>IFERROR(__xludf.DUMMYFUNCTION("""COMPUTED_VALUE"""),"Tamara Chand")</f>
        <v>Tamara Chand</v>
      </c>
      <c r="D1542" s="8" t="str">
        <f>IFERROR(__xludf.DUMMYFUNCTION("""COMPUTED_VALUE"""),"Corporate")</f>
        <v>Corporate</v>
      </c>
      <c r="E1542" s="8" t="str">
        <f>IFERROR(__xludf.DUMMYFUNCTION("""COMPUTED_VALUE"""),"East")</f>
        <v>East</v>
      </c>
      <c r="F1542" s="10">
        <f>IFERROR(__xludf.DUMMYFUNCTION("""COMPUTED_VALUE"""),61.4)</f>
        <v>61.4</v>
      </c>
      <c r="G1542" s="11">
        <f>IFERROR(__xludf.DUMMYFUNCTION("""COMPUTED_VALUE"""),5.0)</f>
        <v>5</v>
      </c>
      <c r="H1542" s="11">
        <f>IFERROR(__xludf.DUMMYFUNCTION("""COMPUTED_VALUE"""),28.858)</f>
        <v>28.858</v>
      </c>
    </row>
    <row r="1543">
      <c r="A1543" s="8" t="str">
        <f>IFERROR(__xludf.DUMMYFUNCTION("""COMPUTED_VALUE"""),"CA-2015-156104")</f>
        <v>CA-2015-156104</v>
      </c>
      <c r="B1543" s="9">
        <f>IFERROR(__xludf.DUMMYFUNCTION("""COMPUTED_VALUE"""),42344.0)</f>
        <v>42344</v>
      </c>
      <c r="C1543" s="8" t="str">
        <f>IFERROR(__xludf.DUMMYFUNCTION("""COMPUTED_VALUE"""),"Nora Pelletier")</f>
        <v>Nora Pelletier</v>
      </c>
      <c r="D1543" s="8" t="str">
        <f>IFERROR(__xludf.DUMMYFUNCTION("""COMPUTED_VALUE"""),"Home Office")</f>
        <v>Home Office</v>
      </c>
      <c r="E1543" s="8" t="str">
        <f>IFERROR(__xludf.DUMMYFUNCTION("""COMPUTED_VALUE"""),"Central")</f>
        <v>Central</v>
      </c>
      <c r="F1543" s="10">
        <f>IFERROR(__xludf.DUMMYFUNCTION("""COMPUTED_VALUE"""),999.98)</f>
        <v>999.98</v>
      </c>
      <c r="G1543" s="11">
        <f>IFERROR(__xludf.DUMMYFUNCTION("""COMPUTED_VALUE"""),2.0)</f>
        <v>2</v>
      </c>
      <c r="H1543" s="11">
        <f>IFERROR(__xludf.DUMMYFUNCTION("""COMPUTED_VALUE"""),449.991)</f>
        <v>449.991</v>
      </c>
    </row>
    <row r="1544">
      <c r="A1544" s="8" t="str">
        <f>IFERROR(__xludf.DUMMYFUNCTION("""COMPUTED_VALUE"""),"CA-2015-156118")</f>
        <v>CA-2015-156118</v>
      </c>
      <c r="B1544" s="9">
        <f>IFERROR(__xludf.DUMMYFUNCTION("""COMPUTED_VALUE"""),42346.0)</f>
        <v>42346</v>
      </c>
      <c r="C1544" s="8" t="str">
        <f>IFERROR(__xludf.DUMMYFUNCTION("""COMPUTED_VALUE"""),"Henry Goldwyn")</f>
        <v>Henry Goldwyn</v>
      </c>
      <c r="D1544" s="8" t="str">
        <f>IFERROR(__xludf.DUMMYFUNCTION("""COMPUTED_VALUE"""),"Corporate")</f>
        <v>Corporate</v>
      </c>
      <c r="E1544" s="8" t="str">
        <f>IFERROR(__xludf.DUMMYFUNCTION("""COMPUTED_VALUE"""),"West")</f>
        <v>West</v>
      </c>
      <c r="F1544" s="10">
        <f>IFERROR(__xludf.DUMMYFUNCTION("""COMPUTED_VALUE"""),15.696)</f>
        <v>15.696</v>
      </c>
      <c r="G1544" s="11">
        <f>IFERROR(__xludf.DUMMYFUNCTION("""COMPUTED_VALUE"""),3.0)</f>
        <v>3</v>
      </c>
      <c r="H1544" s="11">
        <f>IFERROR(__xludf.DUMMYFUNCTION("""COMPUTED_VALUE"""),5.1012)</f>
        <v>5.1012</v>
      </c>
    </row>
    <row r="1545">
      <c r="A1545" s="8" t="str">
        <f>IFERROR(__xludf.DUMMYFUNCTION("""COMPUTED_VALUE"""),"CA-2015-156146")</f>
        <v>CA-2015-156146</v>
      </c>
      <c r="B1545" s="9">
        <f>IFERROR(__xludf.DUMMYFUNCTION("""COMPUTED_VALUE"""),42303.0)</f>
        <v>42303</v>
      </c>
      <c r="C1545" s="8" t="str">
        <f>IFERROR(__xludf.DUMMYFUNCTION("""COMPUTED_VALUE"""),"Andrew Gjertsen")</f>
        <v>Andrew Gjertsen</v>
      </c>
      <c r="D1545" s="8" t="str">
        <f>IFERROR(__xludf.DUMMYFUNCTION("""COMPUTED_VALUE"""),"Corporate")</f>
        <v>Corporate</v>
      </c>
      <c r="E1545" s="8" t="str">
        <f>IFERROR(__xludf.DUMMYFUNCTION("""COMPUTED_VALUE"""),"West")</f>
        <v>West</v>
      </c>
      <c r="F1545" s="10">
        <f>IFERROR(__xludf.DUMMYFUNCTION("""COMPUTED_VALUE"""),105.584)</f>
        <v>105.584</v>
      </c>
      <c r="G1545" s="11">
        <f>IFERROR(__xludf.DUMMYFUNCTION("""COMPUTED_VALUE"""),2.0)</f>
        <v>2</v>
      </c>
      <c r="H1545" s="11">
        <f>IFERROR(__xludf.DUMMYFUNCTION("""COMPUTED_VALUE"""),9.2386)</f>
        <v>9.2386</v>
      </c>
    </row>
    <row r="1546">
      <c r="A1546" s="8" t="str">
        <f>IFERROR(__xludf.DUMMYFUNCTION("""COMPUTED_VALUE"""),"CA-2015-156153")</f>
        <v>CA-2015-156153</v>
      </c>
      <c r="B1546" s="9">
        <f>IFERROR(__xludf.DUMMYFUNCTION("""COMPUTED_VALUE"""),42155.0)</f>
        <v>42155</v>
      </c>
      <c r="C1546" s="8" t="str">
        <f>IFERROR(__xludf.DUMMYFUNCTION("""COMPUTED_VALUE"""),"Carl Weiss")</f>
        <v>Carl Weiss</v>
      </c>
      <c r="D1546" s="8" t="str">
        <f>IFERROR(__xludf.DUMMYFUNCTION("""COMPUTED_VALUE"""),"Home Office")</f>
        <v>Home Office</v>
      </c>
      <c r="E1546" s="8" t="str">
        <f>IFERROR(__xludf.DUMMYFUNCTION("""COMPUTED_VALUE"""),"East")</f>
        <v>East</v>
      </c>
      <c r="F1546" s="10">
        <f>IFERROR(__xludf.DUMMYFUNCTION("""COMPUTED_VALUE"""),7.56)</f>
        <v>7.56</v>
      </c>
      <c r="G1546" s="11">
        <f>IFERROR(__xludf.DUMMYFUNCTION("""COMPUTED_VALUE"""),6.0)</f>
        <v>6</v>
      </c>
      <c r="H1546" s="11">
        <f>IFERROR(__xludf.DUMMYFUNCTION("""COMPUTED_VALUE"""),0.3024)</f>
        <v>0.3024</v>
      </c>
    </row>
    <row r="1547">
      <c r="A1547" s="8" t="str">
        <f>IFERROR(__xludf.DUMMYFUNCTION("""COMPUTED_VALUE"""),"CA-2015-156328")</f>
        <v>CA-2015-156328</v>
      </c>
      <c r="B1547" s="9">
        <f>IFERROR(__xludf.DUMMYFUNCTION("""COMPUTED_VALUE"""),42338.0)</f>
        <v>42338</v>
      </c>
      <c r="C1547" s="8" t="str">
        <f>IFERROR(__xludf.DUMMYFUNCTION("""COMPUTED_VALUE"""),"Raymond Messe")</f>
        <v>Raymond Messe</v>
      </c>
      <c r="D1547" s="8" t="str">
        <f>IFERROR(__xludf.DUMMYFUNCTION("""COMPUTED_VALUE"""),"Consumer")</f>
        <v>Consumer</v>
      </c>
      <c r="E1547" s="8" t="str">
        <f>IFERROR(__xludf.DUMMYFUNCTION("""COMPUTED_VALUE"""),"South")</f>
        <v>South</v>
      </c>
      <c r="F1547" s="10">
        <f>IFERROR(__xludf.DUMMYFUNCTION("""COMPUTED_VALUE"""),177.48)</f>
        <v>177.48</v>
      </c>
      <c r="G1547" s="11">
        <f>IFERROR(__xludf.DUMMYFUNCTION("""COMPUTED_VALUE"""),3.0)</f>
        <v>3</v>
      </c>
      <c r="H1547" s="11">
        <f>IFERROR(__xludf.DUMMYFUNCTION("""COMPUTED_VALUE"""),19.9665)</f>
        <v>19.9665</v>
      </c>
    </row>
    <row r="1548">
      <c r="A1548" s="8" t="str">
        <f>IFERROR(__xludf.DUMMYFUNCTION("""COMPUTED_VALUE"""),"CA-2015-156335")</f>
        <v>CA-2015-156335</v>
      </c>
      <c r="B1548" s="9">
        <f>IFERROR(__xludf.DUMMYFUNCTION("""COMPUTED_VALUE"""),42272.0)</f>
        <v>42272</v>
      </c>
      <c r="C1548" s="8" t="str">
        <f>IFERROR(__xludf.DUMMYFUNCTION("""COMPUTED_VALUE"""),"Phillina Ober")</f>
        <v>Phillina Ober</v>
      </c>
      <c r="D1548" s="8" t="str">
        <f>IFERROR(__xludf.DUMMYFUNCTION("""COMPUTED_VALUE"""),"Home Office")</f>
        <v>Home Office</v>
      </c>
      <c r="E1548" s="8" t="str">
        <f>IFERROR(__xludf.DUMMYFUNCTION("""COMPUTED_VALUE"""),"East")</f>
        <v>East</v>
      </c>
      <c r="F1548" s="10">
        <f>IFERROR(__xludf.DUMMYFUNCTION("""COMPUTED_VALUE"""),63.96)</f>
        <v>63.96</v>
      </c>
      <c r="G1548" s="11">
        <f>IFERROR(__xludf.DUMMYFUNCTION("""COMPUTED_VALUE"""),4.0)</f>
        <v>4</v>
      </c>
      <c r="H1548" s="11">
        <f>IFERROR(__xludf.DUMMYFUNCTION("""COMPUTED_VALUE"""),19.8276)</f>
        <v>19.8276</v>
      </c>
    </row>
    <row r="1549">
      <c r="A1549" s="8" t="str">
        <f>IFERROR(__xludf.DUMMYFUNCTION("""COMPUTED_VALUE"""),"CA-2015-156377")</f>
        <v>CA-2015-156377</v>
      </c>
      <c r="B1549" s="9">
        <f>IFERROR(__xludf.DUMMYFUNCTION("""COMPUTED_VALUE"""),42369.0)</f>
        <v>42369</v>
      </c>
      <c r="C1549" s="8" t="str">
        <f>IFERROR(__xludf.DUMMYFUNCTION("""COMPUTED_VALUE"""),"Trudy Brown")</f>
        <v>Trudy Brown</v>
      </c>
      <c r="D1549" s="8" t="str">
        <f>IFERROR(__xludf.DUMMYFUNCTION("""COMPUTED_VALUE"""),"Consumer")</f>
        <v>Consumer</v>
      </c>
      <c r="E1549" s="8" t="str">
        <f>IFERROR(__xludf.DUMMYFUNCTION("""COMPUTED_VALUE"""),"Central")</f>
        <v>Central</v>
      </c>
      <c r="F1549" s="10">
        <f>IFERROR(__xludf.DUMMYFUNCTION("""COMPUTED_VALUE"""),14.76)</f>
        <v>14.76</v>
      </c>
      <c r="G1549" s="11">
        <f>IFERROR(__xludf.DUMMYFUNCTION("""COMPUTED_VALUE"""),5.0)</f>
        <v>5</v>
      </c>
      <c r="H1549" s="11">
        <f>IFERROR(__xludf.DUMMYFUNCTION("""COMPUTED_VALUE"""),-11.439)</f>
        <v>-11.439</v>
      </c>
    </row>
    <row r="1550">
      <c r="A1550" s="8" t="str">
        <f>IFERROR(__xludf.DUMMYFUNCTION("""COMPUTED_VALUE"""),"CA-2015-156440")</f>
        <v>CA-2015-156440</v>
      </c>
      <c r="B1550" s="9">
        <f>IFERROR(__xludf.DUMMYFUNCTION("""COMPUTED_VALUE"""),42343.0)</f>
        <v>42343</v>
      </c>
      <c r="C1550" s="8" t="str">
        <f>IFERROR(__xludf.DUMMYFUNCTION("""COMPUTED_VALUE"""),"Matt Hagelstein")</f>
        <v>Matt Hagelstein</v>
      </c>
      <c r="D1550" s="8" t="str">
        <f>IFERROR(__xludf.DUMMYFUNCTION("""COMPUTED_VALUE"""),"Corporate")</f>
        <v>Corporate</v>
      </c>
      <c r="E1550" s="8" t="str">
        <f>IFERROR(__xludf.DUMMYFUNCTION("""COMPUTED_VALUE"""),"West")</f>
        <v>West</v>
      </c>
      <c r="F1550" s="10">
        <f>IFERROR(__xludf.DUMMYFUNCTION("""COMPUTED_VALUE"""),44.46)</f>
        <v>44.46</v>
      </c>
      <c r="G1550" s="11">
        <f>IFERROR(__xludf.DUMMYFUNCTION("""COMPUTED_VALUE"""),2.0)</f>
        <v>2</v>
      </c>
      <c r="H1550" s="11">
        <f>IFERROR(__xludf.DUMMYFUNCTION("""COMPUTED_VALUE"""),14.6718)</f>
        <v>14.6718</v>
      </c>
    </row>
    <row r="1551">
      <c r="A1551" s="8" t="str">
        <f>IFERROR(__xludf.DUMMYFUNCTION("""COMPUTED_VALUE"""),"CA-2015-156482")</f>
        <v>CA-2015-156482</v>
      </c>
      <c r="B1551" s="9">
        <f>IFERROR(__xludf.DUMMYFUNCTION("""COMPUTED_VALUE"""),42041.0)</f>
        <v>42041</v>
      </c>
      <c r="C1551" s="8" t="str">
        <f>IFERROR(__xludf.DUMMYFUNCTION("""COMPUTED_VALUE"""),"Ivan Liston")</f>
        <v>Ivan Liston</v>
      </c>
      <c r="D1551" s="8" t="str">
        <f>IFERROR(__xludf.DUMMYFUNCTION("""COMPUTED_VALUE"""),"Consumer")</f>
        <v>Consumer</v>
      </c>
      <c r="E1551" s="8" t="str">
        <f>IFERROR(__xludf.DUMMYFUNCTION("""COMPUTED_VALUE"""),"East")</f>
        <v>East</v>
      </c>
      <c r="F1551" s="10">
        <f>IFERROR(__xludf.DUMMYFUNCTION("""COMPUTED_VALUE"""),1268.82)</f>
        <v>1268.82</v>
      </c>
      <c r="G1551" s="11">
        <f>IFERROR(__xludf.DUMMYFUNCTION("""COMPUTED_VALUE"""),9.0)</f>
        <v>9</v>
      </c>
      <c r="H1551" s="11">
        <f>IFERROR(__xludf.DUMMYFUNCTION("""COMPUTED_VALUE"""),266.4522)</f>
        <v>266.4522</v>
      </c>
    </row>
    <row r="1552">
      <c r="A1552" s="8" t="str">
        <f>IFERROR(__xludf.DUMMYFUNCTION("""COMPUTED_VALUE"""),"CA-2015-156510")</f>
        <v>CA-2015-156510</v>
      </c>
      <c r="B1552" s="9">
        <f>IFERROR(__xludf.DUMMYFUNCTION("""COMPUTED_VALUE"""),42272.0)</f>
        <v>42272</v>
      </c>
      <c r="C1552" s="8" t="str">
        <f>IFERROR(__xludf.DUMMYFUNCTION("""COMPUTED_VALUE"""),"Erica Hackney")</f>
        <v>Erica Hackney</v>
      </c>
      <c r="D1552" s="8" t="str">
        <f>IFERROR(__xludf.DUMMYFUNCTION("""COMPUTED_VALUE"""),"Consumer")</f>
        <v>Consumer</v>
      </c>
      <c r="E1552" s="8" t="str">
        <f>IFERROR(__xludf.DUMMYFUNCTION("""COMPUTED_VALUE"""),"East")</f>
        <v>East</v>
      </c>
      <c r="F1552" s="10">
        <f>IFERROR(__xludf.DUMMYFUNCTION("""COMPUTED_VALUE"""),10.76)</f>
        <v>10.76</v>
      </c>
      <c r="G1552" s="11">
        <f>IFERROR(__xludf.DUMMYFUNCTION("""COMPUTED_VALUE"""),2.0)</f>
        <v>2</v>
      </c>
      <c r="H1552" s="11">
        <f>IFERROR(__xludf.DUMMYFUNCTION("""COMPUTED_VALUE"""),5.1648)</f>
        <v>5.1648</v>
      </c>
    </row>
    <row r="1553">
      <c r="A1553" s="8" t="str">
        <f>IFERROR(__xludf.DUMMYFUNCTION("""COMPUTED_VALUE"""),"CA-2015-156524")</f>
        <v>CA-2015-156524</v>
      </c>
      <c r="B1553" s="9">
        <f>IFERROR(__xludf.DUMMYFUNCTION("""COMPUTED_VALUE"""),42328.0)</f>
        <v>42328</v>
      </c>
      <c r="C1553" s="8" t="str">
        <f>IFERROR(__xludf.DUMMYFUNCTION("""COMPUTED_VALUE"""),"Dan Lawera")</f>
        <v>Dan Lawera</v>
      </c>
      <c r="D1553" s="8" t="str">
        <f>IFERROR(__xludf.DUMMYFUNCTION("""COMPUTED_VALUE"""),"Consumer")</f>
        <v>Consumer</v>
      </c>
      <c r="E1553" s="8" t="str">
        <f>IFERROR(__xludf.DUMMYFUNCTION("""COMPUTED_VALUE"""),"East")</f>
        <v>East</v>
      </c>
      <c r="F1553" s="10">
        <f>IFERROR(__xludf.DUMMYFUNCTION("""COMPUTED_VALUE"""),19.65)</f>
        <v>19.65</v>
      </c>
      <c r="G1553" s="11">
        <f>IFERROR(__xludf.DUMMYFUNCTION("""COMPUTED_VALUE"""),3.0)</f>
        <v>3</v>
      </c>
      <c r="H1553" s="11">
        <f>IFERROR(__xludf.DUMMYFUNCTION("""COMPUTED_VALUE"""),9.039)</f>
        <v>9.039</v>
      </c>
    </row>
    <row r="1554">
      <c r="A1554" s="8" t="str">
        <f>IFERROR(__xludf.DUMMYFUNCTION("""COMPUTED_VALUE"""),"CA-2015-156566")</f>
        <v>CA-2015-156566</v>
      </c>
      <c r="B1554" s="9">
        <f>IFERROR(__xludf.DUMMYFUNCTION("""COMPUTED_VALUE"""),42278.0)</f>
        <v>42278</v>
      </c>
      <c r="C1554" s="8" t="str">
        <f>IFERROR(__xludf.DUMMYFUNCTION("""COMPUTED_VALUE"""),"Eric Murdock")</f>
        <v>Eric Murdock</v>
      </c>
      <c r="D1554" s="8" t="str">
        <f>IFERROR(__xludf.DUMMYFUNCTION("""COMPUTED_VALUE"""),"Consumer")</f>
        <v>Consumer</v>
      </c>
      <c r="E1554" s="8" t="str">
        <f>IFERROR(__xludf.DUMMYFUNCTION("""COMPUTED_VALUE"""),"West")</f>
        <v>West</v>
      </c>
      <c r="F1554" s="10">
        <f>IFERROR(__xludf.DUMMYFUNCTION("""COMPUTED_VALUE"""),572.8)</f>
        <v>572.8</v>
      </c>
      <c r="G1554" s="11">
        <f>IFERROR(__xludf.DUMMYFUNCTION("""COMPUTED_VALUE"""),2.0)</f>
        <v>2</v>
      </c>
      <c r="H1554" s="11">
        <f>IFERROR(__xludf.DUMMYFUNCTION("""COMPUTED_VALUE"""),50.12)</f>
        <v>50.12</v>
      </c>
    </row>
    <row r="1555">
      <c r="A1555" s="8" t="str">
        <f>IFERROR(__xludf.DUMMYFUNCTION("""COMPUTED_VALUE"""),"CA-2015-156608")</f>
        <v>CA-2015-156608</v>
      </c>
      <c r="B1555" s="9">
        <f>IFERROR(__xludf.DUMMYFUNCTION("""COMPUTED_VALUE"""),42301.0)</f>
        <v>42301</v>
      </c>
      <c r="C1555" s="8" t="str">
        <f>IFERROR(__xludf.DUMMYFUNCTION("""COMPUTED_VALUE"""),"Michelle Tran")</f>
        <v>Michelle Tran</v>
      </c>
      <c r="D1555" s="8" t="str">
        <f>IFERROR(__xludf.DUMMYFUNCTION("""COMPUTED_VALUE"""),"Home Office")</f>
        <v>Home Office</v>
      </c>
      <c r="E1555" s="8" t="str">
        <f>IFERROR(__xludf.DUMMYFUNCTION("""COMPUTED_VALUE"""),"Central")</f>
        <v>Central</v>
      </c>
      <c r="F1555" s="10">
        <f>IFERROR(__xludf.DUMMYFUNCTION("""COMPUTED_VALUE"""),3.592)</f>
        <v>3.592</v>
      </c>
      <c r="G1555" s="11">
        <f>IFERROR(__xludf.DUMMYFUNCTION("""COMPUTED_VALUE"""),4.0)</f>
        <v>4</v>
      </c>
      <c r="H1555" s="11">
        <f>IFERROR(__xludf.DUMMYFUNCTION("""COMPUTED_VALUE"""),-6.286)</f>
        <v>-6.286</v>
      </c>
    </row>
    <row r="1556">
      <c r="A1556" s="8" t="str">
        <f>IFERROR(__xludf.DUMMYFUNCTION("""COMPUTED_VALUE"""),"CA-2015-156734")</f>
        <v>CA-2015-156734</v>
      </c>
      <c r="B1556" s="9">
        <f>IFERROR(__xludf.DUMMYFUNCTION("""COMPUTED_VALUE"""),42173.0)</f>
        <v>42173</v>
      </c>
      <c r="C1556" s="8" t="str">
        <f>IFERROR(__xludf.DUMMYFUNCTION("""COMPUTED_VALUE"""),"Benjamin Venier")</f>
        <v>Benjamin Venier</v>
      </c>
      <c r="D1556" s="8" t="str">
        <f>IFERROR(__xludf.DUMMYFUNCTION("""COMPUTED_VALUE"""),"Corporate")</f>
        <v>Corporate</v>
      </c>
      <c r="E1556" s="8" t="str">
        <f>IFERROR(__xludf.DUMMYFUNCTION("""COMPUTED_VALUE"""),"South")</f>
        <v>South</v>
      </c>
      <c r="F1556" s="10">
        <f>IFERROR(__xludf.DUMMYFUNCTION("""COMPUTED_VALUE"""),6.129)</f>
        <v>6.129</v>
      </c>
      <c r="G1556" s="11">
        <f>IFERROR(__xludf.DUMMYFUNCTION("""COMPUTED_VALUE"""),3.0)</f>
        <v>3</v>
      </c>
      <c r="H1556" s="11">
        <f>IFERROR(__xludf.DUMMYFUNCTION("""COMPUTED_VALUE"""),-4.4946)</f>
        <v>-4.4946</v>
      </c>
    </row>
    <row r="1557">
      <c r="A1557" s="8" t="str">
        <f>IFERROR(__xludf.DUMMYFUNCTION("""COMPUTED_VALUE"""),"CA-2015-156755")</f>
        <v>CA-2015-156755</v>
      </c>
      <c r="B1557" s="9">
        <f>IFERROR(__xludf.DUMMYFUNCTION("""COMPUTED_VALUE"""),42016.0)</f>
        <v>42016</v>
      </c>
      <c r="C1557" s="8" t="str">
        <f>IFERROR(__xludf.DUMMYFUNCTION("""COMPUTED_VALUE"""),"Yana Sorensen")</f>
        <v>Yana Sorensen</v>
      </c>
      <c r="D1557" s="8" t="str">
        <f>IFERROR(__xludf.DUMMYFUNCTION("""COMPUTED_VALUE"""),"Corporate")</f>
        <v>Corporate</v>
      </c>
      <c r="E1557" s="8" t="str">
        <f>IFERROR(__xludf.DUMMYFUNCTION("""COMPUTED_VALUE"""),"East")</f>
        <v>East</v>
      </c>
      <c r="F1557" s="10">
        <f>IFERROR(__xludf.DUMMYFUNCTION("""COMPUTED_VALUE"""),465.18)</f>
        <v>465.18</v>
      </c>
      <c r="G1557" s="11">
        <f>IFERROR(__xludf.DUMMYFUNCTION("""COMPUTED_VALUE"""),3.0)</f>
        <v>3</v>
      </c>
      <c r="H1557" s="11">
        <f>IFERROR(__xludf.DUMMYFUNCTION("""COMPUTED_VALUE"""),120.9468)</f>
        <v>120.9468</v>
      </c>
    </row>
    <row r="1558">
      <c r="A1558" s="8" t="str">
        <f>IFERROR(__xludf.DUMMYFUNCTION("""COMPUTED_VALUE"""),"CA-2015-156853")</f>
        <v>CA-2015-156853</v>
      </c>
      <c r="B1558" s="9">
        <f>IFERROR(__xludf.DUMMYFUNCTION("""COMPUTED_VALUE"""),42341.0)</f>
        <v>42341</v>
      </c>
      <c r="C1558" s="8" t="str">
        <f>IFERROR(__xludf.DUMMYFUNCTION("""COMPUTED_VALUE"""),"Harold Pawlan")</f>
        <v>Harold Pawlan</v>
      </c>
      <c r="D1558" s="8" t="str">
        <f>IFERROR(__xludf.DUMMYFUNCTION("""COMPUTED_VALUE"""),"Home Office")</f>
        <v>Home Office</v>
      </c>
      <c r="E1558" s="8" t="str">
        <f>IFERROR(__xludf.DUMMYFUNCTION("""COMPUTED_VALUE"""),"East")</f>
        <v>East</v>
      </c>
      <c r="F1558" s="10">
        <f>IFERROR(__xludf.DUMMYFUNCTION("""COMPUTED_VALUE"""),184.66)</f>
        <v>184.66</v>
      </c>
      <c r="G1558" s="11">
        <f>IFERROR(__xludf.DUMMYFUNCTION("""COMPUTED_VALUE"""),7.0)</f>
        <v>7</v>
      </c>
      <c r="H1558" s="11">
        <f>IFERROR(__xludf.DUMMYFUNCTION("""COMPUTED_VALUE"""),84.9436)</f>
        <v>84.9436</v>
      </c>
    </row>
    <row r="1559">
      <c r="A1559" s="8" t="str">
        <f>IFERROR(__xludf.DUMMYFUNCTION("""COMPUTED_VALUE"""),"CA-2015-156923")</f>
        <v>CA-2015-156923</v>
      </c>
      <c r="B1559" s="9">
        <f>IFERROR(__xludf.DUMMYFUNCTION("""COMPUTED_VALUE"""),42051.0)</f>
        <v>42051</v>
      </c>
      <c r="C1559" s="8" t="str">
        <f>IFERROR(__xludf.DUMMYFUNCTION("""COMPUTED_VALUE"""),"Sung Pak")</f>
        <v>Sung Pak</v>
      </c>
      <c r="D1559" s="8" t="str">
        <f>IFERROR(__xludf.DUMMYFUNCTION("""COMPUTED_VALUE"""),"Corporate")</f>
        <v>Corporate</v>
      </c>
      <c r="E1559" s="8" t="str">
        <f>IFERROR(__xludf.DUMMYFUNCTION("""COMPUTED_VALUE"""),"East")</f>
        <v>East</v>
      </c>
      <c r="F1559" s="10">
        <f>IFERROR(__xludf.DUMMYFUNCTION("""COMPUTED_VALUE"""),35.88)</f>
        <v>35.88</v>
      </c>
      <c r="G1559" s="11">
        <f>IFERROR(__xludf.DUMMYFUNCTION("""COMPUTED_VALUE"""),6.0)</f>
        <v>6</v>
      </c>
      <c r="H1559" s="11">
        <f>IFERROR(__xludf.DUMMYFUNCTION("""COMPUTED_VALUE"""),16.146)</f>
        <v>16.146</v>
      </c>
    </row>
    <row r="1560">
      <c r="A1560" s="8" t="str">
        <f>IFERROR(__xludf.DUMMYFUNCTION("""COMPUTED_VALUE"""),"CA-2015-157028")</f>
        <v>CA-2015-157028</v>
      </c>
      <c r="B1560" s="9">
        <f>IFERROR(__xludf.DUMMYFUNCTION("""COMPUTED_VALUE"""),42336.0)</f>
        <v>42336</v>
      </c>
      <c r="C1560" s="8" t="str">
        <f>IFERROR(__xludf.DUMMYFUNCTION("""COMPUTED_VALUE"""),"Michelle Arnett")</f>
        <v>Michelle Arnett</v>
      </c>
      <c r="D1560" s="8" t="str">
        <f>IFERROR(__xludf.DUMMYFUNCTION("""COMPUTED_VALUE"""),"Home Office")</f>
        <v>Home Office</v>
      </c>
      <c r="E1560" s="8" t="str">
        <f>IFERROR(__xludf.DUMMYFUNCTION("""COMPUTED_VALUE"""),"West")</f>
        <v>West</v>
      </c>
      <c r="F1560" s="10">
        <f>IFERROR(__xludf.DUMMYFUNCTION("""COMPUTED_VALUE"""),8.28)</f>
        <v>8.28</v>
      </c>
      <c r="G1560" s="11">
        <f>IFERROR(__xludf.DUMMYFUNCTION("""COMPUTED_VALUE"""),2.0)</f>
        <v>2</v>
      </c>
      <c r="H1560" s="11">
        <f>IFERROR(__xludf.DUMMYFUNCTION("""COMPUTED_VALUE"""),3.4776)</f>
        <v>3.4776</v>
      </c>
    </row>
    <row r="1561">
      <c r="A1561" s="8" t="str">
        <f>IFERROR(__xludf.DUMMYFUNCTION("""COMPUTED_VALUE"""),"CA-2015-157035")</f>
        <v>CA-2015-157035</v>
      </c>
      <c r="B1561" s="9">
        <f>IFERROR(__xludf.DUMMYFUNCTION("""COMPUTED_VALUE"""),42347.0)</f>
        <v>42347</v>
      </c>
      <c r="C1561" s="8" t="str">
        <f>IFERROR(__xludf.DUMMYFUNCTION("""COMPUTED_VALUE"""),"Ken Brennan")</f>
        <v>Ken Brennan</v>
      </c>
      <c r="D1561" s="8" t="str">
        <f>IFERROR(__xludf.DUMMYFUNCTION("""COMPUTED_VALUE"""),"Corporate")</f>
        <v>Corporate</v>
      </c>
      <c r="E1561" s="8" t="str">
        <f>IFERROR(__xludf.DUMMYFUNCTION("""COMPUTED_VALUE"""),"Central")</f>
        <v>Central</v>
      </c>
      <c r="F1561" s="10">
        <f>IFERROR(__xludf.DUMMYFUNCTION("""COMPUTED_VALUE"""),34.02)</f>
        <v>34.02</v>
      </c>
      <c r="G1561" s="11">
        <f>IFERROR(__xludf.DUMMYFUNCTION("""COMPUTED_VALUE"""),3.0)</f>
        <v>3</v>
      </c>
      <c r="H1561" s="11">
        <f>IFERROR(__xludf.DUMMYFUNCTION("""COMPUTED_VALUE"""),16.6698)</f>
        <v>16.6698</v>
      </c>
    </row>
    <row r="1562">
      <c r="A1562" s="8" t="str">
        <f>IFERROR(__xludf.DUMMYFUNCTION("""COMPUTED_VALUE"""),"CA-2015-157084")</f>
        <v>CA-2015-157084</v>
      </c>
      <c r="B1562" s="9">
        <f>IFERROR(__xludf.DUMMYFUNCTION("""COMPUTED_VALUE"""),42357.0)</f>
        <v>42357</v>
      </c>
      <c r="C1562" s="8" t="str">
        <f>IFERROR(__xludf.DUMMYFUNCTION("""COMPUTED_VALUE"""),"James Galang")</f>
        <v>James Galang</v>
      </c>
      <c r="D1562" s="8" t="str">
        <f>IFERROR(__xludf.DUMMYFUNCTION("""COMPUTED_VALUE"""),"Consumer")</f>
        <v>Consumer</v>
      </c>
      <c r="E1562" s="8" t="str">
        <f>IFERROR(__xludf.DUMMYFUNCTION("""COMPUTED_VALUE"""),"West")</f>
        <v>West</v>
      </c>
      <c r="F1562" s="10">
        <f>IFERROR(__xludf.DUMMYFUNCTION("""COMPUTED_VALUE"""),675.96)</f>
        <v>675.96</v>
      </c>
      <c r="G1562" s="11">
        <f>IFERROR(__xludf.DUMMYFUNCTION("""COMPUTED_VALUE"""),5.0)</f>
        <v>5</v>
      </c>
      <c r="H1562" s="11">
        <f>IFERROR(__xludf.DUMMYFUNCTION("""COMPUTED_VALUE"""),84.495)</f>
        <v>84.495</v>
      </c>
    </row>
    <row r="1563">
      <c r="A1563" s="8" t="str">
        <f>IFERROR(__xludf.DUMMYFUNCTION("""COMPUTED_VALUE"""),"CA-2015-157133")</f>
        <v>CA-2015-157133</v>
      </c>
      <c r="B1563" s="9">
        <f>IFERROR(__xludf.DUMMYFUNCTION("""COMPUTED_VALUE"""),42336.0)</f>
        <v>42336</v>
      </c>
      <c r="C1563" s="8" t="str">
        <f>IFERROR(__xludf.DUMMYFUNCTION("""COMPUTED_VALUE"""),"Lena Creighton")</f>
        <v>Lena Creighton</v>
      </c>
      <c r="D1563" s="8" t="str">
        <f>IFERROR(__xludf.DUMMYFUNCTION("""COMPUTED_VALUE"""),"Consumer")</f>
        <v>Consumer</v>
      </c>
      <c r="E1563" s="8" t="str">
        <f>IFERROR(__xludf.DUMMYFUNCTION("""COMPUTED_VALUE"""),"Central")</f>
        <v>Central</v>
      </c>
      <c r="F1563" s="10">
        <f>IFERROR(__xludf.DUMMYFUNCTION("""COMPUTED_VALUE"""),151.96)</f>
        <v>151.96</v>
      </c>
      <c r="G1563" s="11">
        <f>IFERROR(__xludf.DUMMYFUNCTION("""COMPUTED_VALUE"""),5.0)</f>
        <v>5</v>
      </c>
      <c r="H1563" s="11">
        <f>IFERROR(__xludf.DUMMYFUNCTION("""COMPUTED_VALUE"""),-182.352)</f>
        <v>-182.352</v>
      </c>
    </row>
    <row r="1564">
      <c r="A1564" s="8" t="str">
        <f>IFERROR(__xludf.DUMMYFUNCTION("""COMPUTED_VALUE"""),"CA-2015-157287")</f>
        <v>CA-2015-157287</v>
      </c>
      <c r="B1564" s="9">
        <f>IFERROR(__xludf.DUMMYFUNCTION("""COMPUTED_VALUE"""),42360.0)</f>
        <v>42360</v>
      </c>
      <c r="C1564" s="8" t="str">
        <f>IFERROR(__xludf.DUMMYFUNCTION("""COMPUTED_VALUE"""),"Harold Ryan")</f>
        <v>Harold Ryan</v>
      </c>
      <c r="D1564" s="8" t="str">
        <f>IFERROR(__xludf.DUMMYFUNCTION("""COMPUTED_VALUE"""),"Corporate")</f>
        <v>Corporate</v>
      </c>
      <c r="E1564" s="8" t="str">
        <f>IFERROR(__xludf.DUMMYFUNCTION("""COMPUTED_VALUE"""),"East")</f>
        <v>East</v>
      </c>
      <c r="F1564" s="10">
        <f>IFERROR(__xludf.DUMMYFUNCTION("""COMPUTED_VALUE"""),33.568)</f>
        <v>33.568</v>
      </c>
      <c r="G1564" s="11">
        <f>IFERROR(__xludf.DUMMYFUNCTION("""COMPUTED_VALUE"""),2.0)</f>
        <v>2</v>
      </c>
      <c r="H1564" s="11">
        <f>IFERROR(__xludf.DUMMYFUNCTION("""COMPUTED_VALUE"""),1.6784)</f>
        <v>1.6784</v>
      </c>
    </row>
    <row r="1565">
      <c r="A1565" s="8" t="str">
        <f>IFERROR(__xludf.DUMMYFUNCTION("""COMPUTED_VALUE"""),"CA-2015-157322")</f>
        <v>CA-2015-157322</v>
      </c>
      <c r="B1565" s="9">
        <f>IFERROR(__xludf.DUMMYFUNCTION("""COMPUTED_VALUE"""),42187.0)</f>
        <v>42187</v>
      </c>
      <c r="C1565" s="8" t="str">
        <f>IFERROR(__xludf.DUMMYFUNCTION("""COMPUTED_VALUE"""),"Rob Haberlin")</f>
        <v>Rob Haberlin</v>
      </c>
      <c r="D1565" s="8" t="str">
        <f>IFERROR(__xludf.DUMMYFUNCTION("""COMPUTED_VALUE"""),"Consumer")</f>
        <v>Consumer</v>
      </c>
      <c r="E1565" s="8" t="str">
        <f>IFERROR(__xludf.DUMMYFUNCTION("""COMPUTED_VALUE"""),"Central")</f>
        <v>Central</v>
      </c>
      <c r="F1565" s="10">
        <f>IFERROR(__xludf.DUMMYFUNCTION("""COMPUTED_VALUE"""),408.422)</f>
        <v>408.422</v>
      </c>
      <c r="G1565" s="11">
        <f>IFERROR(__xludf.DUMMYFUNCTION("""COMPUTED_VALUE"""),2.0)</f>
        <v>2</v>
      </c>
      <c r="H1565" s="11">
        <f>IFERROR(__xludf.DUMMYFUNCTION("""COMPUTED_VALUE"""),-5.8346)</f>
        <v>-5.8346</v>
      </c>
    </row>
    <row r="1566">
      <c r="A1566" s="8" t="str">
        <f>IFERROR(__xludf.DUMMYFUNCTION("""COMPUTED_VALUE"""),"CA-2015-157343")</f>
        <v>CA-2015-157343</v>
      </c>
      <c r="B1566" s="9">
        <f>IFERROR(__xludf.DUMMYFUNCTION("""COMPUTED_VALUE"""),42162.0)</f>
        <v>42162</v>
      </c>
      <c r="C1566" s="8" t="str">
        <f>IFERROR(__xludf.DUMMYFUNCTION("""COMPUTED_VALUE"""),"Harold Dahlen")</f>
        <v>Harold Dahlen</v>
      </c>
      <c r="D1566" s="8" t="str">
        <f>IFERROR(__xludf.DUMMYFUNCTION("""COMPUTED_VALUE"""),"Home Office")</f>
        <v>Home Office</v>
      </c>
      <c r="E1566" s="8" t="str">
        <f>IFERROR(__xludf.DUMMYFUNCTION("""COMPUTED_VALUE"""),"East")</f>
        <v>East</v>
      </c>
      <c r="F1566" s="10">
        <f>IFERROR(__xludf.DUMMYFUNCTION("""COMPUTED_VALUE"""),18.312)</f>
        <v>18.312</v>
      </c>
      <c r="G1566" s="11">
        <f>IFERROR(__xludf.DUMMYFUNCTION("""COMPUTED_VALUE"""),4.0)</f>
        <v>4</v>
      </c>
      <c r="H1566" s="11">
        <f>IFERROR(__xludf.DUMMYFUNCTION("""COMPUTED_VALUE"""),-12.208)</f>
        <v>-12.208</v>
      </c>
    </row>
    <row r="1567">
      <c r="A1567" s="8" t="str">
        <f>IFERROR(__xludf.DUMMYFUNCTION("""COMPUTED_VALUE"""),"CA-2015-157434")</f>
        <v>CA-2015-157434</v>
      </c>
      <c r="B1567" s="9">
        <f>IFERROR(__xludf.DUMMYFUNCTION("""COMPUTED_VALUE"""),42123.0)</f>
        <v>42123</v>
      </c>
      <c r="C1567" s="8" t="str">
        <f>IFERROR(__xludf.DUMMYFUNCTION("""COMPUTED_VALUE"""),"Jim Kriz")</f>
        <v>Jim Kriz</v>
      </c>
      <c r="D1567" s="8" t="str">
        <f>IFERROR(__xludf.DUMMYFUNCTION("""COMPUTED_VALUE"""),"Home Office")</f>
        <v>Home Office</v>
      </c>
      <c r="E1567" s="8" t="str">
        <f>IFERROR(__xludf.DUMMYFUNCTION("""COMPUTED_VALUE"""),"East")</f>
        <v>East</v>
      </c>
      <c r="F1567" s="10">
        <f>IFERROR(__xludf.DUMMYFUNCTION("""COMPUTED_VALUE"""),7.968)</f>
        <v>7.968</v>
      </c>
      <c r="G1567" s="11">
        <f>IFERROR(__xludf.DUMMYFUNCTION("""COMPUTED_VALUE"""),2.0)</f>
        <v>2</v>
      </c>
      <c r="H1567" s="11">
        <f>IFERROR(__xludf.DUMMYFUNCTION("""COMPUTED_VALUE"""),2.8884)</f>
        <v>2.8884</v>
      </c>
    </row>
    <row r="1568">
      <c r="A1568" s="8" t="str">
        <f>IFERROR(__xludf.DUMMYFUNCTION("""COMPUTED_VALUE"""),"CA-2015-157770")</f>
        <v>CA-2015-157770</v>
      </c>
      <c r="B1568" s="9">
        <f>IFERROR(__xludf.DUMMYFUNCTION("""COMPUTED_VALUE"""),42351.0)</f>
        <v>42351</v>
      </c>
      <c r="C1568" s="8" t="str">
        <f>IFERROR(__xludf.DUMMYFUNCTION("""COMPUTED_VALUE"""),"Rob Dowd")</f>
        <v>Rob Dowd</v>
      </c>
      <c r="D1568" s="8" t="str">
        <f>IFERROR(__xludf.DUMMYFUNCTION("""COMPUTED_VALUE"""),"Consumer")</f>
        <v>Consumer</v>
      </c>
      <c r="E1568" s="8" t="str">
        <f>IFERROR(__xludf.DUMMYFUNCTION("""COMPUTED_VALUE"""),"West")</f>
        <v>West</v>
      </c>
      <c r="F1568" s="10">
        <f>IFERROR(__xludf.DUMMYFUNCTION("""COMPUTED_VALUE"""),494.376)</f>
        <v>494.376</v>
      </c>
      <c r="G1568" s="11">
        <f>IFERROR(__xludf.DUMMYFUNCTION("""COMPUTED_VALUE"""),3.0)</f>
        <v>3</v>
      </c>
      <c r="H1568" s="11">
        <f>IFERROR(__xludf.DUMMYFUNCTION("""COMPUTED_VALUE"""),49.4376)</f>
        <v>49.4376</v>
      </c>
    </row>
    <row r="1569">
      <c r="A1569" s="8" t="str">
        <f>IFERROR(__xludf.DUMMYFUNCTION("""COMPUTED_VALUE"""),"CA-2015-157805")</f>
        <v>CA-2015-157805</v>
      </c>
      <c r="B1569" s="9">
        <f>IFERROR(__xludf.DUMMYFUNCTION("""COMPUTED_VALUE"""),42247.0)</f>
        <v>42247</v>
      </c>
      <c r="C1569" s="8" t="str">
        <f>IFERROR(__xludf.DUMMYFUNCTION("""COMPUTED_VALUE"""),"Rick Huthwaite")</f>
        <v>Rick Huthwaite</v>
      </c>
      <c r="D1569" s="8" t="str">
        <f>IFERROR(__xludf.DUMMYFUNCTION("""COMPUTED_VALUE"""),"Home Office")</f>
        <v>Home Office</v>
      </c>
      <c r="E1569" s="8" t="str">
        <f>IFERROR(__xludf.DUMMYFUNCTION("""COMPUTED_VALUE"""),"West")</f>
        <v>West</v>
      </c>
      <c r="F1569" s="10">
        <f>IFERROR(__xludf.DUMMYFUNCTION("""COMPUTED_VALUE"""),555.96)</f>
        <v>555.96</v>
      </c>
      <c r="G1569" s="11">
        <f>IFERROR(__xludf.DUMMYFUNCTION("""COMPUTED_VALUE"""),5.0)</f>
        <v>5</v>
      </c>
      <c r="H1569" s="11">
        <f>IFERROR(__xludf.DUMMYFUNCTION("""COMPUTED_VALUE"""),41.697)</f>
        <v>41.697</v>
      </c>
    </row>
    <row r="1570">
      <c r="A1570" s="8" t="str">
        <f>IFERROR(__xludf.DUMMYFUNCTION("""COMPUTED_VALUE"""),"CA-2015-157812")</f>
        <v>CA-2015-157812</v>
      </c>
      <c r="B1570" s="9">
        <f>IFERROR(__xludf.DUMMYFUNCTION("""COMPUTED_VALUE"""),42085.0)</f>
        <v>42085</v>
      </c>
      <c r="C1570" s="8" t="str">
        <f>IFERROR(__xludf.DUMMYFUNCTION("""COMPUTED_VALUE"""),"Dean Braden")</f>
        <v>Dean Braden</v>
      </c>
      <c r="D1570" s="8" t="str">
        <f>IFERROR(__xludf.DUMMYFUNCTION("""COMPUTED_VALUE"""),"Consumer")</f>
        <v>Consumer</v>
      </c>
      <c r="E1570" s="8" t="str">
        <f>IFERROR(__xludf.DUMMYFUNCTION("""COMPUTED_VALUE"""),"Central")</f>
        <v>Central</v>
      </c>
      <c r="F1570" s="10">
        <f>IFERROR(__xludf.DUMMYFUNCTION("""COMPUTED_VALUE"""),18.392)</f>
        <v>18.392</v>
      </c>
      <c r="G1570" s="11">
        <f>IFERROR(__xludf.DUMMYFUNCTION("""COMPUTED_VALUE"""),1.0)</f>
        <v>1</v>
      </c>
      <c r="H1570" s="11">
        <f>IFERROR(__xludf.DUMMYFUNCTION("""COMPUTED_VALUE"""),5.2877)</f>
        <v>5.2877</v>
      </c>
    </row>
    <row r="1571">
      <c r="A1571" s="8" t="str">
        <f>IFERROR(__xludf.DUMMYFUNCTION("""COMPUTED_VALUE"""),"CA-2015-157959")</f>
        <v>CA-2015-157959</v>
      </c>
      <c r="B1571" s="9">
        <f>IFERROR(__xludf.DUMMYFUNCTION("""COMPUTED_VALUE"""),42038.0)</f>
        <v>42038</v>
      </c>
      <c r="C1571" s="8" t="str">
        <f>IFERROR(__xludf.DUMMYFUNCTION("""COMPUTED_VALUE"""),"Rick Wilson")</f>
        <v>Rick Wilson</v>
      </c>
      <c r="D1571" s="8" t="str">
        <f>IFERROR(__xludf.DUMMYFUNCTION("""COMPUTED_VALUE"""),"Corporate")</f>
        <v>Corporate</v>
      </c>
      <c r="E1571" s="8" t="str">
        <f>IFERROR(__xludf.DUMMYFUNCTION("""COMPUTED_VALUE"""),"West")</f>
        <v>West</v>
      </c>
      <c r="F1571" s="10">
        <f>IFERROR(__xludf.DUMMYFUNCTION("""COMPUTED_VALUE"""),136.92)</f>
        <v>136.92</v>
      </c>
      <c r="G1571" s="11">
        <f>IFERROR(__xludf.DUMMYFUNCTION("""COMPUTED_VALUE"""),4.0)</f>
        <v>4</v>
      </c>
      <c r="H1571" s="11">
        <f>IFERROR(__xludf.DUMMYFUNCTION("""COMPUTED_VALUE"""),41.076)</f>
        <v>41.076</v>
      </c>
    </row>
    <row r="1572">
      <c r="A1572" s="8" t="str">
        <f>IFERROR(__xludf.DUMMYFUNCTION("""COMPUTED_VALUE"""),"CA-2015-158148")</f>
        <v>CA-2015-158148</v>
      </c>
      <c r="B1572" s="9">
        <f>IFERROR(__xludf.DUMMYFUNCTION("""COMPUTED_VALUE"""),42358.0)</f>
        <v>42358</v>
      </c>
      <c r="C1572" s="8" t="str">
        <f>IFERROR(__xludf.DUMMYFUNCTION("""COMPUTED_VALUE"""),"John Murray")</f>
        <v>John Murray</v>
      </c>
      <c r="D1572" s="8" t="str">
        <f>IFERROR(__xludf.DUMMYFUNCTION("""COMPUTED_VALUE"""),"Consumer")</f>
        <v>Consumer</v>
      </c>
      <c r="E1572" s="8" t="str">
        <f>IFERROR(__xludf.DUMMYFUNCTION("""COMPUTED_VALUE"""),"South")</f>
        <v>South</v>
      </c>
      <c r="F1572" s="10">
        <f>IFERROR(__xludf.DUMMYFUNCTION("""COMPUTED_VALUE"""),36.27)</f>
        <v>36.27</v>
      </c>
      <c r="G1572" s="11">
        <f>IFERROR(__xludf.DUMMYFUNCTION("""COMPUTED_VALUE"""),3.0)</f>
        <v>3</v>
      </c>
      <c r="H1572" s="11">
        <f>IFERROR(__xludf.DUMMYFUNCTION("""COMPUTED_VALUE"""),10.881)</f>
        <v>10.881</v>
      </c>
    </row>
    <row r="1573">
      <c r="A1573" s="8" t="str">
        <f>IFERROR(__xludf.DUMMYFUNCTION("""COMPUTED_VALUE"""),"CA-2015-158323")</f>
        <v>CA-2015-158323</v>
      </c>
      <c r="B1573" s="9">
        <f>IFERROR(__xludf.DUMMYFUNCTION("""COMPUTED_VALUE"""),42338.0)</f>
        <v>42338</v>
      </c>
      <c r="C1573" s="8" t="str">
        <f>IFERROR(__xludf.DUMMYFUNCTION("""COMPUTED_VALUE"""),"Ann Blume")</f>
        <v>Ann Blume</v>
      </c>
      <c r="D1573" s="8" t="str">
        <f>IFERROR(__xludf.DUMMYFUNCTION("""COMPUTED_VALUE"""),"Corporate")</f>
        <v>Corporate</v>
      </c>
      <c r="E1573" s="8" t="str">
        <f>IFERROR(__xludf.DUMMYFUNCTION("""COMPUTED_VALUE"""),"South")</f>
        <v>South</v>
      </c>
      <c r="F1573" s="10">
        <f>IFERROR(__xludf.DUMMYFUNCTION("""COMPUTED_VALUE"""),17.088)</f>
        <v>17.088</v>
      </c>
      <c r="G1573" s="11">
        <f>IFERROR(__xludf.DUMMYFUNCTION("""COMPUTED_VALUE"""),2.0)</f>
        <v>2</v>
      </c>
      <c r="H1573" s="11">
        <f>IFERROR(__xludf.DUMMYFUNCTION("""COMPUTED_VALUE"""),1.068)</f>
        <v>1.068</v>
      </c>
    </row>
    <row r="1574">
      <c r="A1574" s="8" t="str">
        <f>IFERROR(__xludf.DUMMYFUNCTION("""COMPUTED_VALUE"""),"CA-2015-158351")</f>
        <v>CA-2015-158351</v>
      </c>
      <c r="B1574" s="9">
        <f>IFERROR(__xludf.DUMMYFUNCTION("""COMPUTED_VALUE"""),42175.0)</f>
        <v>42175</v>
      </c>
      <c r="C1574" s="8" t="str">
        <f>IFERROR(__xludf.DUMMYFUNCTION("""COMPUTED_VALUE"""),"Becky Castell")</f>
        <v>Becky Castell</v>
      </c>
      <c r="D1574" s="8" t="str">
        <f>IFERROR(__xludf.DUMMYFUNCTION("""COMPUTED_VALUE"""),"Home Office")</f>
        <v>Home Office</v>
      </c>
      <c r="E1574" s="8" t="str">
        <f>IFERROR(__xludf.DUMMYFUNCTION("""COMPUTED_VALUE"""),"East")</f>
        <v>East</v>
      </c>
      <c r="F1574" s="10">
        <f>IFERROR(__xludf.DUMMYFUNCTION("""COMPUTED_VALUE"""),319.984)</f>
        <v>319.984</v>
      </c>
      <c r="G1574" s="11">
        <f>IFERROR(__xludf.DUMMYFUNCTION("""COMPUTED_VALUE"""),2.0)</f>
        <v>2</v>
      </c>
      <c r="H1574" s="11">
        <f>IFERROR(__xludf.DUMMYFUNCTION("""COMPUTED_VALUE"""),91.9954)</f>
        <v>91.9954</v>
      </c>
    </row>
    <row r="1575">
      <c r="A1575" s="8" t="str">
        <f>IFERROR(__xludf.DUMMYFUNCTION("""COMPUTED_VALUE"""),"CA-2015-158421")</f>
        <v>CA-2015-158421</v>
      </c>
      <c r="B1575" s="9">
        <f>IFERROR(__xludf.DUMMYFUNCTION("""COMPUTED_VALUE"""),42268.0)</f>
        <v>42268</v>
      </c>
      <c r="C1575" s="8" t="str">
        <f>IFERROR(__xludf.DUMMYFUNCTION("""COMPUTED_VALUE"""),"Giulietta Baptist")</f>
        <v>Giulietta Baptist</v>
      </c>
      <c r="D1575" s="8" t="str">
        <f>IFERROR(__xludf.DUMMYFUNCTION("""COMPUTED_VALUE"""),"Consumer")</f>
        <v>Consumer</v>
      </c>
      <c r="E1575" s="8" t="str">
        <f>IFERROR(__xludf.DUMMYFUNCTION("""COMPUTED_VALUE"""),"South")</f>
        <v>South</v>
      </c>
      <c r="F1575" s="10">
        <f>IFERROR(__xludf.DUMMYFUNCTION("""COMPUTED_VALUE"""),1690.04)</f>
        <v>1690.04</v>
      </c>
      <c r="G1575" s="11">
        <f>IFERROR(__xludf.DUMMYFUNCTION("""COMPUTED_VALUE"""),4.0)</f>
        <v>4</v>
      </c>
      <c r="H1575" s="11">
        <f>IFERROR(__xludf.DUMMYFUNCTION("""COMPUTED_VALUE"""),422.51)</f>
        <v>422.51</v>
      </c>
    </row>
    <row r="1576">
      <c r="A1576" s="8" t="str">
        <f>IFERROR(__xludf.DUMMYFUNCTION("""COMPUTED_VALUE"""),"CA-2015-158456")</f>
        <v>CA-2015-158456</v>
      </c>
      <c r="B1576" s="9">
        <f>IFERROR(__xludf.DUMMYFUNCTION("""COMPUTED_VALUE"""),42362.0)</f>
        <v>42362</v>
      </c>
      <c r="C1576" s="8" t="str">
        <f>IFERROR(__xludf.DUMMYFUNCTION("""COMPUTED_VALUE"""),"Kean Takahito")</f>
        <v>Kean Takahito</v>
      </c>
      <c r="D1576" s="8" t="str">
        <f>IFERROR(__xludf.DUMMYFUNCTION("""COMPUTED_VALUE"""),"Consumer")</f>
        <v>Consumer</v>
      </c>
      <c r="E1576" s="8" t="str">
        <f>IFERROR(__xludf.DUMMYFUNCTION("""COMPUTED_VALUE"""),"West")</f>
        <v>West</v>
      </c>
      <c r="F1576" s="10">
        <f>IFERROR(__xludf.DUMMYFUNCTION("""COMPUTED_VALUE"""),19.936)</f>
        <v>19.936</v>
      </c>
      <c r="G1576" s="11">
        <f>IFERROR(__xludf.DUMMYFUNCTION("""COMPUTED_VALUE"""),4.0)</f>
        <v>4</v>
      </c>
      <c r="H1576" s="11">
        <f>IFERROR(__xludf.DUMMYFUNCTION("""COMPUTED_VALUE"""),7.2268)</f>
        <v>7.2268</v>
      </c>
    </row>
    <row r="1577">
      <c r="A1577" s="8" t="str">
        <f>IFERROR(__xludf.DUMMYFUNCTION("""COMPUTED_VALUE"""),"CA-2015-158491")</f>
        <v>CA-2015-158491</v>
      </c>
      <c r="B1577" s="9">
        <f>IFERROR(__xludf.DUMMYFUNCTION("""COMPUTED_VALUE"""),42159.0)</f>
        <v>42159</v>
      </c>
      <c r="C1577" s="8" t="str">
        <f>IFERROR(__xludf.DUMMYFUNCTION("""COMPUTED_VALUE"""),"Becky Pak")</f>
        <v>Becky Pak</v>
      </c>
      <c r="D1577" s="8" t="str">
        <f>IFERROR(__xludf.DUMMYFUNCTION("""COMPUTED_VALUE"""),"Consumer")</f>
        <v>Consumer</v>
      </c>
      <c r="E1577" s="8" t="str">
        <f>IFERROR(__xludf.DUMMYFUNCTION("""COMPUTED_VALUE"""),"West")</f>
        <v>West</v>
      </c>
      <c r="F1577" s="10">
        <f>IFERROR(__xludf.DUMMYFUNCTION("""COMPUTED_VALUE"""),119.98)</f>
        <v>119.98</v>
      </c>
      <c r="G1577" s="11">
        <f>IFERROR(__xludf.DUMMYFUNCTION("""COMPUTED_VALUE"""),2.0)</f>
        <v>2</v>
      </c>
      <c r="H1577" s="11">
        <f>IFERROR(__xludf.DUMMYFUNCTION("""COMPUTED_VALUE"""),35.994)</f>
        <v>35.994</v>
      </c>
    </row>
    <row r="1578">
      <c r="A1578" s="8" t="str">
        <f>IFERROR(__xludf.DUMMYFUNCTION("""COMPUTED_VALUE"""),"CA-2015-158554")</f>
        <v>CA-2015-158554</v>
      </c>
      <c r="B1578" s="9">
        <f>IFERROR(__xludf.DUMMYFUNCTION("""COMPUTED_VALUE"""),42317.0)</f>
        <v>42317</v>
      </c>
      <c r="C1578" s="8" t="str">
        <f>IFERROR(__xludf.DUMMYFUNCTION("""COMPUTED_VALUE"""),"Charlotte Melton")</f>
        <v>Charlotte Melton</v>
      </c>
      <c r="D1578" s="8" t="str">
        <f>IFERROR(__xludf.DUMMYFUNCTION("""COMPUTED_VALUE"""),"Consumer")</f>
        <v>Consumer</v>
      </c>
      <c r="E1578" s="8" t="str">
        <f>IFERROR(__xludf.DUMMYFUNCTION("""COMPUTED_VALUE"""),"East")</f>
        <v>East</v>
      </c>
      <c r="F1578" s="10">
        <f>IFERROR(__xludf.DUMMYFUNCTION("""COMPUTED_VALUE"""),11.352)</f>
        <v>11.352</v>
      </c>
      <c r="G1578" s="11">
        <f>IFERROR(__xludf.DUMMYFUNCTION("""COMPUTED_VALUE"""),3.0)</f>
        <v>3</v>
      </c>
      <c r="H1578" s="11">
        <f>IFERROR(__xludf.DUMMYFUNCTION("""COMPUTED_VALUE"""),4.1151)</f>
        <v>4.1151</v>
      </c>
    </row>
    <row r="1579">
      <c r="A1579" s="8" t="str">
        <f>IFERROR(__xludf.DUMMYFUNCTION("""COMPUTED_VALUE"""),"CA-2015-158659")</f>
        <v>CA-2015-158659</v>
      </c>
      <c r="B1579" s="9">
        <f>IFERROR(__xludf.DUMMYFUNCTION("""COMPUTED_VALUE"""),42318.0)</f>
        <v>42318</v>
      </c>
      <c r="C1579" s="8" t="str">
        <f>IFERROR(__xludf.DUMMYFUNCTION("""COMPUTED_VALUE"""),"Steve Chapman")</f>
        <v>Steve Chapman</v>
      </c>
      <c r="D1579" s="8" t="str">
        <f>IFERROR(__xludf.DUMMYFUNCTION("""COMPUTED_VALUE"""),"Corporate")</f>
        <v>Corporate</v>
      </c>
      <c r="E1579" s="8" t="str">
        <f>IFERROR(__xludf.DUMMYFUNCTION("""COMPUTED_VALUE"""),"Central")</f>
        <v>Central</v>
      </c>
      <c r="F1579" s="10">
        <f>IFERROR(__xludf.DUMMYFUNCTION("""COMPUTED_VALUE"""),714.3)</f>
        <v>714.3</v>
      </c>
      <c r="G1579" s="11">
        <f>IFERROR(__xludf.DUMMYFUNCTION("""COMPUTED_VALUE"""),5.0)</f>
        <v>5</v>
      </c>
      <c r="H1579" s="11">
        <f>IFERROR(__xludf.DUMMYFUNCTION("""COMPUTED_VALUE"""),207.147)</f>
        <v>207.147</v>
      </c>
    </row>
    <row r="1580">
      <c r="A1580" s="8" t="str">
        <f>IFERROR(__xludf.DUMMYFUNCTION("""COMPUTED_VALUE"""),"CA-2015-158701")</f>
        <v>CA-2015-158701</v>
      </c>
      <c r="B1580" s="9">
        <f>IFERROR(__xludf.DUMMYFUNCTION("""COMPUTED_VALUE"""),42009.0)</f>
        <v>42009</v>
      </c>
      <c r="C1580" s="8" t="str">
        <f>IFERROR(__xludf.DUMMYFUNCTION("""COMPUTED_VALUE"""),"James Lanier")</f>
        <v>James Lanier</v>
      </c>
      <c r="D1580" s="8" t="str">
        <f>IFERROR(__xludf.DUMMYFUNCTION("""COMPUTED_VALUE"""),"Home Office")</f>
        <v>Home Office</v>
      </c>
      <c r="E1580" s="8" t="str">
        <f>IFERROR(__xludf.DUMMYFUNCTION("""COMPUTED_VALUE"""),"West")</f>
        <v>West</v>
      </c>
      <c r="F1580" s="10">
        <f>IFERROR(__xludf.DUMMYFUNCTION("""COMPUTED_VALUE"""),87.36)</f>
        <v>87.36</v>
      </c>
      <c r="G1580" s="11">
        <f>IFERROR(__xludf.DUMMYFUNCTION("""COMPUTED_VALUE"""),6.0)</f>
        <v>6</v>
      </c>
      <c r="H1580" s="11">
        <f>IFERROR(__xludf.DUMMYFUNCTION("""COMPUTED_VALUE"""),23.5872)</f>
        <v>23.5872</v>
      </c>
    </row>
    <row r="1581">
      <c r="A1581" s="8" t="str">
        <f>IFERROR(__xludf.DUMMYFUNCTION("""COMPUTED_VALUE"""),"CA-2015-158792")</f>
        <v>CA-2015-158792</v>
      </c>
      <c r="B1581" s="9">
        <f>IFERROR(__xludf.DUMMYFUNCTION("""COMPUTED_VALUE"""),42364.0)</f>
        <v>42364</v>
      </c>
      <c r="C1581" s="8" t="str">
        <f>IFERROR(__xludf.DUMMYFUNCTION("""COMPUTED_VALUE"""),"Brian Dahlen")</f>
        <v>Brian Dahlen</v>
      </c>
      <c r="D1581" s="8" t="str">
        <f>IFERROR(__xludf.DUMMYFUNCTION("""COMPUTED_VALUE"""),"Consumer")</f>
        <v>Consumer</v>
      </c>
      <c r="E1581" s="8" t="str">
        <f>IFERROR(__xludf.DUMMYFUNCTION("""COMPUTED_VALUE"""),"East")</f>
        <v>East</v>
      </c>
      <c r="F1581" s="10">
        <f>IFERROR(__xludf.DUMMYFUNCTION("""COMPUTED_VALUE"""),22.2)</f>
        <v>22.2</v>
      </c>
      <c r="G1581" s="11">
        <f>IFERROR(__xludf.DUMMYFUNCTION("""COMPUTED_VALUE"""),5.0)</f>
        <v>5</v>
      </c>
      <c r="H1581" s="11">
        <f>IFERROR(__xludf.DUMMYFUNCTION("""COMPUTED_VALUE"""),10.434)</f>
        <v>10.434</v>
      </c>
    </row>
    <row r="1582">
      <c r="A1582" s="8" t="str">
        <f>IFERROR(__xludf.DUMMYFUNCTION("""COMPUTED_VALUE"""),"CA-2015-158918")</f>
        <v>CA-2015-158918</v>
      </c>
      <c r="B1582" s="9">
        <f>IFERROR(__xludf.DUMMYFUNCTION("""COMPUTED_VALUE"""),42358.0)</f>
        <v>42358</v>
      </c>
      <c r="C1582" s="8" t="str">
        <f>IFERROR(__xludf.DUMMYFUNCTION("""COMPUTED_VALUE"""),"Arianne Irving")</f>
        <v>Arianne Irving</v>
      </c>
      <c r="D1582" s="8" t="str">
        <f>IFERROR(__xludf.DUMMYFUNCTION("""COMPUTED_VALUE"""),"Consumer")</f>
        <v>Consumer</v>
      </c>
      <c r="E1582" s="8" t="str">
        <f>IFERROR(__xludf.DUMMYFUNCTION("""COMPUTED_VALUE"""),"West")</f>
        <v>West</v>
      </c>
      <c r="F1582" s="10">
        <f>IFERROR(__xludf.DUMMYFUNCTION("""COMPUTED_VALUE"""),17.12)</f>
        <v>17.12</v>
      </c>
      <c r="G1582" s="11">
        <f>IFERROR(__xludf.DUMMYFUNCTION("""COMPUTED_VALUE"""),4.0)</f>
        <v>4</v>
      </c>
      <c r="H1582" s="11">
        <f>IFERROR(__xludf.DUMMYFUNCTION("""COMPUTED_VALUE"""),7.704)</f>
        <v>7.704</v>
      </c>
    </row>
    <row r="1583">
      <c r="A1583" s="8" t="str">
        <f>IFERROR(__xludf.DUMMYFUNCTION("""COMPUTED_VALUE"""),"CA-2015-158939")</f>
        <v>CA-2015-158939</v>
      </c>
      <c r="B1583" s="9">
        <f>IFERROR(__xludf.DUMMYFUNCTION("""COMPUTED_VALUE"""),42334.0)</f>
        <v>42334</v>
      </c>
      <c r="C1583" s="8" t="str">
        <f>IFERROR(__xludf.DUMMYFUNCTION("""COMPUTED_VALUE"""),"Erin Ashbrook")</f>
        <v>Erin Ashbrook</v>
      </c>
      <c r="D1583" s="8" t="str">
        <f>IFERROR(__xludf.DUMMYFUNCTION("""COMPUTED_VALUE"""),"Corporate")</f>
        <v>Corporate</v>
      </c>
      <c r="E1583" s="8" t="str">
        <f>IFERROR(__xludf.DUMMYFUNCTION("""COMPUTED_VALUE"""),"Central")</f>
        <v>Central</v>
      </c>
      <c r="F1583" s="10">
        <f>IFERROR(__xludf.DUMMYFUNCTION("""COMPUTED_VALUE"""),599.99)</f>
        <v>599.99</v>
      </c>
      <c r="G1583" s="11">
        <f>IFERROR(__xludf.DUMMYFUNCTION("""COMPUTED_VALUE"""),1.0)</f>
        <v>1</v>
      </c>
      <c r="H1583" s="11">
        <f>IFERROR(__xludf.DUMMYFUNCTION("""COMPUTED_VALUE"""),233.9961)</f>
        <v>233.9961</v>
      </c>
    </row>
    <row r="1584">
      <c r="A1584" s="8" t="str">
        <f>IFERROR(__xludf.DUMMYFUNCTION("""COMPUTED_VALUE"""),"CA-2015-159380")</f>
        <v>CA-2015-159380</v>
      </c>
      <c r="B1584" s="9">
        <f>IFERROR(__xludf.DUMMYFUNCTION("""COMPUTED_VALUE"""),42136.0)</f>
        <v>42136</v>
      </c>
      <c r="C1584" s="8" t="str">
        <f>IFERROR(__xludf.DUMMYFUNCTION("""COMPUTED_VALUE"""),"Cindy Stewart")</f>
        <v>Cindy Stewart</v>
      </c>
      <c r="D1584" s="8" t="str">
        <f>IFERROR(__xludf.DUMMYFUNCTION("""COMPUTED_VALUE"""),"Consumer")</f>
        <v>Consumer</v>
      </c>
      <c r="E1584" s="8" t="str">
        <f>IFERROR(__xludf.DUMMYFUNCTION("""COMPUTED_VALUE"""),"West")</f>
        <v>West</v>
      </c>
      <c r="F1584" s="10">
        <f>IFERROR(__xludf.DUMMYFUNCTION("""COMPUTED_VALUE"""),12.84)</f>
        <v>12.84</v>
      </c>
      <c r="G1584" s="11">
        <f>IFERROR(__xludf.DUMMYFUNCTION("""COMPUTED_VALUE"""),3.0)</f>
        <v>3</v>
      </c>
      <c r="H1584" s="11">
        <f>IFERROR(__xludf.DUMMYFUNCTION("""COMPUTED_VALUE"""),5.778)</f>
        <v>5.778</v>
      </c>
    </row>
    <row r="1585">
      <c r="A1585" s="8" t="str">
        <f>IFERROR(__xludf.DUMMYFUNCTION("""COMPUTED_VALUE"""),"CA-2015-159534")</f>
        <v>CA-2015-159534</v>
      </c>
      <c r="B1585" s="9">
        <f>IFERROR(__xludf.DUMMYFUNCTION("""COMPUTED_VALUE"""),42083.0)</f>
        <v>42083</v>
      </c>
      <c r="C1585" s="8" t="str">
        <f>IFERROR(__xludf.DUMMYFUNCTION("""COMPUTED_VALUE"""),"Dave Hallsten")</f>
        <v>Dave Hallsten</v>
      </c>
      <c r="D1585" s="8" t="str">
        <f>IFERROR(__xludf.DUMMYFUNCTION("""COMPUTED_VALUE"""),"Corporate")</f>
        <v>Corporate</v>
      </c>
      <c r="E1585" s="8" t="str">
        <f>IFERROR(__xludf.DUMMYFUNCTION("""COMPUTED_VALUE"""),"East")</f>
        <v>East</v>
      </c>
      <c r="F1585" s="10">
        <f>IFERROR(__xludf.DUMMYFUNCTION("""COMPUTED_VALUE"""),49.848)</f>
        <v>49.848</v>
      </c>
      <c r="G1585" s="11">
        <f>IFERROR(__xludf.DUMMYFUNCTION("""COMPUTED_VALUE"""),3.0)</f>
        <v>3</v>
      </c>
      <c r="H1585" s="11">
        <f>IFERROR(__xludf.DUMMYFUNCTION("""COMPUTED_VALUE"""),16.8237)</f>
        <v>16.8237</v>
      </c>
    </row>
    <row r="1586">
      <c r="A1586" s="8" t="str">
        <f>IFERROR(__xludf.DUMMYFUNCTION("""COMPUTED_VALUE"""),"CA-2015-159590")</f>
        <v>CA-2015-159590</v>
      </c>
      <c r="B1586" s="9">
        <f>IFERROR(__xludf.DUMMYFUNCTION("""COMPUTED_VALUE"""),42203.0)</f>
        <v>42203</v>
      </c>
      <c r="C1586" s="8" t="str">
        <f>IFERROR(__xludf.DUMMYFUNCTION("""COMPUTED_VALUE"""),"Karen Carlisle")</f>
        <v>Karen Carlisle</v>
      </c>
      <c r="D1586" s="8" t="str">
        <f>IFERROR(__xludf.DUMMYFUNCTION("""COMPUTED_VALUE"""),"Corporate")</f>
        <v>Corporate</v>
      </c>
      <c r="E1586" s="8" t="str">
        <f>IFERROR(__xludf.DUMMYFUNCTION("""COMPUTED_VALUE"""),"East")</f>
        <v>East</v>
      </c>
      <c r="F1586" s="10">
        <f>IFERROR(__xludf.DUMMYFUNCTION("""COMPUTED_VALUE"""),5.76)</f>
        <v>5.76</v>
      </c>
      <c r="G1586" s="11">
        <f>IFERROR(__xludf.DUMMYFUNCTION("""COMPUTED_VALUE"""),2.0)</f>
        <v>2</v>
      </c>
      <c r="H1586" s="11">
        <f>IFERROR(__xludf.DUMMYFUNCTION("""COMPUTED_VALUE"""),1.6128)</f>
        <v>1.6128</v>
      </c>
    </row>
    <row r="1587">
      <c r="A1587" s="8" t="str">
        <f>IFERROR(__xludf.DUMMYFUNCTION("""COMPUTED_VALUE"""),"CA-2015-159779")</f>
        <v>CA-2015-159779</v>
      </c>
      <c r="B1587" s="9">
        <f>IFERROR(__xludf.DUMMYFUNCTION("""COMPUTED_VALUE"""),42272.0)</f>
        <v>42272</v>
      </c>
      <c r="C1587" s="8" t="str">
        <f>IFERROR(__xludf.DUMMYFUNCTION("""COMPUTED_VALUE"""),"Sarah Brown")</f>
        <v>Sarah Brown</v>
      </c>
      <c r="D1587" s="8" t="str">
        <f>IFERROR(__xludf.DUMMYFUNCTION("""COMPUTED_VALUE"""),"Consumer")</f>
        <v>Consumer</v>
      </c>
      <c r="E1587" s="8" t="str">
        <f>IFERROR(__xludf.DUMMYFUNCTION("""COMPUTED_VALUE"""),"East")</f>
        <v>East</v>
      </c>
      <c r="F1587" s="10">
        <f>IFERROR(__xludf.DUMMYFUNCTION("""COMPUTED_VALUE"""),68.62)</f>
        <v>68.62</v>
      </c>
      <c r="G1587" s="11">
        <f>IFERROR(__xludf.DUMMYFUNCTION("""COMPUTED_VALUE"""),2.0)</f>
        <v>2</v>
      </c>
      <c r="H1587" s="11">
        <f>IFERROR(__xludf.DUMMYFUNCTION("""COMPUTED_VALUE"""),32.2514)</f>
        <v>32.2514</v>
      </c>
    </row>
    <row r="1588">
      <c r="A1588" s="8" t="str">
        <f>IFERROR(__xludf.DUMMYFUNCTION("""COMPUTED_VALUE"""),"CA-2015-159786")</f>
        <v>CA-2015-159786</v>
      </c>
      <c r="B1588" s="9">
        <f>IFERROR(__xludf.DUMMYFUNCTION("""COMPUTED_VALUE"""),42289.0)</f>
        <v>42289</v>
      </c>
      <c r="C1588" s="8" t="str">
        <f>IFERROR(__xludf.DUMMYFUNCTION("""COMPUTED_VALUE"""),"Ralph Kennedy")</f>
        <v>Ralph Kennedy</v>
      </c>
      <c r="D1588" s="8" t="str">
        <f>IFERROR(__xludf.DUMMYFUNCTION("""COMPUTED_VALUE"""),"Consumer")</f>
        <v>Consumer</v>
      </c>
      <c r="E1588" s="8" t="str">
        <f>IFERROR(__xludf.DUMMYFUNCTION("""COMPUTED_VALUE"""),"East")</f>
        <v>East</v>
      </c>
      <c r="F1588" s="10">
        <f>IFERROR(__xludf.DUMMYFUNCTION("""COMPUTED_VALUE"""),209.67)</f>
        <v>209.67</v>
      </c>
      <c r="G1588" s="11">
        <f>IFERROR(__xludf.DUMMYFUNCTION("""COMPUTED_VALUE"""),1.0)</f>
        <v>1</v>
      </c>
      <c r="H1588" s="11">
        <f>IFERROR(__xludf.DUMMYFUNCTION("""COMPUTED_VALUE"""),-13.978)</f>
        <v>-13.978</v>
      </c>
    </row>
    <row r="1589">
      <c r="A1589" s="8" t="str">
        <f>IFERROR(__xludf.DUMMYFUNCTION("""COMPUTED_VALUE"""),"CA-2015-159863")</f>
        <v>CA-2015-159863</v>
      </c>
      <c r="B1589" s="9">
        <f>IFERROR(__xludf.DUMMYFUNCTION("""COMPUTED_VALUE"""),42251.0)</f>
        <v>42251</v>
      </c>
      <c r="C1589" s="8" t="str">
        <f>IFERROR(__xludf.DUMMYFUNCTION("""COMPUTED_VALUE"""),"David Smith")</f>
        <v>David Smith</v>
      </c>
      <c r="D1589" s="8" t="str">
        <f>IFERROR(__xludf.DUMMYFUNCTION("""COMPUTED_VALUE"""),"Corporate")</f>
        <v>Corporate</v>
      </c>
      <c r="E1589" s="8" t="str">
        <f>IFERROR(__xludf.DUMMYFUNCTION("""COMPUTED_VALUE"""),"Central")</f>
        <v>Central</v>
      </c>
      <c r="F1589" s="10">
        <f>IFERROR(__xludf.DUMMYFUNCTION("""COMPUTED_VALUE"""),134.376)</f>
        <v>134.376</v>
      </c>
      <c r="G1589" s="11">
        <f>IFERROR(__xludf.DUMMYFUNCTION("""COMPUTED_VALUE"""),3.0)</f>
        <v>3</v>
      </c>
      <c r="H1589" s="11">
        <f>IFERROR(__xludf.DUMMYFUNCTION("""COMPUTED_VALUE"""),6.7188)</f>
        <v>6.7188</v>
      </c>
    </row>
    <row r="1590">
      <c r="A1590" s="8" t="str">
        <f>IFERROR(__xludf.DUMMYFUNCTION("""COMPUTED_VALUE"""),"CA-2015-160059")</f>
        <v>CA-2015-160059</v>
      </c>
      <c r="B1590" s="9">
        <f>IFERROR(__xludf.DUMMYFUNCTION("""COMPUTED_VALUE"""),42335.0)</f>
        <v>42335</v>
      </c>
      <c r="C1590" s="8" t="str">
        <f>IFERROR(__xludf.DUMMYFUNCTION("""COMPUTED_VALUE"""),"Thomas Brumley")</f>
        <v>Thomas Brumley</v>
      </c>
      <c r="D1590" s="8" t="str">
        <f>IFERROR(__xludf.DUMMYFUNCTION("""COMPUTED_VALUE"""),"Home Office")</f>
        <v>Home Office</v>
      </c>
      <c r="E1590" s="8" t="str">
        <f>IFERROR(__xludf.DUMMYFUNCTION("""COMPUTED_VALUE"""),"South")</f>
        <v>South</v>
      </c>
      <c r="F1590" s="10">
        <f>IFERROR(__xludf.DUMMYFUNCTION("""COMPUTED_VALUE"""),6.24)</f>
        <v>6.24</v>
      </c>
      <c r="G1590" s="11">
        <f>IFERROR(__xludf.DUMMYFUNCTION("""COMPUTED_VALUE"""),2.0)</f>
        <v>2</v>
      </c>
      <c r="H1590" s="11">
        <f>IFERROR(__xludf.DUMMYFUNCTION("""COMPUTED_VALUE"""),3.0576)</f>
        <v>3.0576</v>
      </c>
    </row>
    <row r="1591">
      <c r="A1591" s="8" t="str">
        <f>IFERROR(__xludf.DUMMYFUNCTION("""COMPUTED_VALUE"""),"CA-2015-160171")</f>
        <v>CA-2015-160171</v>
      </c>
      <c r="B1591" s="9">
        <f>IFERROR(__xludf.DUMMYFUNCTION("""COMPUTED_VALUE"""),42296.0)</f>
        <v>42296</v>
      </c>
      <c r="C1591" s="8" t="str">
        <f>IFERROR(__xludf.DUMMYFUNCTION("""COMPUTED_VALUE"""),"Robert Marley")</f>
        <v>Robert Marley</v>
      </c>
      <c r="D1591" s="8" t="str">
        <f>IFERROR(__xludf.DUMMYFUNCTION("""COMPUTED_VALUE"""),"Home Office")</f>
        <v>Home Office</v>
      </c>
      <c r="E1591" s="8" t="str">
        <f>IFERROR(__xludf.DUMMYFUNCTION("""COMPUTED_VALUE"""),"West")</f>
        <v>West</v>
      </c>
      <c r="F1591" s="10">
        <f>IFERROR(__xludf.DUMMYFUNCTION("""COMPUTED_VALUE"""),1640.7)</f>
        <v>1640.7</v>
      </c>
      <c r="G1591" s="11">
        <f>IFERROR(__xludf.DUMMYFUNCTION("""COMPUTED_VALUE"""),5.0)</f>
        <v>5</v>
      </c>
      <c r="H1591" s="11">
        <f>IFERROR(__xludf.DUMMYFUNCTION("""COMPUTED_VALUE"""),459.396)</f>
        <v>459.396</v>
      </c>
    </row>
    <row r="1592">
      <c r="A1592" s="8" t="str">
        <f>IFERROR(__xludf.DUMMYFUNCTION("""COMPUTED_VALUE"""),"CA-2015-160213")</f>
        <v>CA-2015-160213</v>
      </c>
      <c r="B1592" s="9">
        <f>IFERROR(__xludf.DUMMYFUNCTION("""COMPUTED_VALUE"""),42071.0)</f>
        <v>42071</v>
      </c>
      <c r="C1592" s="8" t="str">
        <f>IFERROR(__xludf.DUMMYFUNCTION("""COMPUTED_VALUE"""),"Anthony Rawles")</f>
        <v>Anthony Rawles</v>
      </c>
      <c r="D1592" s="8" t="str">
        <f>IFERROR(__xludf.DUMMYFUNCTION("""COMPUTED_VALUE"""),"Corporate")</f>
        <v>Corporate</v>
      </c>
      <c r="E1592" s="8" t="str">
        <f>IFERROR(__xludf.DUMMYFUNCTION("""COMPUTED_VALUE"""),"East")</f>
        <v>East</v>
      </c>
      <c r="F1592" s="10">
        <f>IFERROR(__xludf.DUMMYFUNCTION("""COMPUTED_VALUE"""),19.44)</f>
        <v>19.44</v>
      </c>
      <c r="G1592" s="11">
        <f>IFERROR(__xludf.DUMMYFUNCTION("""COMPUTED_VALUE"""),3.0)</f>
        <v>3</v>
      </c>
      <c r="H1592" s="11">
        <f>IFERROR(__xludf.DUMMYFUNCTION("""COMPUTED_VALUE"""),9.3312)</f>
        <v>9.3312</v>
      </c>
    </row>
    <row r="1593">
      <c r="A1593" s="8" t="str">
        <f>IFERROR(__xludf.DUMMYFUNCTION("""COMPUTED_VALUE"""),"CA-2015-160227")</f>
        <v>CA-2015-160227</v>
      </c>
      <c r="B1593" s="9">
        <f>IFERROR(__xludf.DUMMYFUNCTION("""COMPUTED_VALUE"""),42310.0)</f>
        <v>42310</v>
      </c>
      <c r="C1593" s="8" t="str">
        <f>IFERROR(__xludf.DUMMYFUNCTION("""COMPUTED_VALUE"""),"Emily Ducich")</f>
        <v>Emily Ducich</v>
      </c>
      <c r="D1593" s="8" t="str">
        <f>IFERROR(__xludf.DUMMYFUNCTION("""COMPUTED_VALUE"""),"Home Office")</f>
        <v>Home Office</v>
      </c>
      <c r="E1593" s="8" t="str">
        <f>IFERROR(__xludf.DUMMYFUNCTION("""COMPUTED_VALUE"""),"East")</f>
        <v>East</v>
      </c>
      <c r="F1593" s="10">
        <f>IFERROR(__xludf.DUMMYFUNCTION("""COMPUTED_VALUE"""),2621.322)</f>
        <v>2621.322</v>
      </c>
      <c r="G1593" s="11">
        <f>IFERROR(__xludf.DUMMYFUNCTION("""COMPUTED_VALUE"""),11.0)</f>
        <v>11</v>
      </c>
      <c r="H1593" s="11">
        <f>IFERROR(__xludf.DUMMYFUNCTION("""COMPUTED_VALUE"""),553.3902)</f>
        <v>553.3902</v>
      </c>
    </row>
    <row r="1594">
      <c r="A1594" s="8" t="str">
        <f>IFERROR(__xludf.DUMMYFUNCTION("""COMPUTED_VALUE"""),"CA-2015-160472")</f>
        <v>CA-2015-160472</v>
      </c>
      <c r="B1594" s="9">
        <f>IFERROR(__xludf.DUMMYFUNCTION("""COMPUTED_VALUE"""),42205.0)</f>
        <v>42205</v>
      </c>
      <c r="C1594" s="8" t="str">
        <f>IFERROR(__xludf.DUMMYFUNCTION("""COMPUTED_VALUE"""),"Ralph Kennedy")</f>
        <v>Ralph Kennedy</v>
      </c>
      <c r="D1594" s="8" t="str">
        <f>IFERROR(__xludf.DUMMYFUNCTION("""COMPUTED_VALUE"""),"Consumer")</f>
        <v>Consumer</v>
      </c>
      <c r="E1594" s="8" t="str">
        <f>IFERROR(__xludf.DUMMYFUNCTION("""COMPUTED_VALUE"""),"Central")</f>
        <v>Central</v>
      </c>
      <c r="F1594" s="10">
        <f>IFERROR(__xludf.DUMMYFUNCTION("""COMPUTED_VALUE"""),34.76)</f>
        <v>34.76</v>
      </c>
      <c r="G1594" s="11">
        <f>IFERROR(__xludf.DUMMYFUNCTION("""COMPUTED_VALUE"""),1.0)</f>
        <v>1</v>
      </c>
      <c r="H1594" s="11">
        <f>IFERROR(__xludf.DUMMYFUNCTION("""COMPUTED_VALUE"""),9.7328)</f>
        <v>9.7328</v>
      </c>
    </row>
    <row r="1595">
      <c r="A1595" s="8" t="str">
        <f>IFERROR(__xludf.DUMMYFUNCTION("""COMPUTED_VALUE"""),"CA-2015-160696")</f>
        <v>CA-2015-160696</v>
      </c>
      <c r="B1595" s="9">
        <f>IFERROR(__xludf.DUMMYFUNCTION("""COMPUTED_VALUE"""),42253.0)</f>
        <v>42253</v>
      </c>
      <c r="C1595" s="8" t="str">
        <f>IFERROR(__xludf.DUMMYFUNCTION("""COMPUTED_VALUE"""),"Cyma Kinney")</f>
        <v>Cyma Kinney</v>
      </c>
      <c r="D1595" s="8" t="str">
        <f>IFERROR(__xludf.DUMMYFUNCTION("""COMPUTED_VALUE"""),"Corporate")</f>
        <v>Corporate</v>
      </c>
      <c r="E1595" s="8" t="str">
        <f>IFERROR(__xludf.DUMMYFUNCTION("""COMPUTED_VALUE"""),"South")</f>
        <v>South</v>
      </c>
      <c r="F1595" s="10">
        <f>IFERROR(__xludf.DUMMYFUNCTION("""COMPUTED_VALUE"""),7.24)</f>
        <v>7.24</v>
      </c>
      <c r="G1595" s="11">
        <f>IFERROR(__xludf.DUMMYFUNCTION("""COMPUTED_VALUE"""),5.0)</f>
        <v>5</v>
      </c>
      <c r="H1595" s="11">
        <f>IFERROR(__xludf.DUMMYFUNCTION("""COMPUTED_VALUE"""),1.1765)</f>
        <v>1.1765</v>
      </c>
    </row>
    <row r="1596">
      <c r="A1596" s="8" t="str">
        <f>IFERROR(__xludf.DUMMYFUNCTION("""COMPUTED_VALUE"""),"CA-2015-160787")</f>
        <v>CA-2015-160787</v>
      </c>
      <c r="B1596" s="9">
        <f>IFERROR(__xludf.DUMMYFUNCTION("""COMPUTED_VALUE"""),42272.0)</f>
        <v>42272</v>
      </c>
      <c r="C1596" s="8" t="str">
        <f>IFERROR(__xludf.DUMMYFUNCTION("""COMPUTED_VALUE"""),"Bryan Mills")</f>
        <v>Bryan Mills</v>
      </c>
      <c r="D1596" s="8" t="str">
        <f>IFERROR(__xludf.DUMMYFUNCTION("""COMPUTED_VALUE"""),"Consumer")</f>
        <v>Consumer</v>
      </c>
      <c r="E1596" s="8" t="str">
        <f>IFERROR(__xludf.DUMMYFUNCTION("""COMPUTED_VALUE"""),"East")</f>
        <v>East</v>
      </c>
      <c r="F1596" s="10">
        <f>IFERROR(__xludf.DUMMYFUNCTION("""COMPUTED_VALUE"""),2.946)</f>
        <v>2.946</v>
      </c>
      <c r="G1596" s="11">
        <f>IFERROR(__xludf.DUMMYFUNCTION("""COMPUTED_VALUE"""),2.0)</f>
        <v>2</v>
      </c>
      <c r="H1596" s="11">
        <f>IFERROR(__xludf.DUMMYFUNCTION("""COMPUTED_VALUE"""),-2.0622)</f>
        <v>-2.0622</v>
      </c>
    </row>
    <row r="1597">
      <c r="A1597" s="8" t="str">
        <f>IFERROR(__xludf.DUMMYFUNCTION("""COMPUTED_VALUE"""),"CA-2015-160794")</f>
        <v>CA-2015-160794</v>
      </c>
      <c r="B1597" s="9">
        <f>IFERROR(__xludf.DUMMYFUNCTION("""COMPUTED_VALUE"""),42222.0)</f>
        <v>42222</v>
      </c>
      <c r="C1597" s="8" t="str">
        <f>IFERROR(__xludf.DUMMYFUNCTION("""COMPUTED_VALUE"""),"Michael Stewart")</f>
        <v>Michael Stewart</v>
      </c>
      <c r="D1597" s="8" t="str">
        <f>IFERROR(__xludf.DUMMYFUNCTION("""COMPUTED_VALUE"""),"Corporate")</f>
        <v>Corporate</v>
      </c>
      <c r="E1597" s="8" t="str">
        <f>IFERROR(__xludf.DUMMYFUNCTION("""COMPUTED_VALUE"""),"Central")</f>
        <v>Central</v>
      </c>
      <c r="F1597" s="10">
        <f>IFERROR(__xludf.DUMMYFUNCTION("""COMPUTED_VALUE"""),27.216)</f>
        <v>27.216</v>
      </c>
      <c r="G1597" s="11">
        <f>IFERROR(__xludf.DUMMYFUNCTION("""COMPUTED_VALUE"""),3.0)</f>
        <v>3</v>
      </c>
      <c r="H1597" s="11">
        <f>IFERROR(__xludf.DUMMYFUNCTION("""COMPUTED_VALUE"""),9.8658)</f>
        <v>9.8658</v>
      </c>
    </row>
    <row r="1598">
      <c r="A1598" s="8" t="str">
        <f>IFERROR(__xludf.DUMMYFUNCTION("""COMPUTED_VALUE"""),"CA-2015-160864")</f>
        <v>CA-2015-160864</v>
      </c>
      <c r="B1598" s="9">
        <f>IFERROR(__xludf.DUMMYFUNCTION("""COMPUTED_VALUE"""),42127.0)</f>
        <v>42127</v>
      </c>
      <c r="C1598" s="8" t="str">
        <f>IFERROR(__xludf.DUMMYFUNCTION("""COMPUTED_VALUE"""),"Nicole Fjeld")</f>
        <v>Nicole Fjeld</v>
      </c>
      <c r="D1598" s="8" t="str">
        <f>IFERROR(__xludf.DUMMYFUNCTION("""COMPUTED_VALUE"""),"Home Office")</f>
        <v>Home Office</v>
      </c>
      <c r="E1598" s="8" t="str">
        <f>IFERROR(__xludf.DUMMYFUNCTION("""COMPUTED_VALUE"""),"West")</f>
        <v>West</v>
      </c>
      <c r="F1598" s="10">
        <f>IFERROR(__xludf.DUMMYFUNCTION("""COMPUTED_VALUE"""),13.848)</f>
        <v>13.848</v>
      </c>
      <c r="G1598" s="11">
        <f>IFERROR(__xludf.DUMMYFUNCTION("""COMPUTED_VALUE"""),3.0)</f>
        <v>3</v>
      </c>
      <c r="H1598" s="11">
        <f>IFERROR(__xludf.DUMMYFUNCTION("""COMPUTED_VALUE"""),5.193)</f>
        <v>5.193</v>
      </c>
    </row>
    <row r="1599">
      <c r="A1599" s="8" t="str">
        <f>IFERROR(__xludf.DUMMYFUNCTION("""COMPUTED_VALUE"""),"CA-2015-161214")</f>
        <v>CA-2015-161214</v>
      </c>
      <c r="B1599" s="9">
        <f>IFERROR(__xludf.DUMMYFUNCTION("""COMPUTED_VALUE"""),42282.0)</f>
        <v>42282</v>
      </c>
      <c r="C1599" s="8" t="str">
        <f>IFERROR(__xludf.DUMMYFUNCTION("""COMPUTED_VALUE"""),"Sylvia Foulston")</f>
        <v>Sylvia Foulston</v>
      </c>
      <c r="D1599" s="8" t="str">
        <f>IFERROR(__xludf.DUMMYFUNCTION("""COMPUTED_VALUE"""),"Corporate")</f>
        <v>Corporate</v>
      </c>
      <c r="E1599" s="8" t="str">
        <f>IFERROR(__xludf.DUMMYFUNCTION("""COMPUTED_VALUE"""),"East")</f>
        <v>East</v>
      </c>
      <c r="F1599" s="10">
        <f>IFERROR(__xludf.DUMMYFUNCTION("""COMPUTED_VALUE"""),77.55)</f>
        <v>77.55</v>
      </c>
      <c r="G1599" s="11">
        <f>IFERROR(__xludf.DUMMYFUNCTION("""COMPUTED_VALUE"""),5.0)</f>
        <v>5</v>
      </c>
      <c r="H1599" s="11">
        <f>IFERROR(__xludf.DUMMYFUNCTION("""COMPUTED_VALUE"""),21.714)</f>
        <v>21.714</v>
      </c>
    </row>
    <row r="1600">
      <c r="A1600" s="8" t="str">
        <f>IFERROR(__xludf.DUMMYFUNCTION("""COMPUTED_VALUE"""),"CA-2015-161242")</f>
        <v>CA-2015-161242</v>
      </c>
      <c r="B1600" s="9">
        <f>IFERROR(__xludf.DUMMYFUNCTION("""COMPUTED_VALUE"""),42156.0)</f>
        <v>42156</v>
      </c>
      <c r="C1600" s="8" t="str">
        <f>IFERROR(__xludf.DUMMYFUNCTION("""COMPUTED_VALUE"""),"Catherine Glotzbach")</f>
        <v>Catherine Glotzbach</v>
      </c>
      <c r="D1600" s="8" t="str">
        <f>IFERROR(__xludf.DUMMYFUNCTION("""COMPUTED_VALUE"""),"Home Office")</f>
        <v>Home Office</v>
      </c>
      <c r="E1600" s="8" t="str">
        <f>IFERROR(__xludf.DUMMYFUNCTION("""COMPUTED_VALUE"""),"West")</f>
        <v>West</v>
      </c>
      <c r="F1600" s="10">
        <f>IFERROR(__xludf.DUMMYFUNCTION("""COMPUTED_VALUE"""),11.76)</f>
        <v>11.76</v>
      </c>
      <c r="G1600" s="11">
        <f>IFERROR(__xludf.DUMMYFUNCTION("""COMPUTED_VALUE"""),2.0)</f>
        <v>2</v>
      </c>
      <c r="H1600" s="11">
        <f>IFERROR(__xludf.DUMMYFUNCTION("""COMPUTED_VALUE"""),5.7624)</f>
        <v>5.7624</v>
      </c>
    </row>
    <row r="1601">
      <c r="A1601" s="8" t="str">
        <f>IFERROR(__xludf.DUMMYFUNCTION("""COMPUTED_VALUE"""),"CA-2015-161263")</f>
        <v>CA-2015-161263</v>
      </c>
      <c r="B1601" s="9">
        <f>IFERROR(__xludf.DUMMYFUNCTION("""COMPUTED_VALUE"""),42110.0)</f>
        <v>42110</v>
      </c>
      <c r="C1601" s="8" t="str">
        <f>IFERROR(__xludf.DUMMYFUNCTION("""COMPUTED_VALUE"""),"Theresa Swint")</f>
        <v>Theresa Swint</v>
      </c>
      <c r="D1601" s="8" t="str">
        <f>IFERROR(__xludf.DUMMYFUNCTION("""COMPUTED_VALUE"""),"Corporate")</f>
        <v>Corporate</v>
      </c>
      <c r="E1601" s="8" t="str">
        <f>IFERROR(__xludf.DUMMYFUNCTION("""COMPUTED_VALUE"""),"East")</f>
        <v>East</v>
      </c>
      <c r="F1601" s="10">
        <f>IFERROR(__xludf.DUMMYFUNCTION("""COMPUTED_VALUE"""),45.216)</f>
        <v>45.216</v>
      </c>
      <c r="G1601" s="11">
        <f>IFERROR(__xludf.DUMMYFUNCTION("""COMPUTED_VALUE"""),3.0)</f>
        <v>3</v>
      </c>
      <c r="H1601" s="11">
        <f>IFERROR(__xludf.DUMMYFUNCTION("""COMPUTED_VALUE"""),4.5216)</f>
        <v>4.5216</v>
      </c>
    </row>
    <row r="1602">
      <c r="A1602" s="8" t="str">
        <f>IFERROR(__xludf.DUMMYFUNCTION("""COMPUTED_VALUE"""),"CA-2015-161445")</f>
        <v>CA-2015-161445</v>
      </c>
      <c r="B1602" s="9">
        <f>IFERROR(__xludf.DUMMYFUNCTION("""COMPUTED_VALUE"""),42254.0)</f>
        <v>42254</v>
      </c>
      <c r="C1602" s="8" t="str">
        <f>IFERROR(__xludf.DUMMYFUNCTION("""COMPUTED_VALUE"""),"Corey Catlett")</f>
        <v>Corey Catlett</v>
      </c>
      <c r="D1602" s="8" t="str">
        <f>IFERROR(__xludf.DUMMYFUNCTION("""COMPUTED_VALUE"""),"Corporate")</f>
        <v>Corporate</v>
      </c>
      <c r="E1602" s="8" t="str">
        <f>IFERROR(__xludf.DUMMYFUNCTION("""COMPUTED_VALUE"""),"South")</f>
        <v>South</v>
      </c>
      <c r="F1602" s="10">
        <f>IFERROR(__xludf.DUMMYFUNCTION("""COMPUTED_VALUE"""),140.736)</f>
        <v>140.736</v>
      </c>
      <c r="G1602" s="11">
        <f>IFERROR(__xludf.DUMMYFUNCTION("""COMPUTED_VALUE"""),4.0)</f>
        <v>4</v>
      </c>
      <c r="H1602" s="11">
        <f>IFERROR(__xludf.DUMMYFUNCTION("""COMPUTED_VALUE"""),12.3144)</f>
        <v>12.3144</v>
      </c>
    </row>
    <row r="1603">
      <c r="A1603" s="8" t="str">
        <f>IFERROR(__xludf.DUMMYFUNCTION("""COMPUTED_VALUE"""),"CA-2015-161452")</f>
        <v>CA-2015-161452</v>
      </c>
      <c r="B1603" s="9">
        <f>IFERROR(__xludf.DUMMYFUNCTION("""COMPUTED_VALUE"""),42099.0)</f>
        <v>42099</v>
      </c>
      <c r="C1603" s="8" t="str">
        <f>IFERROR(__xludf.DUMMYFUNCTION("""COMPUTED_VALUE"""),"Carol Adams")</f>
        <v>Carol Adams</v>
      </c>
      <c r="D1603" s="8" t="str">
        <f>IFERROR(__xludf.DUMMYFUNCTION("""COMPUTED_VALUE"""),"Corporate")</f>
        <v>Corporate</v>
      </c>
      <c r="E1603" s="8" t="str">
        <f>IFERROR(__xludf.DUMMYFUNCTION("""COMPUTED_VALUE"""),"West")</f>
        <v>West</v>
      </c>
      <c r="F1603" s="10">
        <f>IFERROR(__xludf.DUMMYFUNCTION("""COMPUTED_VALUE"""),892.224)</f>
        <v>892.224</v>
      </c>
      <c r="G1603" s="11">
        <f>IFERROR(__xludf.DUMMYFUNCTION("""COMPUTED_VALUE"""),3.0)</f>
        <v>3</v>
      </c>
      <c r="H1603" s="11">
        <f>IFERROR(__xludf.DUMMYFUNCTION("""COMPUTED_VALUE"""),89.2224)</f>
        <v>89.2224</v>
      </c>
    </row>
    <row r="1604">
      <c r="A1604" s="8" t="str">
        <f>IFERROR(__xludf.DUMMYFUNCTION("""COMPUTED_VALUE"""),"CA-2015-161627")</f>
        <v>CA-2015-161627</v>
      </c>
      <c r="B1604" s="9">
        <f>IFERROR(__xludf.DUMMYFUNCTION("""COMPUTED_VALUE"""),42191.0)</f>
        <v>42191</v>
      </c>
      <c r="C1604" s="8" t="str">
        <f>IFERROR(__xludf.DUMMYFUNCTION("""COMPUTED_VALUE"""),"Sarah Jordon")</f>
        <v>Sarah Jordon</v>
      </c>
      <c r="D1604" s="8" t="str">
        <f>IFERROR(__xludf.DUMMYFUNCTION("""COMPUTED_VALUE"""),"Consumer")</f>
        <v>Consumer</v>
      </c>
      <c r="E1604" s="8" t="str">
        <f>IFERROR(__xludf.DUMMYFUNCTION("""COMPUTED_VALUE"""),"West")</f>
        <v>West</v>
      </c>
      <c r="F1604" s="10">
        <f>IFERROR(__xludf.DUMMYFUNCTION("""COMPUTED_VALUE"""),170.352)</f>
        <v>170.352</v>
      </c>
      <c r="G1604" s="11">
        <f>IFERROR(__xludf.DUMMYFUNCTION("""COMPUTED_VALUE"""),3.0)</f>
        <v>3</v>
      </c>
      <c r="H1604" s="11">
        <f>IFERROR(__xludf.DUMMYFUNCTION("""COMPUTED_VALUE"""),-17.0352)</f>
        <v>-17.0352</v>
      </c>
    </row>
    <row r="1605">
      <c r="A1605" s="8" t="str">
        <f>IFERROR(__xludf.DUMMYFUNCTION("""COMPUTED_VALUE"""),"CA-2015-161711")</f>
        <v>CA-2015-161711</v>
      </c>
      <c r="B1605" s="9">
        <f>IFERROR(__xludf.DUMMYFUNCTION("""COMPUTED_VALUE"""),42336.0)</f>
        <v>42336</v>
      </c>
      <c r="C1605" s="8" t="str">
        <f>IFERROR(__xludf.DUMMYFUNCTION("""COMPUTED_VALUE"""),"Mark Cousins")</f>
        <v>Mark Cousins</v>
      </c>
      <c r="D1605" s="8" t="str">
        <f>IFERROR(__xludf.DUMMYFUNCTION("""COMPUTED_VALUE"""),"Corporate")</f>
        <v>Corporate</v>
      </c>
      <c r="E1605" s="8" t="str">
        <f>IFERROR(__xludf.DUMMYFUNCTION("""COMPUTED_VALUE"""),"East")</f>
        <v>East</v>
      </c>
      <c r="F1605" s="10">
        <f>IFERROR(__xludf.DUMMYFUNCTION("""COMPUTED_VALUE"""),68.16)</f>
        <v>68.16</v>
      </c>
      <c r="G1605" s="11">
        <f>IFERROR(__xludf.DUMMYFUNCTION("""COMPUTED_VALUE"""),3.0)</f>
        <v>3</v>
      </c>
      <c r="H1605" s="11">
        <f>IFERROR(__xludf.DUMMYFUNCTION("""COMPUTED_VALUE"""),27.9456)</f>
        <v>27.9456</v>
      </c>
    </row>
    <row r="1606">
      <c r="A1606" s="8" t="str">
        <f>IFERROR(__xludf.DUMMYFUNCTION("""COMPUTED_VALUE"""),"CA-2015-161718")</f>
        <v>CA-2015-161718</v>
      </c>
      <c r="B1606" s="9">
        <f>IFERROR(__xludf.DUMMYFUNCTION("""COMPUTED_VALUE"""),42342.0)</f>
        <v>42342</v>
      </c>
      <c r="C1606" s="8" t="str">
        <f>IFERROR(__xludf.DUMMYFUNCTION("""COMPUTED_VALUE"""),"Sean O'Donnell")</f>
        <v>Sean O'Donnell</v>
      </c>
      <c r="D1606" s="8" t="str">
        <f>IFERROR(__xludf.DUMMYFUNCTION("""COMPUTED_VALUE"""),"Consumer")</f>
        <v>Consumer</v>
      </c>
      <c r="E1606" s="8" t="str">
        <f>IFERROR(__xludf.DUMMYFUNCTION("""COMPUTED_VALUE"""),"East")</f>
        <v>East</v>
      </c>
      <c r="F1606" s="10">
        <f>IFERROR(__xludf.DUMMYFUNCTION("""COMPUTED_VALUE"""),28.44)</f>
        <v>28.44</v>
      </c>
      <c r="G1606" s="11">
        <f>IFERROR(__xludf.DUMMYFUNCTION("""COMPUTED_VALUE"""),3.0)</f>
        <v>3</v>
      </c>
      <c r="H1606" s="11">
        <f>IFERROR(__xludf.DUMMYFUNCTION("""COMPUTED_VALUE"""),11.376)</f>
        <v>11.376</v>
      </c>
    </row>
    <row r="1607">
      <c r="A1607" s="8" t="str">
        <f>IFERROR(__xludf.DUMMYFUNCTION("""COMPUTED_VALUE"""),"CA-2015-161767")</f>
        <v>CA-2015-161767</v>
      </c>
      <c r="B1607" s="9">
        <f>IFERROR(__xludf.DUMMYFUNCTION("""COMPUTED_VALUE"""),42328.0)</f>
        <v>42328</v>
      </c>
      <c r="C1607" s="8" t="str">
        <f>IFERROR(__xludf.DUMMYFUNCTION("""COMPUTED_VALUE"""),"Grace Kelly")</f>
        <v>Grace Kelly</v>
      </c>
      <c r="D1607" s="8" t="str">
        <f>IFERROR(__xludf.DUMMYFUNCTION("""COMPUTED_VALUE"""),"Corporate")</f>
        <v>Corporate</v>
      </c>
      <c r="E1607" s="8" t="str">
        <f>IFERROR(__xludf.DUMMYFUNCTION("""COMPUTED_VALUE"""),"Central")</f>
        <v>Central</v>
      </c>
      <c r="F1607" s="10">
        <f>IFERROR(__xludf.DUMMYFUNCTION("""COMPUTED_VALUE"""),479.988)</f>
        <v>479.988</v>
      </c>
      <c r="G1607" s="11">
        <f>IFERROR(__xludf.DUMMYFUNCTION("""COMPUTED_VALUE"""),2.0)</f>
        <v>2</v>
      </c>
      <c r="H1607" s="11">
        <f>IFERROR(__xludf.DUMMYFUNCTION("""COMPUTED_VALUE"""),55.9986)</f>
        <v>55.9986</v>
      </c>
    </row>
    <row r="1608">
      <c r="A1608" s="8" t="str">
        <f>IFERROR(__xludf.DUMMYFUNCTION("""COMPUTED_VALUE"""),"CA-2015-161795")</f>
        <v>CA-2015-161795</v>
      </c>
      <c r="B1608" s="9">
        <f>IFERROR(__xludf.DUMMYFUNCTION("""COMPUTED_VALUE"""),42359.0)</f>
        <v>42359</v>
      </c>
      <c r="C1608" s="8" t="str">
        <f>IFERROR(__xludf.DUMMYFUNCTION("""COMPUTED_VALUE"""),"Adam Hart")</f>
        <v>Adam Hart</v>
      </c>
      <c r="D1608" s="8" t="str">
        <f>IFERROR(__xludf.DUMMYFUNCTION("""COMPUTED_VALUE"""),"Corporate")</f>
        <v>Corporate</v>
      </c>
      <c r="E1608" s="8" t="str">
        <f>IFERROR(__xludf.DUMMYFUNCTION("""COMPUTED_VALUE"""),"East")</f>
        <v>East</v>
      </c>
      <c r="F1608" s="10">
        <f>IFERROR(__xludf.DUMMYFUNCTION("""COMPUTED_VALUE"""),3.008)</f>
        <v>3.008</v>
      </c>
      <c r="G1608" s="11">
        <f>IFERROR(__xludf.DUMMYFUNCTION("""COMPUTED_VALUE"""),2.0)</f>
        <v>2</v>
      </c>
      <c r="H1608" s="11">
        <f>IFERROR(__xludf.DUMMYFUNCTION("""COMPUTED_VALUE"""),0.3384)</f>
        <v>0.3384</v>
      </c>
    </row>
    <row r="1609">
      <c r="A1609" s="8" t="str">
        <f>IFERROR(__xludf.DUMMYFUNCTION("""COMPUTED_VALUE"""),"CA-2015-161830")</f>
        <v>CA-2015-161830</v>
      </c>
      <c r="B1609" s="9">
        <f>IFERROR(__xludf.DUMMYFUNCTION("""COMPUTED_VALUE"""),42271.0)</f>
        <v>42271</v>
      </c>
      <c r="C1609" s="8" t="str">
        <f>IFERROR(__xludf.DUMMYFUNCTION("""COMPUTED_VALUE"""),"Max Engle")</f>
        <v>Max Engle</v>
      </c>
      <c r="D1609" s="8" t="str">
        <f>IFERROR(__xludf.DUMMYFUNCTION("""COMPUTED_VALUE"""),"Consumer")</f>
        <v>Consumer</v>
      </c>
      <c r="E1609" s="8" t="str">
        <f>IFERROR(__xludf.DUMMYFUNCTION("""COMPUTED_VALUE"""),"West")</f>
        <v>West</v>
      </c>
      <c r="F1609" s="10">
        <f>IFERROR(__xludf.DUMMYFUNCTION("""COMPUTED_VALUE"""),35.96)</f>
        <v>35.96</v>
      </c>
      <c r="G1609" s="11">
        <f>IFERROR(__xludf.DUMMYFUNCTION("""COMPUTED_VALUE"""),2.0)</f>
        <v>2</v>
      </c>
      <c r="H1609" s="11">
        <f>IFERROR(__xludf.DUMMYFUNCTION("""COMPUTED_VALUE"""),10.4284)</f>
        <v>10.4284</v>
      </c>
    </row>
    <row r="1610">
      <c r="A1610" s="8" t="str">
        <f>IFERROR(__xludf.DUMMYFUNCTION("""COMPUTED_VALUE"""),"CA-2015-161998")</f>
        <v>CA-2015-161998</v>
      </c>
      <c r="B1610" s="9">
        <f>IFERROR(__xludf.DUMMYFUNCTION("""COMPUTED_VALUE"""),42125.0)</f>
        <v>42125</v>
      </c>
      <c r="C1610" s="8" t="str">
        <f>IFERROR(__xludf.DUMMYFUNCTION("""COMPUTED_VALUE"""),"David Bremer")</f>
        <v>David Bremer</v>
      </c>
      <c r="D1610" s="8" t="str">
        <f>IFERROR(__xludf.DUMMYFUNCTION("""COMPUTED_VALUE"""),"Corporate")</f>
        <v>Corporate</v>
      </c>
      <c r="E1610" s="8" t="str">
        <f>IFERROR(__xludf.DUMMYFUNCTION("""COMPUTED_VALUE"""),"South")</f>
        <v>South</v>
      </c>
      <c r="F1610" s="10">
        <f>IFERROR(__xludf.DUMMYFUNCTION("""COMPUTED_VALUE"""),63.552)</f>
        <v>63.552</v>
      </c>
      <c r="G1610" s="11">
        <f>IFERROR(__xludf.DUMMYFUNCTION("""COMPUTED_VALUE"""),3.0)</f>
        <v>3</v>
      </c>
      <c r="H1610" s="11">
        <f>IFERROR(__xludf.DUMMYFUNCTION("""COMPUTED_VALUE"""),14.2992)</f>
        <v>14.2992</v>
      </c>
    </row>
    <row r="1611">
      <c r="A1611" s="8" t="str">
        <f>IFERROR(__xludf.DUMMYFUNCTION("""COMPUTED_VALUE"""),"CA-2015-162047")</f>
        <v>CA-2015-162047</v>
      </c>
      <c r="B1611" s="9">
        <f>IFERROR(__xludf.DUMMYFUNCTION("""COMPUTED_VALUE"""),42311.0)</f>
        <v>42311</v>
      </c>
      <c r="C1611" s="8" t="str">
        <f>IFERROR(__xludf.DUMMYFUNCTION("""COMPUTED_VALUE"""),"Fred Hopkins")</f>
        <v>Fred Hopkins</v>
      </c>
      <c r="D1611" s="8" t="str">
        <f>IFERROR(__xludf.DUMMYFUNCTION("""COMPUTED_VALUE"""),"Corporate")</f>
        <v>Corporate</v>
      </c>
      <c r="E1611" s="8" t="str">
        <f>IFERROR(__xludf.DUMMYFUNCTION("""COMPUTED_VALUE"""),"East")</f>
        <v>East</v>
      </c>
      <c r="F1611" s="10">
        <f>IFERROR(__xludf.DUMMYFUNCTION("""COMPUTED_VALUE"""),1448.82)</f>
        <v>1448.82</v>
      </c>
      <c r="G1611" s="11">
        <f>IFERROR(__xludf.DUMMYFUNCTION("""COMPUTED_VALUE"""),10.0)</f>
        <v>10</v>
      </c>
      <c r="H1611" s="11">
        <f>IFERROR(__xludf.DUMMYFUNCTION("""COMPUTED_VALUE"""),209.274)</f>
        <v>209.274</v>
      </c>
    </row>
    <row r="1612">
      <c r="A1612" s="8" t="str">
        <f>IFERROR(__xludf.DUMMYFUNCTION("""COMPUTED_VALUE"""),"CA-2015-162166")</f>
        <v>CA-2015-162166</v>
      </c>
      <c r="B1612" s="9">
        <f>IFERROR(__xludf.DUMMYFUNCTION("""COMPUTED_VALUE"""),42255.0)</f>
        <v>42255</v>
      </c>
      <c r="C1612" s="8" t="str">
        <f>IFERROR(__xludf.DUMMYFUNCTION("""COMPUTED_VALUE"""),"Neoma Murray")</f>
        <v>Neoma Murray</v>
      </c>
      <c r="D1612" s="8" t="str">
        <f>IFERROR(__xludf.DUMMYFUNCTION("""COMPUTED_VALUE"""),"Consumer")</f>
        <v>Consumer</v>
      </c>
      <c r="E1612" s="8" t="str">
        <f>IFERROR(__xludf.DUMMYFUNCTION("""COMPUTED_VALUE"""),"West")</f>
        <v>West</v>
      </c>
      <c r="F1612" s="10">
        <f>IFERROR(__xludf.DUMMYFUNCTION("""COMPUTED_VALUE"""),26.4)</f>
        <v>26.4</v>
      </c>
      <c r="G1612" s="11">
        <f>IFERROR(__xludf.DUMMYFUNCTION("""COMPUTED_VALUE"""),5.0)</f>
        <v>5</v>
      </c>
      <c r="H1612" s="11">
        <f>IFERROR(__xludf.DUMMYFUNCTION("""COMPUTED_VALUE"""),11.88)</f>
        <v>11.88</v>
      </c>
    </row>
    <row r="1613">
      <c r="A1613" s="8" t="str">
        <f>IFERROR(__xludf.DUMMYFUNCTION("""COMPUTED_VALUE"""),"CA-2015-162201")</f>
        <v>CA-2015-162201</v>
      </c>
      <c r="B1613" s="9">
        <f>IFERROR(__xludf.DUMMYFUNCTION("""COMPUTED_VALUE"""),42163.0)</f>
        <v>42163</v>
      </c>
      <c r="C1613" s="8" t="str">
        <f>IFERROR(__xludf.DUMMYFUNCTION("""COMPUTED_VALUE"""),"Andrew Gjertsen")</f>
        <v>Andrew Gjertsen</v>
      </c>
      <c r="D1613" s="8" t="str">
        <f>IFERROR(__xludf.DUMMYFUNCTION("""COMPUTED_VALUE"""),"Corporate")</f>
        <v>Corporate</v>
      </c>
      <c r="E1613" s="8" t="str">
        <f>IFERROR(__xludf.DUMMYFUNCTION("""COMPUTED_VALUE"""),"South")</f>
        <v>South</v>
      </c>
      <c r="F1613" s="10">
        <f>IFERROR(__xludf.DUMMYFUNCTION("""COMPUTED_VALUE"""),173.488)</f>
        <v>173.488</v>
      </c>
      <c r="G1613" s="11">
        <f>IFERROR(__xludf.DUMMYFUNCTION("""COMPUTED_VALUE"""),7.0)</f>
        <v>7</v>
      </c>
      <c r="H1613" s="11">
        <f>IFERROR(__xludf.DUMMYFUNCTION("""COMPUTED_VALUE"""),54.215)</f>
        <v>54.215</v>
      </c>
    </row>
    <row r="1614">
      <c r="A1614" s="8" t="str">
        <f>IFERROR(__xludf.DUMMYFUNCTION("""COMPUTED_VALUE"""),"CA-2015-162369")</f>
        <v>CA-2015-162369</v>
      </c>
      <c r="B1614" s="9">
        <f>IFERROR(__xludf.DUMMYFUNCTION("""COMPUTED_VALUE"""),42231.0)</f>
        <v>42231</v>
      </c>
      <c r="C1614" s="8" t="str">
        <f>IFERROR(__xludf.DUMMYFUNCTION("""COMPUTED_VALUE"""),"Tim Taslimi")</f>
        <v>Tim Taslimi</v>
      </c>
      <c r="D1614" s="8" t="str">
        <f>IFERROR(__xludf.DUMMYFUNCTION("""COMPUTED_VALUE"""),"Corporate")</f>
        <v>Corporate</v>
      </c>
      <c r="E1614" s="8" t="str">
        <f>IFERROR(__xludf.DUMMYFUNCTION("""COMPUTED_VALUE"""),"West")</f>
        <v>West</v>
      </c>
      <c r="F1614" s="10">
        <f>IFERROR(__xludf.DUMMYFUNCTION("""COMPUTED_VALUE"""),323.1)</f>
        <v>323.1</v>
      </c>
      <c r="G1614" s="11">
        <f>IFERROR(__xludf.DUMMYFUNCTION("""COMPUTED_VALUE"""),2.0)</f>
        <v>2</v>
      </c>
      <c r="H1614" s="11">
        <f>IFERROR(__xludf.DUMMYFUNCTION("""COMPUTED_VALUE"""),61.389)</f>
        <v>61.389</v>
      </c>
    </row>
    <row r="1615">
      <c r="A1615" s="8" t="str">
        <f>IFERROR(__xludf.DUMMYFUNCTION("""COMPUTED_VALUE"""),"CA-2015-162376")</f>
        <v>CA-2015-162376</v>
      </c>
      <c r="B1615" s="9">
        <f>IFERROR(__xludf.DUMMYFUNCTION("""COMPUTED_VALUE"""),42330.0)</f>
        <v>42330</v>
      </c>
      <c r="C1615" s="8" t="str">
        <f>IFERROR(__xludf.DUMMYFUNCTION("""COMPUTED_VALUE"""),"Harold Dahlen")</f>
        <v>Harold Dahlen</v>
      </c>
      <c r="D1615" s="8" t="str">
        <f>IFERROR(__xludf.DUMMYFUNCTION("""COMPUTED_VALUE"""),"Home Office")</f>
        <v>Home Office</v>
      </c>
      <c r="E1615" s="8" t="str">
        <f>IFERROR(__xludf.DUMMYFUNCTION("""COMPUTED_VALUE"""),"East")</f>
        <v>East</v>
      </c>
      <c r="F1615" s="10">
        <f>IFERROR(__xludf.DUMMYFUNCTION("""COMPUTED_VALUE"""),17.12)</f>
        <v>17.12</v>
      </c>
      <c r="G1615" s="11">
        <f>IFERROR(__xludf.DUMMYFUNCTION("""COMPUTED_VALUE"""),4.0)</f>
        <v>4</v>
      </c>
      <c r="H1615" s="11">
        <f>IFERROR(__xludf.DUMMYFUNCTION("""COMPUTED_VALUE"""),4.9648)</f>
        <v>4.9648</v>
      </c>
    </row>
    <row r="1616">
      <c r="A1616" s="8" t="str">
        <f>IFERROR(__xludf.DUMMYFUNCTION("""COMPUTED_VALUE"""),"CA-2015-162537")</f>
        <v>CA-2015-162537</v>
      </c>
      <c r="B1616" s="9">
        <f>IFERROR(__xludf.DUMMYFUNCTION("""COMPUTED_VALUE"""),42305.0)</f>
        <v>42305</v>
      </c>
      <c r="C1616" s="8" t="str">
        <f>IFERROR(__xludf.DUMMYFUNCTION("""COMPUTED_VALUE"""),"Rob Dowd")</f>
        <v>Rob Dowd</v>
      </c>
      <c r="D1616" s="8" t="str">
        <f>IFERROR(__xludf.DUMMYFUNCTION("""COMPUTED_VALUE"""),"Consumer")</f>
        <v>Consumer</v>
      </c>
      <c r="E1616" s="8" t="str">
        <f>IFERROR(__xludf.DUMMYFUNCTION("""COMPUTED_VALUE"""),"South")</f>
        <v>South</v>
      </c>
      <c r="F1616" s="10">
        <f>IFERROR(__xludf.DUMMYFUNCTION("""COMPUTED_VALUE"""),10.67)</f>
        <v>10.67</v>
      </c>
      <c r="G1616" s="11">
        <f>IFERROR(__xludf.DUMMYFUNCTION("""COMPUTED_VALUE"""),1.0)</f>
        <v>1</v>
      </c>
      <c r="H1616" s="11">
        <f>IFERROR(__xludf.DUMMYFUNCTION("""COMPUTED_VALUE"""),4.9082)</f>
        <v>4.9082</v>
      </c>
    </row>
    <row r="1617">
      <c r="A1617" s="8" t="str">
        <f>IFERROR(__xludf.DUMMYFUNCTION("""COMPUTED_VALUE"""),"CA-2015-162544")</f>
        <v>CA-2015-162544</v>
      </c>
      <c r="B1617" s="9">
        <f>IFERROR(__xludf.DUMMYFUNCTION("""COMPUTED_VALUE"""),42354.0)</f>
        <v>42354</v>
      </c>
      <c r="C1617" s="8" t="str">
        <f>IFERROR(__xludf.DUMMYFUNCTION("""COMPUTED_VALUE"""),"Sandra Glassco")</f>
        <v>Sandra Glassco</v>
      </c>
      <c r="D1617" s="8" t="str">
        <f>IFERROR(__xludf.DUMMYFUNCTION("""COMPUTED_VALUE"""),"Consumer")</f>
        <v>Consumer</v>
      </c>
      <c r="E1617" s="8" t="str">
        <f>IFERROR(__xludf.DUMMYFUNCTION("""COMPUTED_VALUE"""),"West")</f>
        <v>West</v>
      </c>
      <c r="F1617" s="10">
        <f>IFERROR(__xludf.DUMMYFUNCTION("""COMPUTED_VALUE"""),4.98)</f>
        <v>4.98</v>
      </c>
      <c r="G1617" s="11">
        <f>IFERROR(__xludf.DUMMYFUNCTION("""COMPUTED_VALUE"""),1.0)</f>
        <v>1</v>
      </c>
      <c r="H1617" s="11">
        <f>IFERROR(__xludf.DUMMYFUNCTION("""COMPUTED_VALUE"""),2.3406)</f>
        <v>2.3406</v>
      </c>
    </row>
    <row r="1618">
      <c r="A1618" s="8" t="str">
        <f>IFERROR(__xludf.DUMMYFUNCTION("""COMPUTED_VALUE"""),"CA-2015-162607")</f>
        <v>CA-2015-162607</v>
      </c>
      <c r="B1618" s="9">
        <f>IFERROR(__xludf.DUMMYFUNCTION("""COMPUTED_VALUE"""),42136.0)</f>
        <v>42136</v>
      </c>
      <c r="C1618" s="8" t="str">
        <f>IFERROR(__xludf.DUMMYFUNCTION("""COMPUTED_VALUE"""),"Rose O'Brian")</f>
        <v>Rose O'Brian</v>
      </c>
      <c r="D1618" s="8" t="str">
        <f>IFERROR(__xludf.DUMMYFUNCTION("""COMPUTED_VALUE"""),"Consumer")</f>
        <v>Consumer</v>
      </c>
      <c r="E1618" s="8" t="str">
        <f>IFERROR(__xludf.DUMMYFUNCTION("""COMPUTED_VALUE"""),"West")</f>
        <v>West</v>
      </c>
      <c r="F1618" s="10">
        <f>IFERROR(__xludf.DUMMYFUNCTION("""COMPUTED_VALUE"""),14.592)</f>
        <v>14.592</v>
      </c>
      <c r="G1618" s="11">
        <f>IFERROR(__xludf.DUMMYFUNCTION("""COMPUTED_VALUE"""),3.0)</f>
        <v>3</v>
      </c>
      <c r="H1618" s="11">
        <f>IFERROR(__xludf.DUMMYFUNCTION("""COMPUTED_VALUE"""),4.9248)</f>
        <v>4.9248</v>
      </c>
    </row>
    <row r="1619">
      <c r="A1619" s="8" t="str">
        <f>IFERROR(__xludf.DUMMYFUNCTION("""COMPUTED_VALUE"""),"CA-2015-162621")</f>
        <v>CA-2015-162621</v>
      </c>
      <c r="B1619" s="9">
        <f>IFERROR(__xludf.DUMMYFUNCTION("""COMPUTED_VALUE"""),42252.0)</f>
        <v>42252</v>
      </c>
      <c r="C1619" s="8" t="str">
        <f>IFERROR(__xludf.DUMMYFUNCTION("""COMPUTED_VALUE"""),"Cathy Armstrong")</f>
        <v>Cathy Armstrong</v>
      </c>
      <c r="D1619" s="8" t="str">
        <f>IFERROR(__xludf.DUMMYFUNCTION("""COMPUTED_VALUE"""),"Home Office")</f>
        <v>Home Office</v>
      </c>
      <c r="E1619" s="8" t="str">
        <f>IFERROR(__xludf.DUMMYFUNCTION("""COMPUTED_VALUE"""),"Central")</f>
        <v>Central</v>
      </c>
      <c r="F1619" s="10">
        <f>IFERROR(__xludf.DUMMYFUNCTION("""COMPUTED_VALUE"""),16.27)</f>
        <v>16.27</v>
      </c>
      <c r="G1619" s="11">
        <f>IFERROR(__xludf.DUMMYFUNCTION("""COMPUTED_VALUE"""),5.0)</f>
        <v>5</v>
      </c>
      <c r="H1619" s="11">
        <f>IFERROR(__xludf.DUMMYFUNCTION("""COMPUTED_VALUE"""),-25.2185)</f>
        <v>-25.2185</v>
      </c>
    </row>
    <row r="1620">
      <c r="A1620" s="8" t="str">
        <f>IFERROR(__xludf.DUMMYFUNCTION("""COMPUTED_VALUE"""),"CA-2015-162761")</f>
        <v>CA-2015-162761</v>
      </c>
      <c r="B1620" s="9">
        <f>IFERROR(__xludf.DUMMYFUNCTION("""COMPUTED_VALUE"""),42286.0)</f>
        <v>42286</v>
      </c>
      <c r="C1620" s="8" t="str">
        <f>IFERROR(__xludf.DUMMYFUNCTION("""COMPUTED_VALUE"""),"Sonia Cooley")</f>
        <v>Sonia Cooley</v>
      </c>
      <c r="D1620" s="8" t="str">
        <f>IFERROR(__xludf.DUMMYFUNCTION("""COMPUTED_VALUE"""),"Consumer")</f>
        <v>Consumer</v>
      </c>
      <c r="E1620" s="8" t="str">
        <f>IFERROR(__xludf.DUMMYFUNCTION("""COMPUTED_VALUE"""),"South")</f>
        <v>South</v>
      </c>
      <c r="F1620" s="10">
        <f>IFERROR(__xludf.DUMMYFUNCTION("""COMPUTED_VALUE"""),1.872)</f>
        <v>1.872</v>
      </c>
      <c r="G1620" s="11">
        <f>IFERROR(__xludf.DUMMYFUNCTION("""COMPUTED_VALUE"""),2.0)</f>
        <v>2</v>
      </c>
      <c r="H1620" s="11">
        <f>IFERROR(__xludf.DUMMYFUNCTION("""COMPUTED_VALUE"""),-1.3104)</f>
        <v>-1.3104</v>
      </c>
    </row>
    <row r="1621">
      <c r="A1621" s="8" t="str">
        <f>IFERROR(__xludf.DUMMYFUNCTION("""COMPUTED_VALUE"""),"CA-2015-162782")</f>
        <v>CA-2015-162782</v>
      </c>
      <c r="B1621" s="9">
        <f>IFERROR(__xludf.DUMMYFUNCTION("""COMPUTED_VALUE"""),42056.0)</f>
        <v>42056</v>
      </c>
      <c r="C1621" s="8" t="str">
        <f>IFERROR(__xludf.DUMMYFUNCTION("""COMPUTED_VALUE"""),"Pierre Wener")</f>
        <v>Pierre Wener</v>
      </c>
      <c r="D1621" s="8" t="str">
        <f>IFERROR(__xludf.DUMMYFUNCTION("""COMPUTED_VALUE"""),"Consumer")</f>
        <v>Consumer</v>
      </c>
      <c r="E1621" s="8" t="str">
        <f>IFERROR(__xludf.DUMMYFUNCTION("""COMPUTED_VALUE"""),"East")</f>
        <v>East</v>
      </c>
      <c r="F1621" s="10">
        <f>IFERROR(__xludf.DUMMYFUNCTION("""COMPUTED_VALUE"""),2541.98)</f>
        <v>2541.98</v>
      </c>
      <c r="G1621" s="11">
        <f>IFERROR(__xludf.DUMMYFUNCTION("""COMPUTED_VALUE"""),2.0)</f>
        <v>2</v>
      </c>
      <c r="H1621" s="11">
        <f>IFERROR(__xludf.DUMMYFUNCTION("""COMPUTED_VALUE"""),1270.99)</f>
        <v>1270.99</v>
      </c>
    </row>
    <row r="1622">
      <c r="A1622" s="8" t="str">
        <f>IFERROR(__xludf.DUMMYFUNCTION("""COMPUTED_VALUE"""),"CA-2015-162887")</f>
        <v>CA-2015-162887</v>
      </c>
      <c r="B1622" s="9">
        <f>IFERROR(__xludf.DUMMYFUNCTION("""COMPUTED_VALUE"""),42315.0)</f>
        <v>42315</v>
      </c>
      <c r="C1622" s="8" t="str">
        <f>IFERROR(__xludf.DUMMYFUNCTION("""COMPUTED_VALUE"""),"Stewart Visinsky")</f>
        <v>Stewart Visinsky</v>
      </c>
      <c r="D1622" s="8" t="str">
        <f>IFERROR(__xludf.DUMMYFUNCTION("""COMPUTED_VALUE"""),"Consumer")</f>
        <v>Consumer</v>
      </c>
      <c r="E1622" s="8" t="str">
        <f>IFERROR(__xludf.DUMMYFUNCTION("""COMPUTED_VALUE"""),"East")</f>
        <v>East</v>
      </c>
      <c r="F1622" s="10">
        <f>IFERROR(__xludf.DUMMYFUNCTION("""COMPUTED_VALUE"""),715.2)</f>
        <v>715.2</v>
      </c>
      <c r="G1622" s="11">
        <f>IFERROR(__xludf.DUMMYFUNCTION("""COMPUTED_VALUE"""),3.0)</f>
        <v>3</v>
      </c>
      <c r="H1622" s="11">
        <f>IFERROR(__xludf.DUMMYFUNCTION("""COMPUTED_VALUE"""),178.8)</f>
        <v>178.8</v>
      </c>
    </row>
    <row r="1623">
      <c r="A1623" s="8" t="str">
        <f>IFERROR(__xludf.DUMMYFUNCTION("""COMPUTED_VALUE"""),"CA-2015-162950")</f>
        <v>CA-2015-162950</v>
      </c>
      <c r="B1623" s="9">
        <f>IFERROR(__xludf.DUMMYFUNCTION("""COMPUTED_VALUE"""),42183.0)</f>
        <v>42183</v>
      </c>
      <c r="C1623" s="8" t="str">
        <f>IFERROR(__xludf.DUMMYFUNCTION("""COMPUTED_VALUE"""),"Dorothy Wardle")</f>
        <v>Dorothy Wardle</v>
      </c>
      <c r="D1623" s="8" t="str">
        <f>IFERROR(__xludf.DUMMYFUNCTION("""COMPUTED_VALUE"""),"Corporate")</f>
        <v>Corporate</v>
      </c>
      <c r="E1623" s="8" t="str">
        <f>IFERROR(__xludf.DUMMYFUNCTION("""COMPUTED_VALUE"""),"East")</f>
        <v>East</v>
      </c>
      <c r="F1623" s="10">
        <f>IFERROR(__xludf.DUMMYFUNCTION("""COMPUTED_VALUE"""),15.552)</f>
        <v>15.552</v>
      </c>
      <c r="G1623" s="11">
        <f>IFERROR(__xludf.DUMMYFUNCTION("""COMPUTED_VALUE"""),3.0)</f>
        <v>3</v>
      </c>
      <c r="H1623" s="11">
        <f>IFERROR(__xludf.DUMMYFUNCTION("""COMPUTED_VALUE"""),5.4432)</f>
        <v>5.4432</v>
      </c>
    </row>
    <row r="1624">
      <c r="A1624" s="8" t="str">
        <f>IFERROR(__xludf.DUMMYFUNCTION("""COMPUTED_VALUE"""),"CA-2015-162964")</f>
        <v>CA-2015-162964</v>
      </c>
      <c r="B1624" s="9">
        <f>IFERROR(__xludf.DUMMYFUNCTION("""COMPUTED_VALUE"""),42320.0)</f>
        <v>42320</v>
      </c>
      <c r="C1624" s="8" t="str">
        <f>IFERROR(__xludf.DUMMYFUNCTION("""COMPUTED_VALUE"""),"Monica Federle")</f>
        <v>Monica Federle</v>
      </c>
      <c r="D1624" s="8" t="str">
        <f>IFERROR(__xludf.DUMMYFUNCTION("""COMPUTED_VALUE"""),"Corporate")</f>
        <v>Corporate</v>
      </c>
      <c r="E1624" s="8" t="str">
        <f>IFERROR(__xludf.DUMMYFUNCTION("""COMPUTED_VALUE"""),"Central")</f>
        <v>Central</v>
      </c>
      <c r="F1624" s="10">
        <f>IFERROR(__xludf.DUMMYFUNCTION("""COMPUTED_VALUE"""),64.784)</f>
        <v>64.784</v>
      </c>
      <c r="G1624" s="11">
        <f>IFERROR(__xludf.DUMMYFUNCTION("""COMPUTED_VALUE"""),1.0)</f>
        <v>1</v>
      </c>
      <c r="H1624" s="11">
        <f>IFERROR(__xludf.DUMMYFUNCTION("""COMPUTED_VALUE"""),-14.5764)</f>
        <v>-14.5764</v>
      </c>
    </row>
    <row r="1625">
      <c r="A1625" s="8" t="str">
        <f>IFERROR(__xludf.DUMMYFUNCTION("""COMPUTED_VALUE"""),"CA-2015-163055")</f>
        <v>CA-2015-163055</v>
      </c>
      <c r="B1625" s="9">
        <f>IFERROR(__xludf.DUMMYFUNCTION("""COMPUTED_VALUE"""),42225.0)</f>
        <v>42225</v>
      </c>
      <c r="C1625" s="8" t="str">
        <f>IFERROR(__xludf.DUMMYFUNCTION("""COMPUTED_VALUE"""),"David Smith")</f>
        <v>David Smith</v>
      </c>
      <c r="D1625" s="8" t="str">
        <f>IFERROR(__xludf.DUMMYFUNCTION("""COMPUTED_VALUE"""),"Corporate")</f>
        <v>Corporate</v>
      </c>
      <c r="E1625" s="8" t="str">
        <f>IFERROR(__xludf.DUMMYFUNCTION("""COMPUTED_VALUE"""),"Central")</f>
        <v>Central</v>
      </c>
      <c r="F1625" s="10">
        <f>IFERROR(__xludf.DUMMYFUNCTION("""COMPUTED_VALUE"""),2.2)</f>
        <v>2.2</v>
      </c>
      <c r="G1625" s="11">
        <f>IFERROR(__xludf.DUMMYFUNCTION("""COMPUTED_VALUE"""),1.0)</f>
        <v>1</v>
      </c>
      <c r="H1625" s="11">
        <f>IFERROR(__xludf.DUMMYFUNCTION("""COMPUTED_VALUE"""),0.968)</f>
        <v>0.968</v>
      </c>
    </row>
    <row r="1626">
      <c r="A1626" s="8" t="str">
        <f>IFERROR(__xludf.DUMMYFUNCTION("""COMPUTED_VALUE"""),"CA-2015-163090")</f>
        <v>CA-2015-163090</v>
      </c>
      <c r="B1626" s="9">
        <f>IFERROR(__xludf.DUMMYFUNCTION("""COMPUTED_VALUE"""),42325.0)</f>
        <v>42325</v>
      </c>
      <c r="C1626" s="8" t="str">
        <f>IFERROR(__xludf.DUMMYFUNCTION("""COMPUTED_VALUE"""),"Greg Hansen")</f>
        <v>Greg Hansen</v>
      </c>
      <c r="D1626" s="8" t="str">
        <f>IFERROR(__xludf.DUMMYFUNCTION("""COMPUTED_VALUE"""),"Consumer")</f>
        <v>Consumer</v>
      </c>
      <c r="E1626" s="8" t="str">
        <f>IFERROR(__xludf.DUMMYFUNCTION("""COMPUTED_VALUE"""),"Central")</f>
        <v>Central</v>
      </c>
      <c r="F1626" s="10">
        <f>IFERROR(__xludf.DUMMYFUNCTION("""COMPUTED_VALUE"""),40.92)</f>
        <v>40.92</v>
      </c>
      <c r="G1626" s="11">
        <f>IFERROR(__xludf.DUMMYFUNCTION("""COMPUTED_VALUE"""),5.0)</f>
        <v>5</v>
      </c>
      <c r="H1626" s="11">
        <f>IFERROR(__xludf.DUMMYFUNCTION("""COMPUTED_VALUE"""),3.069)</f>
        <v>3.069</v>
      </c>
    </row>
    <row r="1627">
      <c r="A1627" s="8" t="str">
        <f>IFERROR(__xludf.DUMMYFUNCTION("""COMPUTED_VALUE"""),"CA-2015-163104")</f>
        <v>CA-2015-163104</v>
      </c>
      <c r="B1627" s="9">
        <f>IFERROR(__xludf.DUMMYFUNCTION("""COMPUTED_VALUE"""),42082.0)</f>
        <v>42082</v>
      </c>
      <c r="C1627" s="8" t="str">
        <f>IFERROR(__xludf.DUMMYFUNCTION("""COMPUTED_VALUE"""),"Mike Caudle")</f>
        <v>Mike Caudle</v>
      </c>
      <c r="D1627" s="8" t="str">
        <f>IFERROR(__xludf.DUMMYFUNCTION("""COMPUTED_VALUE"""),"Corporate")</f>
        <v>Corporate</v>
      </c>
      <c r="E1627" s="8" t="str">
        <f>IFERROR(__xludf.DUMMYFUNCTION("""COMPUTED_VALUE"""),"West")</f>
        <v>West</v>
      </c>
      <c r="F1627" s="10">
        <f>IFERROR(__xludf.DUMMYFUNCTION("""COMPUTED_VALUE"""),11.96)</f>
        <v>11.96</v>
      </c>
      <c r="G1627" s="11">
        <f>IFERROR(__xludf.DUMMYFUNCTION("""COMPUTED_VALUE"""),2.0)</f>
        <v>2</v>
      </c>
      <c r="H1627" s="11">
        <f>IFERROR(__xludf.DUMMYFUNCTION("""COMPUTED_VALUE"""),5.8604)</f>
        <v>5.8604</v>
      </c>
    </row>
    <row r="1628">
      <c r="A1628" s="8" t="str">
        <f>IFERROR(__xludf.DUMMYFUNCTION("""COMPUTED_VALUE"""),"CA-2015-163181")</f>
        <v>CA-2015-163181</v>
      </c>
      <c r="B1628" s="9">
        <f>IFERROR(__xludf.DUMMYFUNCTION("""COMPUTED_VALUE"""),42315.0)</f>
        <v>42315</v>
      </c>
      <c r="C1628" s="8" t="str">
        <f>IFERROR(__xludf.DUMMYFUNCTION("""COMPUTED_VALUE"""),"Adrian Barton")</f>
        <v>Adrian Barton</v>
      </c>
      <c r="D1628" s="8" t="str">
        <f>IFERROR(__xludf.DUMMYFUNCTION("""COMPUTED_VALUE"""),"Consumer")</f>
        <v>Consumer</v>
      </c>
      <c r="E1628" s="8" t="str">
        <f>IFERROR(__xludf.DUMMYFUNCTION("""COMPUTED_VALUE"""),"Central")</f>
        <v>Central</v>
      </c>
      <c r="F1628" s="10">
        <f>IFERROR(__xludf.DUMMYFUNCTION("""COMPUTED_VALUE"""),23.64)</f>
        <v>23.64</v>
      </c>
      <c r="G1628" s="11">
        <f>IFERROR(__xludf.DUMMYFUNCTION("""COMPUTED_VALUE"""),3.0)</f>
        <v>3</v>
      </c>
      <c r="H1628" s="11">
        <f>IFERROR(__xludf.DUMMYFUNCTION("""COMPUTED_VALUE"""),5.319)</f>
        <v>5.319</v>
      </c>
    </row>
    <row r="1629">
      <c r="A1629" s="8" t="str">
        <f>IFERROR(__xludf.DUMMYFUNCTION("""COMPUTED_VALUE"""),"CA-2015-163237")</f>
        <v>CA-2015-163237</v>
      </c>
      <c r="B1629" s="9">
        <f>IFERROR(__xludf.DUMMYFUNCTION("""COMPUTED_VALUE"""),42223.0)</f>
        <v>42223</v>
      </c>
      <c r="C1629" s="8" t="str">
        <f>IFERROR(__xludf.DUMMYFUNCTION("""COMPUTED_VALUE"""),"Eudokia Martin")</f>
        <v>Eudokia Martin</v>
      </c>
      <c r="D1629" s="8" t="str">
        <f>IFERROR(__xludf.DUMMYFUNCTION("""COMPUTED_VALUE"""),"Corporate")</f>
        <v>Corporate</v>
      </c>
      <c r="E1629" s="8" t="str">
        <f>IFERROR(__xludf.DUMMYFUNCTION("""COMPUTED_VALUE"""),"South")</f>
        <v>South</v>
      </c>
      <c r="F1629" s="10">
        <f>IFERROR(__xludf.DUMMYFUNCTION("""COMPUTED_VALUE"""),494.97)</f>
        <v>494.97</v>
      </c>
      <c r="G1629" s="11">
        <f>IFERROR(__xludf.DUMMYFUNCTION("""COMPUTED_VALUE"""),3.0)</f>
        <v>3</v>
      </c>
      <c r="H1629" s="11">
        <f>IFERROR(__xludf.DUMMYFUNCTION("""COMPUTED_VALUE"""),148.491)</f>
        <v>148.491</v>
      </c>
    </row>
    <row r="1630">
      <c r="A1630" s="8" t="str">
        <f>IFERROR(__xludf.DUMMYFUNCTION("""COMPUTED_VALUE"""),"CA-2015-163440")</f>
        <v>CA-2015-163440</v>
      </c>
      <c r="B1630" s="9">
        <f>IFERROR(__xludf.DUMMYFUNCTION("""COMPUTED_VALUE"""),42085.0)</f>
        <v>42085</v>
      </c>
      <c r="C1630" s="8" t="str">
        <f>IFERROR(__xludf.DUMMYFUNCTION("""COMPUTED_VALUE"""),"Ruben Dartt")</f>
        <v>Ruben Dartt</v>
      </c>
      <c r="D1630" s="8" t="str">
        <f>IFERROR(__xludf.DUMMYFUNCTION("""COMPUTED_VALUE"""),"Consumer")</f>
        <v>Consumer</v>
      </c>
      <c r="E1630" s="8" t="str">
        <f>IFERROR(__xludf.DUMMYFUNCTION("""COMPUTED_VALUE"""),"West")</f>
        <v>West</v>
      </c>
      <c r="F1630" s="10">
        <f>IFERROR(__xludf.DUMMYFUNCTION("""COMPUTED_VALUE"""),15.984)</f>
        <v>15.984</v>
      </c>
      <c r="G1630" s="11">
        <f>IFERROR(__xludf.DUMMYFUNCTION("""COMPUTED_VALUE"""),2.0)</f>
        <v>2</v>
      </c>
      <c r="H1630" s="11">
        <f>IFERROR(__xludf.DUMMYFUNCTION("""COMPUTED_VALUE"""),1.1988)</f>
        <v>1.1988</v>
      </c>
    </row>
    <row r="1631">
      <c r="A1631" s="8" t="str">
        <f>IFERROR(__xludf.DUMMYFUNCTION("""COMPUTED_VALUE"""),"CA-2015-163587")</f>
        <v>CA-2015-163587</v>
      </c>
      <c r="B1631" s="9">
        <f>IFERROR(__xludf.DUMMYFUNCTION("""COMPUTED_VALUE"""),42077.0)</f>
        <v>42077</v>
      </c>
      <c r="C1631" s="8" t="str">
        <f>IFERROR(__xludf.DUMMYFUNCTION("""COMPUTED_VALUE"""),"Emily Phan")</f>
        <v>Emily Phan</v>
      </c>
      <c r="D1631" s="8" t="str">
        <f>IFERROR(__xludf.DUMMYFUNCTION("""COMPUTED_VALUE"""),"Consumer")</f>
        <v>Consumer</v>
      </c>
      <c r="E1631" s="8" t="str">
        <f>IFERROR(__xludf.DUMMYFUNCTION("""COMPUTED_VALUE"""),"East")</f>
        <v>East</v>
      </c>
      <c r="F1631" s="10">
        <f>IFERROR(__xludf.DUMMYFUNCTION("""COMPUTED_VALUE"""),16.52)</f>
        <v>16.52</v>
      </c>
      <c r="G1631" s="11">
        <f>IFERROR(__xludf.DUMMYFUNCTION("""COMPUTED_VALUE"""),4.0)</f>
        <v>4</v>
      </c>
      <c r="H1631" s="11">
        <f>IFERROR(__xludf.DUMMYFUNCTION("""COMPUTED_VALUE"""),7.5992)</f>
        <v>7.5992</v>
      </c>
    </row>
    <row r="1632">
      <c r="A1632" s="8" t="str">
        <f>IFERROR(__xludf.DUMMYFUNCTION("""COMPUTED_VALUE"""),"CA-2015-163734")</f>
        <v>CA-2015-163734</v>
      </c>
      <c r="B1632" s="9">
        <f>IFERROR(__xludf.DUMMYFUNCTION("""COMPUTED_VALUE"""),42174.0)</f>
        <v>42174</v>
      </c>
      <c r="C1632" s="8" t="str">
        <f>IFERROR(__xludf.DUMMYFUNCTION("""COMPUTED_VALUE"""),"Katherine Murray")</f>
        <v>Katherine Murray</v>
      </c>
      <c r="D1632" s="8" t="str">
        <f>IFERROR(__xludf.DUMMYFUNCTION("""COMPUTED_VALUE"""),"Home Office")</f>
        <v>Home Office</v>
      </c>
      <c r="E1632" s="8" t="str">
        <f>IFERROR(__xludf.DUMMYFUNCTION("""COMPUTED_VALUE"""),"Central")</f>
        <v>Central</v>
      </c>
      <c r="F1632" s="10">
        <f>IFERROR(__xludf.DUMMYFUNCTION("""COMPUTED_VALUE"""),228.92)</f>
        <v>228.92</v>
      </c>
      <c r="G1632" s="11">
        <f>IFERROR(__xludf.DUMMYFUNCTION("""COMPUTED_VALUE"""),5.0)</f>
        <v>5</v>
      </c>
      <c r="H1632" s="11">
        <f>IFERROR(__xludf.DUMMYFUNCTION("""COMPUTED_VALUE"""),14.3075)</f>
        <v>14.3075</v>
      </c>
    </row>
    <row r="1633">
      <c r="A1633" s="8" t="str">
        <f>IFERROR(__xludf.DUMMYFUNCTION("""COMPUTED_VALUE"""),"CA-2015-163762")</f>
        <v>CA-2015-163762</v>
      </c>
      <c r="B1633" s="9">
        <f>IFERROR(__xludf.DUMMYFUNCTION("""COMPUTED_VALUE"""),42335.0)</f>
        <v>42335</v>
      </c>
      <c r="C1633" s="8" t="str">
        <f>IFERROR(__xludf.DUMMYFUNCTION("""COMPUTED_VALUE"""),"Jeremy Ellison")</f>
        <v>Jeremy Ellison</v>
      </c>
      <c r="D1633" s="8" t="str">
        <f>IFERROR(__xludf.DUMMYFUNCTION("""COMPUTED_VALUE"""),"Consumer")</f>
        <v>Consumer</v>
      </c>
      <c r="E1633" s="8" t="str">
        <f>IFERROR(__xludf.DUMMYFUNCTION("""COMPUTED_VALUE"""),"East")</f>
        <v>East</v>
      </c>
      <c r="F1633" s="10">
        <f>IFERROR(__xludf.DUMMYFUNCTION("""COMPUTED_VALUE"""),29.79)</f>
        <v>29.79</v>
      </c>
      <c r="G1633" s="11">
        <f>IFERROR(__xludf.DUMMYFUNCTION("""COMPUTED_VALUE"""),3.0)</f>
        <v>3</v>
      </c>
      <c r="H1633" s="11">
        <f>IFERROR(__xludf.DUMMYFUNCTION("""COMPUTED_VALUE"""),12.5118)</f>
        <v>12.5118</v>
      </c>
    </row>
    <row r="1634">
      <c r="A1634" s="8" t="str">
        <f>IFERROR(__xludf.DUMMYFUNCTION("""COMPUTED_VALUE"""),"CA-2015-163895")</f>
        <v>CA-2015-163895</v>
      </c>
      <c r="B1634" s="9">
        <f>IFERROR(__xludf.DUMMYFUNCTION("""COMPUTED_VALUE"""),42223.0)</f>
        <v>42223</v>
      </c>
      <c r="C1634" s="8" t="str">
        <f>IFERROR(__xludf.DUMMYFUNCTION("""COMPUTED_VALUE"""),"Noel Staavos")</f>
        <v>Noel Staavos</v>
      </c>
      <c r="D1634" s="8" t="str">
        <f>IFERROR(__xludf.DUMMYFUNCTION("""COMPUTED_VALUE"""),"Corporate")</f>
        <v>Corporate</v>
      </c>
      <c r="E1634" s="8" t="str">
        <f>IFERROR(__xludf.DUMMYFUNCTION("""COMPUTED_VALUE"""),"West")</f>
        <v>West</v>
      </c>
      <c r="F1634" s="10">
        <f>IFERROR(__xludf.DUMMYFUNCTION("""COMPUTED_VALUE"""),3.304)</f>
        <v>3.304</v>
      </c>
      <c r="G1634" s="11">
        <f>IFERROR(__xludf.DUMMYFUNCTION("""COMPUTED_VALUE"""),1.0)</f>
        <v>1</v>
      </c>
      <c r="H1634" s="11">
        <f>IFERROR(__xludf.DUMMYFUNCTION("""COMPUTED_VALUE"""),1.1151)</f>
        <v>1.1151</v>
      </c>
    </row>
    <row r="1635">
      <c r="A1635" s="8" t="str">
        <f>IFERROR(__xludf.DUMMYFUNCTION("""COMPUTED_VALUE"""),"CA-2015-163923")</f>
        <v>CA-2015-163923</v>
      </c>
      <c r="B1635" s="9">
        <f>IFERROR(__xludf.DUMMYFUNCTION("""COMPUTED_VALUE"""),42154.0)</f>
        <v>42154</v>
      </c>
      <c r="C1635" s="8" t="str">
        <f>IFERROR(__xludf.DUMMYFUNCTION("""COMPUTED_VALUE"""),"Brendan Dodson")</f>
        <v>Brendan Dodson</v>
      </c>
      <c r="D1635" s="8" t="str">
        <f>IFERROR(__xludf.DUMMYFUNCTION("""COMPUTED_VALUE"""),"Home Office")</f>
        <v>Home Office</v>
      </c>
      <c r="E1635" s="8" t="str">
        <f>IFERROR(__xludf.DUMMYFUNCTION("""COMPUTED_VALUE"""),"South")</f>
        <v>South</v>
      </c>
      <c r="F1635" s="10">
        <f>IFERROR(__xludf.DUMMYFUNCTION("""COMPUTED_VALUE"""),151.96)</f>
        <v>151.96</v>
      </c>
      <c r="G1635" s="11">
        <f>IFERROR(__xludf.DUMMYFUNCTION("""COMPUTED_VALUE"""),4.0)</f>
        <v>4</v>
      </c>
      <c r="H1635" s="11">
        <f>IFERROR(__xludf.DUMMYFUNCTION("""COMPUTED_VALUE"""),36.4704)</f>
        <v>36.4704</v>
      </c>
    </row>
    <row r="1636">
      <c r="A1636" s="8" t="str">
        <f>IFERROR(__xludf.DUMMYFUNCTION("""COMPUTED_VALUE"""),"CA-2015-163965")</f>
        <v>CA-2015-163965</v>
      </c>
      <c r="B1636" s="9">
        <f>IFERROR(__xludf.DUMMYFUNCTION("""COMPUTED_VALUE"""),42328.0)</f>
        <v>42328</v>
      </c>
      <c r="C1636" s="8" t="str">
        <f>IFERROR(__xludf.DUMMYFUNCTION("""COMPUTED_VALUE"""),"Sung Shariari")</f>
        <v>Sung Shariari</v>
      </c>
      <c r="D1636" s="8" t="str">
        <f>IFERROR(__xludf.DUMMYFUNCTION("""COMPUTED_VALUE"""),"Consumer")</f>
        <v>Consumer</v>
      </c>
      <c r="E1636" s="8" t="str">
        <f>IFERROR(__xludf.DUMMYFUNCTION("""COMPUTED_VALUE"""),"South")</f>
        <v>South</v>
      </c>
      <c r="F1636" s="10">
        <f>IFERROR(__xludf.DUMMYFUNCTION("""COMPUTED_VALUE"""),7.23)</f>
        <v>7.23</v>
      </c>
      <c r="G1636" s="11">
        <f>IFERROR(__xludf.DUMMYFUNCTION("""COMPUTED_VALUE"""),5.0)</f>
        <v>5</v>
      </c>
      <c r="H1636" s="11">
        <f>IFERROR(__xludf.DUMMYFUNCTION("""COMPUTED_VALUE"""),-5.784)</f>
        <v>-5.784</v>
      </c>
    </row>
    <row r="1637">
      <c r="A1637" s="8" t="str">
        <f>IFERROR(__xludf.DUMMYFUNCTION("""COMPUTED_VALUE"""),"CA-2015-164007")</f>
        <v>CA-2015-164007</v>
      </c>
      <c r="B1637" s="9">
        <f>IFERROR(__xludf.DUMMYFUNCTION("""COMPUTED_VALUE"""),42163.0)</f>
        <v>42163</v>
      </c>
      <c r="C1637" s="8" t="str">
        <f>IFERROR(__xludf.DUMMYFUNCTION("""COMPUTED_VALUE"""),"Maureen Gnade")</f>
        <v>Maureen Gnade</v>
      </c>
      <c r="D1637" s="8" t="str">
        <f>IFERROR(__xludf.DUMMYFUNCTION("""COMPUTED_VALUE"""),"Consumer")</f>
        <v>Consumer</v>
      </c>
      <c r="E1637" s="8" t="str">
        <f>IFERROR(__xludf.DUMMYFUNCTION("""COMPUTED_VALUE"""),"Central")</f>
        <v>Central</v>
      </c>
      <c r="F1637" s="10">
        <f>IFERROR(__xludf.DUMMYFUNCTION("""COMPUTED_VALUE"""),2.376)</f>
        <v>2.376</v>
      </c>
      <c r="G1637" s="11">
        <f>IFERROR(__xludf.DUMMYFUNCTION("""COMPUTED_VALUE"""),3.0)</f>
        <v>3</v>
      </c>
      <c r="H1637" s="11">
        <f>IFERROR(__xludf.DUMMYFUNCTION("""COMPUTED_VALUE"""),0.7425)</f>
        <v>0.7425</v>
      </c>
    </row>
    <row r="1638">
      <c r="A1638" s="8" t="str">
        <f>IFERROR(__xludf.DUMMYFUNCTION("""COMPUTED_VALUE"""),"CA-2015-164084")</f>
        <v>CA-2015-164084</v>
      </c>
      <c r="B1638" s="9">
        <f>IFERROR(__xludf.DUMMYFUNCTION("""COMPUTED_VALUE"""),42254.0)</f>
        <v>42254</v>
      </c>
      <c r="C1638" s="8" t="str">
        <f>IFERROR(__xludf.DUMMYFUNCTION("""COMPUTED_VALUE"""),"Andy Gerbode")</f>
        <v>Andy Gerbode</v>
      </c>
      <c r="D1638" s="8" t="str">
        <f>IFERROR(__xludf.DUMMYFUNCTION("""COMPUTED_VALUE"""),"Corporate")</f>
        <v>Corporate</v>
      </c>
      <c r="E1638" s="8" t="str">
        <f>IFERROR(__xludf.DUMMYFUNCTION("""COMPUTED_VALUE"""),"East")</f>
        <v>East</v>
      </c>
      <c r="F1638" s="10">
        <f>IFERROR(__xludf.DUMMYFUNCTION("""COMPUTED_VALUE"""),70.26)</f>
        <v>70.26</v>
      </c>
      <c r="G1638" s="11">
        <f>IFERROR(__xludf.DUMMYFUNCTION("""COMPUTED_VALUE"""),3.0)</f>
        <v>3</v>
      </c>
      <c r="H1638" s="11">
        <f>IFERROR(__xludf.DUMMYFUNCTION("""COMPUTED_VALUE"""),18.9702)</f>
        <v>18.9702</v>
      </c>
    </row>
    <row r="1639">
      <c r="A1639" s="8" t="str">
        <f>IFERROR(__xludf.DUMMYFUNCTION("""COMPUTED_VALUE"""),"CA-2015-164301")</f>
        <v>CA-2015-164301</v>
      </c>
      <c r="B1639" s="9">
        <f>IFERROR(__xludf.DUMMYFUNCTION("""COMPUTED_VALUE"""),42089.0)</f>
        <v>42089</v>
      </c>
      <c r="C1639" s="8" t="str">
        <f>IFERROR(__xludf.DUMMYFUNCTION("""COMPUTED_VALUE"""),"Ellis Ballard")</f>
        <v>Ellis Ballard</v>
      </c>
      <c r="D1639" s="8" t="str">
        <f>IFERROR(__xludf.DUMMYFUNCTION("""COMPUTED_VALUE"""),"Corporate")</f>
        <v>Corporate</v>
      </c>
      <c r="E1639" s="8" t="str">
        <f>IFERROR(__xludf.DUMMYFUNCTION("""COMPUTED_VALUE"""),"West")</f>
        <v>West</v>
      </c>
      <c r="F1639" s="10">
        <f>IFERROR(__xludf.DUMMYFUNCTION("""COMPUTED_VALUE"""),3393.68)</f>
        <v>3393.68</v>
      </c>
      <c r="G1639" s="11">
        <f>IFERROR(__xludf.DUMMYFUNCTION("""COMPUTED_VALUE"""),8.0)</f>
        <v>8</v>
      </c>
      <c r="H1639" s="11">
        <f>IFERROR(__xludf.DUMMYFUNCTION("""COMPUTED_VALUE"""),610.8624)</f>
        <v>610.8624</v>
      </c>
    </row>
    <row r="1640">
      <c r="A1640" s="8" t="str">
        <f>IFERROR(__xludf.DUMMYFUNCTION("""COMPUTED_VALUE"""),"CA-2015-164336")</f>
        <v>CA-2015-164336</v>
      </c>
      <c r="B1640" s="9">
        <f>IFERROR(__xludf.DUMMYFUNCTION("""COMPUTED_VALUE"""),42190.0)</f>
        <v>42190</v>
      </c>
      <c r="C1640" s="8" t="str">
        <f>IFERROR(__xludf.DUMMYFUNCTION("""COMPUTED_VALUE"""),"Mitch Webber")</f>
        <v>Mitch Webber</v>
      </c>
      <c r="D1640" s="8" t="str">
        <f>IFERROR(__xludf.DUMMYFUNCTION("""COMPUTED_VALUE"""),"Consumer")</f>
        <v>Consumer</v>
      </c>
      <c r="E1640" s="8" t="str">
        <f>IFERROR(__xludf.DUMMYFUNCTION("""COMPUTED_VALUE"""),"East")</f>
        <v>East</v>
      </c>
      <c r="F1640" s="10">
        <f>IFERROR(__xludf.DUMMYFUNCTION("""COMPUTED_VALUE"""),34.8)</f>
        <v>34.8</v>
      </c>
      <c r="G1640" s="11">
        <f>IFERROR(__xludf.DUMMYFUNCTION("""COMPUTED_VALUE"""),3.0)</f>
        <v>3</v>
      </c>
      <c r="H1640" s="11">
        <f>IFERROR(__xludf.DUMMYFUNCTION("""COMPUTED_VALUE"""),2.175)</f>
        <v>2.175</v>
      </c>
    </row>
    <row r="1641">
      <c r="A1641" s="8" t="str">
        <f>IFERROR(__xludf.DUMMYFUNCTION("""COMPUTED_VALUE"""),"CA-2015-164427")</f>
        <v>CA-2015-164427</v>
      </c>
      <c r="B1641" s="9">
        <f>IFERROR(__xludf.DUMMYFUNCTION("""COMPUTED_VALUE"""),42216.0)</f>
        <v>42216</v>
      </c>
      <c r="C1641" s="8" t="str">
        <f>IFERROR(__xludf.DUMMYFUNCTION("""COMPUTED_VALUE"""),"Allen Rosenblatt")</f>
        <v>Allen Rosenblatt</v>
      </c>
      <c r="D1641" s="8" t="str">
        <f>IFERROR(__xludf.DUMMYFUNCTION("""COMPUTED_VALUE"""),"Corporate")</f>
        <v>Corporate</v>
      </c>
      <c r="E1641" s="8" t="str">
        <f>IFERROR(__xludf.DUMMYFUNCTION("""COMPUTED_VALUE"""),"South")</f>
        <v>South</v>
      </c>
      <c r="F1641" s="10">
        <f>IFERROR(__xludf.DUMMYFUNCTION("""COMPUTED_VALUE"""),239.7)</f>
        <v>239.7</v>
      </c>
      <c r="G1641" s="11">
        <f>IFERROR(__xludf.DUMMYFUNCTION("""COMPUTED_VALUE"""),6.0)</f>
        <v>6</v>
      </c>
      <c r="H1641" s="11">
        <f>IFERROR(__xludf.DUMMYFUNCTION("""COMPUTED_VALUE"""),105.468)</f>
        <v>105.468</v>
      </c>
    </row>
    <row r="1642">
      <c r="A1642" s="8" t="str">
        <f>IFERROR(__xludf.DUMMYFUNCTION("""COMPUTED_VALUE"""),"CA-2015-164441")</f>
        <v>CA-2015-164441</v>
      </c>
      <c r="B1642" s="9">
        <f>IFERROR(__xludf.DUMMYFUNCTION("""COMPUTED_VALUE"""),42316.0)</f>
        <v>42316</v>
      </c>
      <c r="C1642" s="8" t="str">
        <f>IFERROR(__xludf.DUMMYFUNCTION("""COMPUTED_VALUE"""),"Amy Cox")</f>
        <v>Amy Cox</v>
      </c>
      <c r="D1642" s="8" t="str">
        <f>IFERROR(__xludf.DUMMYFUNCTION("""COMPUTED_VALUE"""),"Consumer")</f>
        <v>Consumer</v>
      </c>
      <c r="E1642" s="8" t="str">
        <f>IFERROR(__xludf.DUMMYFUNCTION("""COMPUTED_VALUE"""),"East")</f>
        <v>East</v>
      </c>
      <c r="F1642" s="10">
        <f>IFERROR(__xludf.DUMMYFUNCTION("""COMPUTED_VALUE"""),52.272)</f>
        <v>52.272</v>
      </c>
      <c r="G1642" s="11">
        <f>IFERROR(__xludf.DUMMYFUNCTION("""COMPUTED_VALUE"""),11.0)</f>
        <v>11</v>
      </c>
      <c r="H1642" s="11">
        <f>IFERROR(__xludf.DUMMYFUNCTION("""COMPUTED_VALUE"""),17.6418)</f>
        <v>17.6418</v>
      </c>
    </row>
    <row r="1643">
      <c r="A1643" s="8" t="str">
        <f>IFERROR(__xludf.DUMMYFUNCTION("""COMPUTED_VALUE"""),"CA-2015-164497")</f>
        <v>CA-2015-164497</v>
      </c>
      <c r="B1643" s="9">
        <f>IFERROR(__xludf.DUMMYFUNCTION("""COMPUTED_VALUE"""),42336.0)</f>
        <v>42336</v>
      </c>
      <c r="C1643" s="8" t="str">
        <f>IFERROR(__xludf.DUMMYFUNCTION("""COMPUTED_VALUE"""),"Ashley Jarboe")</f>
        <v>Ashley Jarboe</v>
      </c>
      <c r="D1643" s="8" t="str">
        <f>IFERROR(__xludf.DUMMYFUNCTION("""COMPUTED_VALUE"""),"Consumer")</f>
        <v>Consumer</v>
      </c>
      <c r="E1643" s="8" t="str">
        <f>IFERROR(__xludf.DUMMYFUNCTION("""COMPUTED_VALUE"""),"West")</f>
        <v>West</v>
      </c>
      <c r="F1643" s="10">
        <f>IFERROR(__xludf.DUMMYFUNCTION("""COMPUTED_VALUE"""),45.28)</f>
        <v>45.28</v>
      </c>
      <c r="G1643" s="11">
        <f>IFERROR(__xludf.DUMMYFUNCTION("""COMPUTED_VALUE"""),4.0)</f>
        <v>4</v>
      </c>
      <c r="H1643" s="11">
        <f>IFERROR(__xludf.DUMMYFUNCTION("""COMPUTED_VALUE"""),15.3952)</f>
        <v>15.3952</v>
      </c>
    </row>
    <row r="1644">
      <c r="A1644" s="8" t="str">
        <f>IFERROR(__xludf.DUMMYFUNCTION("""COMPUTED_VALUE"""),"CA-2015-164539")</f>
        <v>CA-2015-164539</v>
      </c>
      <c r="B1644" s="9">
        <f>IFERROR(__xludf.DUMMYFUNCTION("""COMPUTED_VALUE"""),42324.0)</f>
        <v>42324</v>
      </c>
      <c r="C1644" s="8" t="str">
        <f>IFERROR(__xludf.DUMMYFUNCTION("""COMPUTED_VALUE"""),"Philisse Overcash")</f>
        <v>Philisse Overcash</v>
      </c>
      <c r="D1644" s="8" t="str">
        <f>IFERROR(__xludf.DUMMYFUNCTION("""COMPUTED_VALUE"""),"Home Office")</f>
        <v>Home Office</v>
      </c>
      <c r="E1644" s="8" t="str">
        <f>IFERROR(__xludf.DUMMYFUNCTION("""COMPUTED_VALUE"""),"East")</f>
        <v>East</v>
      </c>
      <c r="F1644" s="10">
        <f>IFERROR(__xludf.DUMMYFUNCTION("""COMPUTED_VALUE"""),523.25)</f>
        <v>523.25</v>
      </c>
      <c r="G1644" s="11">
        <f>IFERROR(__xludf.DUMMYFUNCTION("""COMPUTED_VALUE"""),5.0)</f>
        <v>5</v>
      </c>
      <c r="H1644" s="11">
        <f>IFERROR(__xludf.DUMMYFUNCTION("""COMPUTED_VALUE"""),141.2775)</f>
        <v>141.2775</v>
      </c>
    </row>
    <row r="1645">
      <c r="A1645" s="8" t="str">
        <f>IFERROR(__xludf.DUMMYFUNCTION("""COMPUTED_VALUE"""),"CA-2015-164567")</f>
        <v>CA-2015-164567</v>
      </c>
      <c r="B1645" s="9">
        <f>IFERROR(__xludf.DUMMYFUNCTION("""COMPUTED_VALUE"""),42170.0)</f>
        <v>42170</v>
      </c>
      <c r="C1645" s="8" t="str">
        <f>IFERROR(__xludf.DUMMYFUNCTION("""COMPUTED_VALUE"""),"Grace Kelly")</f>
        <v>Grace Kelly</v>
      </c>
      <c r="D1645" s="8" t="str">
        <f>IFERROR(__xludf.DUMMYFUNCTION("""COMPUTED_VALUE"""),"Corporate")</f>
        <v>Corporate</v>
      </c>
      <c r="E1645" s="8" t="str">
        <f>IFERROR(__xludf.DUMMYFUNCTION("""COMPUTED_VALUE"""),"West")</f>
        <v>West</v>
      </c>
      <c r="F1645" s="10">
        <f>IFERROR(__xludf.DUMMYFUNCTION("""COMPUTED_VALUE"""),225.576)</f>
        <v>225.576</v>
      </c>
      <c r="G1645" s="11">
        <f>IFERROR(__xludf.DUMMYFUNCTION("""COMPUTED_VALUE"""),3.0)</f>
        <v>3</v>
      </c>
      <c r="H1645" s="11">
        <f>IFERROR(__xludf.DUMMYFUNCTION("""COMPUTED_VALUE"""),22.5576)</f>
        <v>22.5576</v>
      </c>
    </row>
    <row r="1646">
      <c r="A1646" s="8" t="str">
        <f>IFERROR(__xludf.DUMMYFUNCTION("""COMPUTED_VALUE"""),"CA-2015-164623")</f>
        <v>CA-2015-164623</v>
      </c>
      <c r="B1646" s="9">
        <f>IFERROR(__xludf.DUMMYFUNCTION("""COMPUTED_VALUE"""),42297.0)</f>
        <v>42297</v>
      </c>
      <c r="C1646" s="8" t="str">
        <f>IFERROR(__xludf.DUMMYFUNCTION("""COMPUTED_VALUE"""),"Maxwell Schwartz")</f>
        <v>Maxwell Schwartz</v>
      </c>
      <c r="D1646" s="8" t="str">
        <f>IFERROR(__xludf.DUMMYFUNCTION("""COMPUTED_VALUE"""),"Consumer")</f>
        <v>Consumer</v>
      </c>
      <c r="E1646" s="8" t="str">
        <f>IFERROR(__xludf.DUMMYFUNCTION("""COMPUTED_VALUE"""),"East")</f>
        <v>East</v>
      </c>
      <c r="F1646" s="10">
        <f>IFERROR(__xludf.DUMMYFUNCTION("""COMPUTED_VALUE"""),24.56)</f>
        <v>24.56</v>
      </c>
      <c r="G1646" s="11">
        <f>IFERROR(__xludf.DUMMYFUNCTION("""COMPUTED_VALUE"""),2.0)</f>
        <v>2</v>
      </c>
      <c r="H1646" s="11">
        <f>IFERROR(__xludf.DUMMYFUNCTION("""COMPUTED_VALUE"""),11.5432)</f>
        <v>11.5432</v>
      </c>
    </row>
    <row r="1647">
      <c r="A1647" s="8" t="str">
        <f>IFERROR(__xludf.DUMMYFUNCTION("""COMPUTED_VALUE"""),"CA-2015-164777")</f>
        <v>CA-2015-164777</v>
      </c>
      <c r="B1647" s="9">
        <f>IFERROR(__xludf.DUMMYFUNCTION("""COMPUTED_VALUE"""),42031.0)</f>
        <v>42031</v>
      </c>
      <c r="C1647" s="8" t="str">
        <f>IFERROR(__xludf.DUMMYFUNCTION("""COMPUTED_VALUE"""),"Sean Christensen")</f>
        <v>Sean Christensen</v>
      </c>
      <c r="D1647" s="8" t="str">
        <f>IFERROR(__xludf.DUMMYFUNCTION("""COMPUTED_VALUE"""),"Consumer")</f>
        <v>Consumer</v>
      </c>
      <c r="E1647" s="8" t="str">
        <f>IFERROR(__xludf.DUMMYFUNCTION("""COMPUTED_VALUE"""),"West")</f>
        <v>West</v>
      </c>
      <c r="F1647" s="10">
        <f>IFERROR(__xludf.DUMMYFUNCTION("""COMPUTED_VALUE"""),2803.92)</f>
        <v>2803.92</v>
      </c>
      <c r="G1647" s="11">
        <f>IFERROR(__xludf.DUMMYFUNCTION("""COMPUTED_VALUE"""),5.0)</f>
        <v>5</v>
      </c>
      <c r="H1647" s="11">
        <f>IFERROR(__xludf.DUMMYFUNCTION("""COMPUTED_VALUE"""),0.0)</f>
        <v>0</v>
      </c>
    </row>
    <row r="1648">
      <c r="A1648" s="8" t="str">
        <f>IFERROR(__xludf.DUMMYFUNCTION("""COMPUTED_VALUE"""),"CA-2015-164833")</f>
        <v>CA-2015-164833</v>
      </c>
      <c r="B1648" s="9">
        <f>IFERROR(__xludf.DUMMYFUNCTION("""COMPUTED_VALUE"""),42159.0)</f>
        <v>42159</v>
      </c>
      <c r="C1648" s="8" t="str">
        <f>IFERROR(__xludf.DUMMYFUNCTION("""COMPUTED_VALUE"""),"Lauren Leatherbury")</f>
        <v>Lauren Leatherbury</v>
      </c>
      <c r="D1648" s="8" t="str">
        <f>IFERROR(__xludf.DUMMYFUNCTION("""COMPUTED_VALUE"""),"Consumer")</f>
        <v>Consumer</v>
      </c>
      <c r="E1648" s="8" t="str">
        <f>IFERROR(__xludf.DUMMYFUNCTION("""COMPUTED_VALUE"""),"West")</f>
        <v>West</v>
      </c>
      <c r="F1648" s="10">
        <f>IFERROR(__xludf.DUMMYFUNCTION("""COMPUTED_VALUE"""),7.38)</f>
        <v>7.38</v>
      </c>
      <c r="G1648" s="11">
        <f>IFERROR(__xludf.DUMMYFUNCTION("""COMPUTED_VALUE"""),2.0)</f>
        <v>2</v>
      </c>
      <c r="H1648" s="11">
        <f>IFERROR(__xludf.DUMMYFUNCTION("""COMPUTED_VALUE"""),3.4686)</f>
        <v>3.4686</v>
      </c>
    </row>
    <row r="1649">
      <c r="A1649" s="8" t="str">
        <f>IFERROR(__xludf.DUMMYFUNCTION("""COMPUTED_VALUE"""),"CA-2015-164882")</f>
        <v>CA-2015-164882</v>
      </c>
      <c r="B1649" s="9">
        <f>IFERROR(__xludf.DUMMYFUNCTION("""COMPUTED_VALUE"""),42308.0)</f>
        <v>42308</v>
      </c>
      <c r="C1649" s="8" t="str">
        <f>IFERROR(__xludf.DUMMYFUNCTION("""COMPUTED_VALUE"""),"Sandra Glassco")</f>
        <v>Sandra Glassco</v>
      </c>
      <c r="D1649" s="8" t="str">
        <f>IFERROR(__xludf.DUMMYFUNCTION("""COMPUTED_VALUE"""),"Consumer")</f>
        <v>Consumer</v>
      </c>
      <c r="E1649" s="8" t="str">
        <f>IFERROR(__xludf.DUMMYFUNCTION("""COMPUTED_VALUE"""),"West")</f>
        <v>West</v>
      </c>
      <c r="F1649" s="10">
        <f>IFERROR(__xludf.DUMMYFUNCTION("""COMPUTED_VALUE"""),19.98)</f>
        <v>19.98</v>
      </c>
      <c r="G1649" s="11">
        <f>IFERROR(__xludf.DUMMYFUNCTION("""COMPUTED_VALUE"""),1.0)</f>
        <v>1</v>
      </c>
      <c r="H1649" s="11">
        <f>IFERROR(__xludf.DUMMYFUNCTION("""COMPUTED_VALUE"""),9.3906)</f>
        <v>9.3906</v>
      </c>
    </row>
    <row r="1650">
      <c r="A1650" s="8" t="str">
        <f>IFERROR(__xludf.DUMMYFUNCTION("""COMPUTED_VALUE"""),"CA-2015-165050")</f>
        <v>CA-2015-165050</v>
      </c>
      <c r="B1650" s="9">
        <f>IFERROR(__xludf.DUMMYFUNCTION("""COMPUTED_VALUE"""),42345.0)</f>
        <v>42345</v>
      </c>
      <c r="C1650" s="8" t="str">
        <f>IFERROR(__xludf.DUMMYFUNCTION("""COMPUTED_VALUE"""),"Alan Hwang")</f>
        <v>Alan Hwang</v>
      </c>
      <c r="D1650" s="8" t="str">
        <f>IFERROR(__xludf.DUMMYFUNCTION("""COMPUTED_VALUE"""),"Consumer")</f>
        <v>Consumer</v>
      </c>
      <c r="E1650" s="8" t="str">
        <f>IFERROR(__xludf.DUMMYFUNCTION("""COMPUTED_VALUE"""),"East")</f>
        <v>East</v>
      </c>
      <c r="F1650" s="10">
        <f>IFERROR(__xludf.DUMMYFUNCTION("""COMPUTED_VALUE"""),21.36)</f>
        <v>21.36</v>
      </c>
      <c r="G1650" s="11">
        <f>IFERROR(__xludf.DUMMYFUNCTION("""COMPUTED_VALUE"""),5.0)</f>
        <v>5</v>
      </c>
      <c r="H1650" s="11">
        <f>IFERROR(__xludf.DUMMYFUNCTION("""COMPUTED_VALUE"""),7.209)</f>
        <v>7.209</v>
      </c>
    </row>
    <row r="1651">
      <c r="A1651" s="8" t="str">
        <f>IFERROR(__xludf.DUMMYFUNCTION("""COMPUTED_VALUE"""),"CA-2015-165057")</f>
        <v>CA-2015-165057</v>
      </c>
      <c r="B1651" s="9">
        <f>IFERROR(__xludf.DUMMYFUNCTION("""COMPUTED_VALUE"""),42258.0)</f>
        <v>42258</v>
      </c>
      <c r="C1651" s="8" t="str">
        <f>IFERROR(__xludf.DUMMYFUNCTION("""COMPUTED_VALUE"""),"Steven Cartwright")</f>
        <v>Steven Cartwright</v>
      </c>
      <c r="D1651" s="8" t="str">
        <f>IFERROR(__xludf.DUMMYFUNCTION("""COMPUTED_VALUE"""),"Consumer")</f>
        <v>Consumer</v>
      </c>
      <c r="E1651" s="8" t="str">
        <f>IFERROR(__xludf.DUMMYFUNCTION("""COMPUTED_VALUE"""),"West")</f>
        <v>West</v>
      </c>
      <c r="F1651" s="10">
        <f>IFERROR(__xludf.DUMMYFUNCTION("""COMPUTED_VALUE"""),181.35)</f>
        <v>181.35</v>
      </c>
      <c r="G1651" s="11">
        <f>IFERROR(__xludf.DUMMYFUNCTION("""COMPUTED_VALUE"""),9.0)</f>
        <v>9</v>
      </c>
      <c r="H1651" s="11">
        <f>IFERROR(__xludf.DUMMYFUNCTION("""COMPUTED_VALUE"""),48.9645)</f>
        <v>48.9645</v>
      </c>
    </row>
    <row r="1652">
      <c r="A1652" s="8" t="str">
        <f>IFERROR(__xludf.DUMMYFUNCTION("""COMPUTED_VALUE"""),"CA-2015-165085")</f>
        <v>CA-2015-165085</v>
      </c>
      <c r="B1652" s="9">
        <f>IFERROR(__xludf.DUMMYFUNCTION("""COMPUTED_VALUE"""),42365.0)</f>
        <v>42365</v>
      </c>
      <c r="C1652" s="8" t="str">
        <f>IFERROR(__xludf.DUMMYFUNCTION("""COMPUTED_VALUE"""),"Brad Thomas")</f>
        <v>Brad Thomas</v>
      </c>
      <c r="D1652" s="8" t="str">
        <f>IFERROR(__xludf.DUMMYFUNCTION("""COMPUTED_VALUE"""),"Home Office")</f>
        <v>Home Office</v>
      </c>
      <c r="E1652" s="8" t="str">
        <f>IFERROR(__xludf.DUMMYFUNCTION("""COMPUTED_VALUE"""),"East")</f>
        <v>East</v>
      </c>
      <c r="F1652" s="10">
        <f>IFERROR(__xludf.DUMMYFUNCTION("""COMPUTED_VALUE"""),28.9)</f>
        <v>28.9</v>
      </c>
      <c r="G1652" s="11">
        <f>IFERROR(__xludf.DUMMYFUNCTION("""COMPUTED_VALUE"""),5.0)</f>
        <v>5</v>
      </c>
      <c r="H1652" s="11">
        <f>IFERROR(__xludf.DUMMYFUNCTION("""COMPUTED_VALUE"""),14.161)</f>
        <v>14.161</v>
      </c>
    </row>
    <row r="1653">
      <c r="A1653" s="8" t="str">
        <f>IFERROR(__xludf.DUMMYFUNCTION("""COMPUTED_VALUE"""),"CA-2015-165162")</f>
        <v>CA-2015-165162</v>
      </c>
      <c r="B1653" s="9">
        <f>IFERROR(__xludf.DUMMYFUNCTION("""COMPUTED_VALUE"""),42138.0)</f>
        <v>42138</v>
      </c>
      <c r="C1653" s="8" t="str">
        <f>IFERROR(__xludf.DUMMYFUNCTION("""COMPUTED_VALUE"""),"Hunter Glantz")</f>
        <v>Hunter Glantz</v>
      </c>
      <c r="D1653" s="8" t="str">
        <f>IFERROR(__xludf.DUMMYFUNCTION("""COMPUTED_VALUE"""),"Consumer")</f>
        <v>Consumer</v>
      </c>
      <c r="E1653" s="8" t="str">
        <f>IFERROR(__xludf.DUMMYFUNCTION("""COMPUTED_VALUE"""),"West")</f>
        <v>West</v>
      </c>
      <c r="F1653" s="10">
        <f>IFERROR(__xludf.DUMMYFUNCTION("""COMPUTED_VALUE"""),1117.92)</f>
        <v>1117.92</v>
      </c>
      <c r="G1653" s="11">
        <f>IFERROR(__xludf.DUMMYFUNCTION("""COMPUTED_VALUE"""),4.0)</f>
        <v>4</v>
      </c>
      <c r="H1653" s="11">
        <f>IFERROR(__xludf.DUMMYFUNCTION("""COMPUTED_VALUE"""),55.896)</f>
        <v>55.896</v>
      </c>
    </row>
    <row r="1654">
      <c r="A1654" s="8" t="str">
        <f>IFERROR(__xludf.DUMMYFUNCTION("""COMPUTED_VALUE"""),"CA-2015-165414")</f>
        <v>CA-2015-165414</v>
      </c>
      <c r="B1654" s="9">
        <f>IFERROR(__xludf.DUMMYFUNCTION("""COMPUTED_VALUE"""),42359.0)</f>
        <v>42359</v>
      </c>
      <c r="C1654" s="8" t="str">
        <f>IFERROR(__xludf.DUMMYFUNCTION("""COMPUTED_VALUE"""),"Lynn Smith")</f>
        <v>Lynn Smith</v>
      </c>
      <c r="D1654" s="8" t="str">
        <f>IFERROR(__xludf.DUMMYFUNCTION("""COMPUTED_VALUE"""),"Consumer")</f>
        <v>Consumer</v>
      </c>
      <c r="E1654" s="8" t="str">
        <f>IFERROR(__xludf.DUMMYFUNCTION("""COMPUTED_VALUE"""),"South")</f>
        <v>South</v>
      </c>
      <c r="F1654" s="10">
        <f>IFERROR(__xludf.DUMMYFUNCTION("""COMPUTED_VALUE"""),47.976)</f>
        <v>47.976</v>
      </c>
      <c r="G1654" s="11">
        <f>IFERROR(__xludf.DUMMYFUNCTION("""COMPUTED_VALUE"""),3.0)</f>
        <v>3</v>
      </c>
      <c r="H1654" s="11">
        <f>IFERROR(__xludf.DUMMYFUNCTION("""COMPUTED_VALUE"""),4.7976)</f>
        <v>4.7976</v>
      </c>
    </row>
    <row r="1655">
      <c r="A1655" s="8" t="str">
        <f>IFERROR(__xludf.DUMMYFUNCTION("""COMPUTED_VALUE"""),"CA-2015-165554")</f>
        <v>CA-2015-165554</v>
      </c>
      <c r="B1655" s="9">
        <f>IFERROR(__xludf.DUMMYFUNCTION("""COMPUTED_VALUE"""),42142.0)</f>
        <v>42142</v>
      </c>
      <c r="C1655" s="8" t="str">
        <f>IFERROR(__xludf.DUMMYFUNCTION("""COMPUTED_VALUE"""),"Anthony Jacobs")</f>
        <v>Anthony Jacobs</v>
      </c>
      <c r="D1655" s="8" t="str">
        <f>IFERROR(__xludf.DUMMYFUNCTION("""COMPUTED_VALUE"""),"Corporate")</f>
        <v>Corporate</v>
      </c>
      <c r="E1655" s="8" t="str">
        <f>IFERROR(__xludf.DUMMYFUNCTION("""COMPUTED_VALUE"""),"West")</f>
        <v>West</v>
      </c>
      <c r="F1655" s="10">
        <f>IFERROR(__xludf.DUMMYFUNCTION("""COMPUTED_VALUE"""),10.86)</f>
        <v>10.86</v>
      </c>
      <c r="G1655" s="11">
        <f>IFERROR(__xludf.DUMMYFUNCTION("""COMPUTED_VALUE"""),2.0)</f>
        <v>2</v>
      </c>
      <c r="H1655" s="11">
        <f>IFERROR(__xludf.DUMMYFUNCTION("""COMPUTED_VALUE"""),5.3214)</f>
        <v>5.3214</v>
      </c>
    </row>
    <row r="1656">
      <c r="A1656" s="8" t="str">
        <f>IFERROR(__xludf.DUMMYFUNCTION("""COMPUTED_VALUE"""),"CA-2015-165624")</f>
        <v>CA-2015-165624</v>
      </c>
      <c r="B1656" s="9">
        <f>IFERROR(__xludf.DUMMYFUNCTION("""COMPUTED_VALUE"""),42239.0)</f>
        <v>42239</v>
      </c>
      <c r="C1656" s="8" t="str">
        <f>IFERROR(__xludf.DUMMYFUNCTION("""COMPUTED_VALUE"""),"Fred Harton")</f>
        <v>Fred Harton</v>
      </c>
      <c r="D1656" s="8" t="str">
        <f>IFERROR(__xludf.DUMMYFUNCTION("""COMPUTED_VALUE"""),"Consumer")</f>
        <v>Consumer</v>
      </c>
      <c r="E1656" s="8" t="str">
        <f>IFERROR(__xludf.DUMMYFUNCTION("""COMPUTED_VALUE"""),"South")</f>
        <v>South</v>
      </c>
      <c r="F1656" s="10">
        <f>IFERROR(__xludf.DUMMYFUNCTION("""COMPUTED_VALUE"""),542.94)</f>
        <v>542.94</v>
      </c>
      <c r="G1656" s="11">
        <f>IFERROR(__xludf.DUMMYFUNCTION("""COMPUTED_VALUE"""),3.0)</f>
        <v>3</v>
      </c>
      <c r="H1656" s="11">
        <f>IFERROR(__xludf.DUMMYFUNCTION("""COMPUTED_VALUE"""),152.0232)</f>
        <v>152.0232</v>
      </c>
    </row>
    <row r="1657">
      <c r="A1657" s="8" t="str">
        <f>IFERROR(__xludf.DUMMYFUNCTION("""COMPUTED_VALUE"""),"CA-2015-165799")</f>
        <v>CA-2015-165799</v>
      </c>
      <c r="B1657" s="9">
        <f>IFERROR(__xludf.DUMMYFUNCTION("""COMPUTED_VALUE"""),42184.0)</f>
        <v>42184</v>
      </c>
      <c r="C1657" s="8" t="str">
        <f>IFERROR(__xludf.DUMMYFUNCTION("""COMPUTED_VALUE"""),"Sheri Gordon")</f>
        <v>Sheri Gordon</v>
      </c>
      <c r="D1657" s="8" t="str">
        <f>IFERROR(__xludf.DUMMYFUNCTION("""COMPUTED_VALUE"""),"Consumer")</f>
        <v>Consumer</v>
      </c>
      <c r="E1657" s="8" t="str">
        <f>IFERROR(__xludf.DUMMYFUNCTION("""COMPUTED_VALUE"""),"East")</f>
        <v>East</v>
      </c>
      <c r="F1657" s="10">
        <f>IFERROR(__xludf.DUMMYFUNCTION("""COMPUTED_VALUE"""),117.882)</f>
        <v>117.882</v>
      </c>
      <c r="G1657" s="11">
        <f>IFERROR(__xludf.DUMMYFUNCTION("""COMPUTED_VALUE"""),1.0)</f>
        <v>1</v>
      </c>
      <c r="H1657" s="11">
        <f>IFERROR(__xludf.DUMMYFUNCTION("""COMPUTED_VALUE"""),1.3098)</f>
        <v>1.3098</v>
      </c>
    </row>
    <row r="1658">
      <c r="A1658" s="8" t="str">
        <f>IFERROR(__xludf.DUMMYFUNCTION("""COMPUTED_VALUE"""),"CA-2015-165813")</f>
        <v>CA-2015-165813</v>
      </c>
      <c r="B1658" s="9">
        <f>IFERROR(__xludf.DUMMYFUNCTION("""COMPUTED_VALUE"""),42083.0)</f>
        <v>42083</v>
      </c>
      <c r="C1658" s="8" t="str">
        <f>IFERROR(__xludf.DUMMYFUNCTION("""COMPUTED_VALUE"""),"Bryan Mills")</f>
        <v>Bryan Mills</v>
      </c>
      <c r="D1658" s="8" t="str">
        <f>IFERROR(__xludf.DUMMYFUNCTION("""COMPUTED_VALUE"""),"Consumer")</f>
        <v>Consumer</v>
      </c>
      <c r="E1658" s="8" t="str">
        <f>IFERROR(__xludf.DUMMYFUNCTION("""COMPUTED_VALUE"""),"West")</f>
        <v>West</v>
      </c>
      <c r="F1658" s="10">
        <f>IFERROR(__xludf.DUMMYFUNCTION("""COMPUTED_VALUE"""),29.304)</f>
        <v>29.304</v>
      </c>
      <c r="G1658" s="11">
        <f>IFERROR(__xludf.DUMMYFUNCTION("""COMPUTED_VALUE"""),3.0)</f>
        <v>3</v>
      </c>
      <c r="H1658" s="11">
        <f>IFERROR(__xludf.DUMMYFUNCTION("""COMPUTED_VALUE"""),2.5641)</f>
        <v>2.5641</v>
      </c>
    </row>
    <row r="1659">
      <c r="A1659" s="8" t="str">
        <f>IFERROR(__xludf.DUMMYFUNCTION("""COMPUTED_VALUE"""),"CA-2015-166135")</f>
        <v>CA-2015-166135</v>
      </c>
      <c r="B1659" s="9">
        <f>IFERROR(__xludf.DUMMYFUNCTION("""COMPUTED_VALUE"""),42278.0)</f>
        <v>42278</v>
      </c>
      <c r="C1659" s="8" t="str">
        <f>IFERROR(__xludf.DUMMYFUNCTION("""COMPUTED_VALUE"""),"Shaun Chance")</f>
        <v>Shaun Chance</v>
      </c>
      <c r="D1659" s="8" t="str">
        <f>IFERROR(__xludf.DUMMYFUNCTION("""COMPUTED_VALUE"""),"Corporate")</f>
        <v>Corporate</v>
      </c>
      <c r="E1659" s="8" t="str">
        <f>IFERROR(__xludf.DUMMYFUNCTION("""COMPUTED_VALUE"""),"West")</f>
        <v>West</v>
      </c>
      <c r="F1659" s="10">
        <f>IFERROR(__xludf.DUMMYFUNCTION("""COMPUTED_VALUE"""),139.424)</f>
        <v>139.424</v>
      </c>
      <c r="G1659" s="11">
        <f>IFERROR(__xludf.DUMMYFUNCTION("""COMPUTED_VALUE"""),4.0)</f>
        <v>4</v>
      </c>
      <c r="H1659" s="11">
        <f>IFERROR(__xludf.DUMMYFUNCTION("""COMPUTED_VALUE"""),17.428)</f>
        <v>17.428</v>
      </c>
    </row>
    <row r="1660">
      <c r="A1660" s="8" t="str">
        <f>IFERROR(__xludf.DUMMYFUNCTION("""COMPUTED_VALUE"""),"CA-2015-166219")</f>
        <v>CA-2015-166219</v>
      </c>
      <c r="B1660" s="9">
        <f>IFERROR(__xludf.DUMMYFUNCTION("""COMPUTED_VALUE"""),42244.0)</f>
        <v>42244</v>
      </c>
      <c r="C1660" s="8" t="str">
        <f>IFERROR(__xludf.DUMMYFUNCTION("""COMPUTED_VALUE"""),"Ben Peterman")</f>
        <v>Ben Peterman</v>
      </c>
      <c r="D1660" s="8" t="str">
        <f>IFERROR(__xludf.DUMMYFUNCTION("""COMPUTED_VALUE"""),"Corporate")</f>
        <v>Corporate</v>
      </c>
      <c r="E1660" s="8" t="str">
        <f>IFERROR(__xludf.DUMMYFUNCTION("""COMPUTED_VALUE"""),"Central")</f>
        <v>Central</v>
      </c>
      <c r="F1660" s="10">
        <f>IFERROR(__xludf.DUMMYFUNCTION("""COMPUTED_VALUE"""),1099.96)</f>
        <v>1099.96</v>
      </c>
      <c r="G1660" s="11">
        <f>IFERROR(__xludf.DUMMYFUNCTION("""COMPUTED_VALUE"""),5.0)</f>
        <v>5</v>
      </c>
      <c r="H1660" s="11">
        <f>IFERROR(__xludf.DUMMYFUNCTION("""COMPUTED_VALUE"""),82.497)</f>
        <v>82.497</v>
      </c>
    </row>
    <row r="1661">
      <c r="A1661" s="8" t="str">
        <f>IFERROR(__xludf.DUMMYFUNCTION("""COMPUTED_VALUE"""),"CA-2015-166338")</f>
        <v>CA-2015-166338</v>
      </c>
      <c r="B1661" s="9">
        <f>IFERROR(__xludf.DUMMYFUNCTION("""COMPUTED_VALUE"""),42344.0)</f>
        <v>42344</v>
      </c>
      <c r="C1661" s="8" t="str">
        <f>IFERROR(__xludf.DUMMYFUNCTION("""COMPUTED_VALUE"""),"Mike Pelletier")</f>
        <v>Mike Pelletier</v>
      </c>
      <c r="D1661" s="8" t="str">
        <f>IFERROR(__xludf.DUMMYFUNCTION("""COMPUTED_VALUE"""),"Home Office")</f>
        <v>Home Office</v>
      </c>
      <c r="E1661" s="8" t="str">
        <f>IFERROR(__xludf.DUMMYFUNCTION("""COMPUTED_VALUE"""),"East")</f>
        <v>East</v>
      </c>
      <c r="F1661" s="10">
        <f>IFERROR(__xludf.DUMMYFUNCTION("""COMPUTED_VALUE"""),14.832)</f>
        <v>14.832</v>
      </c>
      <c r="G1661" s="11">
        <f>IFERROR(__xludf.DUMMYFUNCTION("""COMPUTED_VALUE"""),3.0)</f>
        <v>3</v>
      </c>
      <c r="H1661" s="11">
        <f>IFERROR(__xludf.DUMMYFUNCTION("""COMPUTED_VALUE"""),-10.3824)</f>
        <v>-10.3824</v>
      </c>
    </row>
    <row r="1662">
      <c r="A1662" s="8" t="str">
        <f>IFERROR(__xludf.DUMMYFUNCTION("""COMPUTED_VALUE"""),"CA-2015-166464")</f>
        <v>CA-2015-166464</v>
      </c>
      <c r="B1662" s="9">
        <f>IFERROR(__xludf.DUMMYFUNCTION("""COMPUTED_VALUE"""),42259.0)</f>
        <v>42259</v>
      </c>
      <c r="C1662" s="8" t="str">
        <f>IFERROR(__xludf.DUMMYFUNCTION("""COMPUTED_VALUE"""),"Paul Gonzalez")</f>
        <v>Paul Gonzalez</v>
      </c>
      <c r="D1662" s="8" t="str">
        <f>IFERROR(__xludf.DUMMYFUNCTION("""COMPUTED_VALUE"""),"Consumer")</f>
        <v>Consumer</v>
      </c>
      <c r="E1662" s="8" t="str">
        <f>IFERROR(__xludf.DUMMYFUNCTION("""COMPUTED_VALUE"""),"East")</f>
        <v>East</v>
      </c>
      <c r="F1662" s="10">
        <f>IFERROR(__xludf.DUMMYFUNCTION("""COMPUTED_VALUE"""),479.984)</f>
        <v>479.984</v>
      </c>
      <c r="G1662" s="11">
        <f>IFERROR(__xludf.DUMMYFUNCTION("""COMPUTED_VALUE"""),2.0)</f>
        <v>2</v>
      </c>
      <c r="H1662" s="11">
        <f>IFERROR(__xludf.DUMMYFUNCTION("""COMPUTED_VALUE"""),59.998)</f>
        <v>59.998</v>
      </c>
    </row>
    <row r="1663">
      <c r="A1663" s="8" t="str">
        <f>IFERROR(__xludf.DUMMYFUNCTION("""COMPUTED_VALUE"""),"CA-2015-166492")</f>
        <v>CA-2015-166492</v>
      </c>
      <c r="B1663" s="9">
        <f>IFERROR(__xludf.DUMMYFUNCTION("""COMPUTED_VALUE"""),42101.0)</f>
        <v>42101</v>
      </c>
      <c r="C1663" s="8" t="str">
        <f>IFERROR(__xludf.DUMMYFUNCTION("""COMPUTED_VALUE"""),"Resi Pölking")</f>
        <v>Resi Pölking</v>
      </c>
      <c r="D1663" s="8" t="str">
        <f>IFERROR(__xludf.DUMMYFUNCTION("""COMPUTED_VALUE"""),"Consumer")</f>
        <v>Consumer</v>
      </c>
      <c r="E1663" s="8" t="str">
        <f>IFERROR(__xludf.DUMMYFUNCTION("""COMPUTED_VALUE"""),"East")</f>
        <v>East</v>
      </c>
      <c r="F1663" s="10">
        <f>IFERROR(__xludf.DUMMYFUNCTION("""COMPUTED_VALUE"""),25.92)</f>
        <v>25.92</v>
      </c>
      <c r="G1663" s="11">
        <f>IFERROR(__xludf.DUMMYFUNCTION("""COMPUTED_VALUE"""),4.0)</f>
        <v>4</v>
      </c>
      <c r="H1663" s="11">
        <f>IFERROR(__xludf.DUMMYFUNCTION("""COMPUTED_VALUE"""),12.4416)</f>
        <v>12.4416</v>
      </c>
    </row>
    <row r="1664">
      <c r="A1664" s="8" t="str">
        <f>IFERROR(__xludf.DUMMYFUNCTION("""COMPUTED_VALUE"""),"CA-2015-166583")</f>
        <v>CA-2015-166583</v>
      </c>
      <c r="B1664" s="9">
        <f>IFERROR(__xludf.DUMMYFUNCTION("""COMPUTED_VALUE"""),42181.0)</f>
        <v>42181</v>
      </c>
      <c r="C1664" s="8" t="str">
        <f>IFERROR(__xludf.DUMMYFUNCTION("""COMPUTED_VALUE"""),"Valerie Dominguez")</f>
        <v>Valerie Dominguez</v>
      </c>
      <c r="D1664" s="8" t="str">
        <f>IFERROR(__xludf.DUMMYFUNCTION("""COMPUTED_VALUE"""),"Consumer")</f>
        <v>Consumer</v>
      </c>
      <c r="E1664" s="8" t="str">
        <f>IFERROR(__xludf.DUMMYFUNCTION("""COMPUTED_VALUE"""),"Central")</f>
        <v>Central</v>
      </c>
      <c r="F1664" s="10">
        <f>IFERROR(__xludf.DUMMYFUNCTION("""COMPUTED_VALUE"""),971.88)</f>
        <v>971.88</v>
      </c>
      <c r="G1664" s="11">
        <f>IFERROR(__xludf.DUMMYFUNCTION("""COMPUTED_VALUE"""),3.0)</f>
        <v>3</v>
      </c>
      <c r="H1664" s="11">
        <f>IFERROR(__xludf.DUMMYFUNCTION("""COMPUTED_VALUE"""),109.3365)</f>
        <v>109.3365</v>
      </c>
    </row>
    <row r="1665">
      <c r="A1665" s="8" t="str">
        <f>IFERROR(__xludf.DUMMYFUNCTION("""COMPUTED_VALUE"""),"CA-2015-166604")</f>
        <v>CA-2015-166604</v>
      </c>
      <c r="B1665" s="9">
        <f>IFERROR(__xludf.DUMMYFUNCTION("""COMPUTED_VALUE"""),42139.0)</f>
        <v>42139</v>
      </c>
      <c r="C1665" s="8" t="str">
        <f>IFERROR(__xludf.DUMMYFUNCTION("""COMPUTED_VALUE"""),"Anna Häberlin")</f>
        <v>Anna Häberlin</v>
      </c>
      <c r="D1665" s="8" t="str">
        <f>IFERROR(__xludf.DUMMYFUNCTION("""COMPUTED_VALUE"""),"Corporate")</f>
        <v>Corporate</v>
      </c>
      <c r="E1665" s="8" t="str">
        <f>IFERROR(__xludf.DUMMYFUNCTION("""COMPUTED_VALUE"""),"South")</f>
        <v>South</v>
      </c>
      <c r="F1665" s="10">
        <f>IFERROR(__xludf.DUMMYFUNCTION("""COMPUTED_VALUE"""),17.94)</f>
        <v>17.94</v>
      </c>
      <c r="G1665" s="11">
        <f>IFERROR(__xludf.DUMMYFUNCTION("""COMPUTED_VALUE"""),3.0)</f>
        <v>3</v>
      </c>
      <c r="H1665" s="11">
        <f>IFERROR(__xludf.DUMMYFUNCTION("""COMPUTED_VALUE"""),8.7906)</f>
        <v>8.7906</v>
      </c>
    </row>
    <row r="1666">
      <c r="A1666" s="8" t="str">
        <f>IFERROR(__xludf.DUMMYFUNCTION("""COMPUTED_VALUE"""),"CA-2015-166800")</f>
        <v>CA-2015-166800</v>
      </c>
      <c r="B1666" s="9">
        <f>IFERROR(__xludf.DUMMYFUNCTION("""COMPUTED_VALUE"""),42327.0)</f>
        <v>42327</v>
      </c>
      <c r="C1666" s="8" t="str">
        <f>IFERROR(__xludf.DUMMYFUNCTION("""COMPUTED_VALUE"""),"Aleksandra Gannaway")</f>
        <v>Aleksandra Gannaway</v>
      </c>
      <c r="D1666" s="8" t="str">
        <f>IFERROR(__xludf.DUMMYFUNCTION("""COMPUTED_VALUE"""),"Corporate")</f>
        <v>Corporate</v>
      </c>
      <c r="E1666" s="8" t="str">
        <f>IFERROR(__xludf.DUMMYFUNCTION("""COMPUTED_VALUE"""),"West")</f>
        <v>West</v>
      </c>
      <c r="F1666" s="10">
        <f>IFERROR(__xludf.DUMMYFUNCTION("""COMPUTED_VALUE"""),31.08)</f>
        <v>31.08</v>
      </c>
      <c r="G1666" s="11">
        <f>IFERROR(__xludf.DUMMYFUNCTION("""COMPUTED_VALUE"""),4.0)</f>
        <v>4</v>
      </c>
      <c r="H1666" s="11">
        <f>IFERROR(__xludf.DUMMYFUNCTION("""COMPUTED_VALUE"""),8.3916)</f>
        <v>8.3916</v>
      </c>
    </row>
    <row r="1667">
      <c r="A1667" s="8" t="str">
        <f>IFERROR(__xludf.DUMMYFUNCTION("""COMPUTED_VALUE"""),"CA-2015-166947")</f>
        <v>CA-2015-166947</v>
      </c>
      <c r="B1667" s="9">
        <f>IFERROR(__xludf.DUMMYFUNCTION("""COMPUTED_VALUE"""),42160.0)</f>
        <v>42160</v>
      </c>
      <c r="C1667" s="8" t="str">
        <f>IFERROR(__xludf.DUMMYFUNCTION("""COMPUTED_VALUE"""),"Edward Becker")</f>
        <v>Edward Becker</v>
      </c>
      <c r="D1667" s="8" t="str">
        <f>IFERROR(__xludf.DUMMYFUNCTION("""COMPUTED_VALUE"""),"Corporate")</f>
        <v>Corporate</v>
      </c>
      <c r="E1667" s="8" t="str">
        <f>IFERROR(__xludf.DUMMYFUNCTION("""COMPUTED_VALUE"""),"East")</f>
        <v>East</v>
      </c>
      <c r="F1667" s="10">
        <f>IFERROR(__xludf.DUMMYFUNCTION("""COMPUTED_VALUE"""),1522.638)</f>
        <v>1522.638</v>
      </c>
      <c r="G1667" s="11">
        <f>IFERROR(__xludf.DUMMYFUNCTION("""COMPUTED_VALUE"""),9.0)</f>
        <v>9</v>
      </c>
      <c r="H1667" s="11">
        <f>IFERROR(__xludf.DUMMYFUNCTION("""COMPUTED_VALUE"""),169.182)</f>
        <v>169.182</v>
      </c>
    </row>
    <row r="1668">
      <c r="A1668" s="8" t="str">
        <f>IFERROR(__xludf.DUMMYFUNCTION("""COMPUTED_VALUE"""),"CA-2015-166975")</f>
        <v>CA-2015-166975</v>
      </c>
      <c r="B1668" s="9">
        <f>IFERROR(__xludf.DUMMYFUNCTION("""COMPUTED_VALUE"""),42334.0)</f>
        <v>42334</v>
      </c>
      <c r="C1668" s="8" t="str">
        <f>IFERROR(__xludf.DUMMYFUNCTION("""COMPUTED_VALUE"""),"Stefanie Holloman")</f>
        <v>Stefanie Holloman</v>
      </c>
      <c r="D1668" s="8" t="str">
        <f>IFERROR(__xludf.DUMMYFUNCTION("""COMPUTED_VALUE"""),"Corporate")</f>
        <v>Corporate</v>
      </c>
      <c r="E1668" s="8" t="str">
        <f>IFERROR(__xludf.DUMMYFUNCTION("""COMPUTED_VALUE"""),"South")</f>
        <v>South</v>
      </c>
      <c r="F1668" s="10">
        <f>IFERROR(__xludf.DUMMYFUNCTION("""COMPUTED_VALUE"""),692.472)</f>
        <v>692.472</v>
      </c>
      <c r="G1668" s="11">
        <f>IFERROR(__xludf.DUMMYFUNCTION("""COMPUTED_VALUE"""),11.0)</f>
        <v>11</v>
      </c>
      <c r="H1668" s="11">
        <f>IFERROR(__xludf.DUMMYFUNCTION("""COMPUTED_VALUE"""),190.4298)</f>
        <v>190.4298</v>
      </c>
    </row>
    <row r="1669">
      <c r="A1669" s="8" t="str">
        <f>IFERROR(__xludf.DUMMYFUNCTION("""COMPUTED_VALUE"""),"CA-2015-167010")</f>
        <v>CA-2015-167010</v>
      </c>
      <c r="B1669" s="9">
        <f>IFERROR(__xludf.DUMMYFUNCTION("""COMPUTED_VALUE"""),42099.0)</f>
        <v>42099</v>
      </c>
      <c r="C1669" s="8" t="str">
        <f>IFERROR(__xludf.DUMMYFUNCTION("""COMPUTED_VALUE"""),"Valerie Takahito")</f>
        <v>Valerie Takahito</v>
      </c>
      <c r="D1669" s="8" t="str">
        <f>IFERROR(__xludf.DUMMYFUNCTION("""COMPUTED_VALUE"""),"Home Office")</f>
        <v>Home Office</v>
      </c>
      <c r="E1669" s="8" t="str">
        <f>IFERROR(__xludf.DUMMYFUNCTION("""COMPUTED_VALUE"""),"East")</f>
        <v>East</v>
      </c>
      <c r="F1669" s="10">
        <f>IFERROR(__xludf.DUMMYFUNCTION("""COMPUTED_VALUE"""),98.112)</f>
        <v>98.112</v>
      </c>
      <c r="G1669" s="11">
        <f>IFERROR(__xludf.DUMMYFUNCTION("""COMPUTED_VALUE"""),7.0)</f>
        <v>7</v>
      </c>
      <c r="H1669" s="11">
        <f>IFERROR(__xludf.DUMMYFUNCTION("""COMPUTED_VALUE"""),18.396)</f>
        <v>18.396</v>
      </c>
    </row>
    <row r="1670">
      <c r="A1670" s="8" t="str">
        <f>IFERROR(__xludf.DUMMYFUNCTION("""COMPUTED_VALUE"""),"CA-2015-167255")</f>
        <v>CA-2015-167255</v>
      </c>
      <c r="B1670" s="9">
        <f>IFERROR(__xludf.DUMMYFUNCTION("""COMPUTED_VALUE"""),42274.0)</f>
        <v>42274</v>
      </c>
      <c r="C1670" s="8" t="str">
        <f>IFERROR(__xludf.DUMMYFUNCTION("""COMPUTED_VALUE"""),"Rick Huthwaite")</f>
        <v>Rick Huthwaite</v>
      </c>
      <c r="D1670" s="8" t="str">
        <f>IFERROR(__xludf.DUMMYFUNCTION("""COMPUTED_VALUE"""),"Home Office")</f>
        <v>Home Office</v>
      </c>
      <c r="E1670" s="8" t="str">
        <f>IFERROR(__xludf.DUMMYFUNCTION("""COMPUTED_VALUE"""),"West")</f>
        <v>West</v>
      </c>
      <c r="F1670" s="10">
        <f>IFERROR(__xludf.DUMMYFUNCTION("""COMPUTED_VALUE"""),15.51)</f>
        <v>15.51</v>
      </c>
      <c r="G1670" s="11">
        <f>IFERROR(__xludf.DUMMYFUNCTION("""COMPUTED_VALUE"""),1.0)</f>
        <v>1</v>
      </c>
      <c r="H1670" s="11">
        <f>IFERROR(__xludf.DUMMYFUNCTION("""COMPUTED_VALUE"""),4.3428)</f>
        <v>4.3428</v>
      </c>
    </row>
    <row r="1671">
      <c r="A1671" s="8" t="str">
        <f>IFERROR(__xludf.DUMMYFUNCTION("""COMPUTED_VALUE"""),"CA-2015-167269")</f>
        <v>CA-2015-167269</v>
      </c>
      <c r="B1671" s="9">
        <f>IFERROR(__xludf.DUMMYFUNCTION("""COMPUTED_VALUE"""),42171.0)</f>
        <v>42171</v>
      </c>
      <c r="C1671" s="8" t="str">
        <f>IFERROR(__xludf.DUMMYFUNCTION("""COMPUTED_VALUE"""),"Philip Brown")</f>
        <v>Philip Brown</v>
      </c>
      <c r="D1671" s="8" t="str">
        <f>IFERROR(__xludf.DUMMYFUNCTION("""COMPUTED_VALUE"""),"Consumer")</f>
        <v>Consumer</v>
      </c>
      <c r="E1671" s="8" t="str">
        <f>IFERROR(__xludf.DUMMYFUNCTION("""COMPUTED_VALUE"""),"East")</f>
        <v>East</v>
      </c>
      <c r="F1671" s="10">
        <f>IFERROR(__xludf.DUMMYFUNCTION("""COMPUTED_VALUE"""),6.208)</f>
        <v>6.208</v>
      </c>
      <c r="G1671" s="11">
        <f>IFERROR(__xludf.DUMMYFUNCTION("""COMPUTED_VALUE"""),2.0)</f>
        <v>2</v>
      </c>
      <c r="H1671" s="11">
        <f>IFERROR(__xludf.DUMMYFUNCTION("""COMPUTED_VALUE"""),2.1728)</f>
        <v>2.1728</v>
      </c>
    </row>
    <row r="1672">
      <c r="A1672" s="8" t="str">
        <f>IFERROR(__xludf.DUMMYFUNCTION("""COMPUTED_VALUE"""),"CA-2015-167374")</f>
        <v>CA-2015-167374</v>
      </c>
      <c r="B1672" s="9">
        <f>IFERROR(__xludf.DUMMYFUNCTION("""COMPUTED_VALUE"""),42089.0)</f>
        <v>42089</v>
      </c>
      <c r="C1672" s="8" t="str">
        <f>IFERROR(__xludf.DUMMYFUNCTION("""COMPUTED_VALUE"""),"Gene McClure")</f>
        <v>Gene McClure</v>
      </c>
      <c r="D1672" s="8" t="str">
        <f>IFERROR(__xludf.DUMMYFUNCTION("""COMPUTED_VALUE"""),"Consumer")</f>
        <v>Consumer</v>
      </c>
      <c r="E1672" s="8" t="str">
        <f>IFERROR(__xludf.DUMMYFUNCTION("""COMPUTED_VALUE"""),"East")</f>
        <v>East</v>
      </c>
      <c r="F1672" s="10">
        <f>IFERROR(__xludf.DUMMYFUNCTION("""COMPUTED_VALUE"""),40.032)</f>
        <v>40.032</v>
      </c>
      <c r="G1672" s="11">
        <f>IFERROR(__xludf.DUMMYFUNCTION("""COMPUTED_VALUE"""),6.0)</f>
        <v>6</v>
      </c>
      <c r="H1672" s="11">
        <f>IFERROR(__xludf.DUMMYFUNCTION("""COMPUTED_VALUE"""),12.51)</f>
        <v>12.51</v>
      </c>
    </row>
    <row r="1673">
      <c r="A1673" s="8" t="str">
        <f>IFERROR(__xludf.DUMMYFUNCTION("""COMPUTED_VALUE"""),"CA-2015-167479")</f>
        <v>CA-2015-167479</v>
      </c>
      <c r="B1673" s="9">
        <f>IFERROR(__xludf.DUMMYFUNCTION("""COMPUTED_VALUE"""),42077.0)</f>
        <v>42077</v>
      </c>
      <c r="C1673" s="8" t="str">
        <f>IFERROR(__xludf.DUMMYFUNCTION("""COMPUTED_VALUE"""),"Arianne Irving")</f>
        <v>Arianne Irving</v>
      </c>
      <c r="D1673" s="8" t="str">
        <f>IFERROR(__xludf.DUMMYFUNCTION("""COMPUTED_VALUE"""),"Consumer")</f>
        <v>Consumer</v>
      </c>
      <c r="E1673" s="8" t="str">
        <f>IFERROR(__xludf.DUMMYFUNCTION("""COMPUTED_VALUE"""),"West")</f>
        <v>West</v>
      </c>
      <c r="F1673" s="10">
        <f>IFERROR(__xludf.DUMMYFUNCTION("""COMPUTED_VALUE"""),19.44)</f>
        <v>19.44</v>
      </c>
      <c r="G1673" s="11">
        <f>IFERROR(__xludf.DUMMYFUNCTION("""COMPUTED_VALUE"""),3.0)</f>
        <v>3</v>
      </c>
      <c r="H1673" s="11">
        <f>IFERROR(__xludf.DUMMYFUNCTION("""COMPUTED_VALUE"""),9.3312)</f>
        <v>9.3312</v>
      </c>
    </row>
    <row r="1674">
      <c r="A1674" s="8" t="str">
        <f>IFERROR(__xludf.DUMMYFUNCTION("""COMPUTED_VALUE"""),"CA-2015-167696")</f>
        <v>CA-2015-167696</v>
      </c>
      <c r="B1674" s="9">
        <f>IFERROR(__xludf.DUMMYFUNCTION("""COMPUTED_VALUE"""),42263.0)</f>
        <v>42263</v>
      </c>
      <c r="C1674" s="8" t="str">
        <f>IFERROR(__xludf.DUMMYFUNCTION("""COMPUTED_VALUE"""),"Bradley Drucker")</f>
        <v>Bradley Drucker</v>
      </c>
      <c r="D1674" s="8" t="str">
        <f>IFERROR(__xludf.DUMMYFUNCTION("""COMPUTED_VALUE"""),"Consumer")</f>
        <v>Consumer</v>
      </c>
      <c r="E1674" s="8" t="str">
        <f>IFERROR(__xludf.DUMMYFUNCTION("""COMPUTED_VALUE"""),"South")</f>
        <v>South</v>
      </c>
      <c r="F1674" s="10">
        <f>IFERROR(__xludf.DUMMYFUNCTION("""COMPUTED_VALUE"""),31.12)</f>
        <v>31.12</v>
      </c>
      <c r="G1674" s="11">
        <f>IFERROR(__xludf.DUMMYFUNCTION("""COMPUTED_VALUE"""),4.0)</f>
        <v>4</v>
      </c>
      <c r="H1674" s="11">
        <f>IFERROR(__xludf.DUMMYFUNCTION("""COMPUTED_VALUE"""),14.6264)</f>
        <v>14.6264</v>
      </c>
    </row>
    <row r="1675">
      <c r="A1675" s="8" t="str">
        <f>IFERROR(__xludf.DUMMYFUNCTION("""COMPUTED_VALUE"""),"CA-2015-167745")</f>
        <v>CA-2015-167745</v>
      </c>
      <c r="B1675" s="9">
        <f>IFERROR(__xludf.DUMMYFUNCTION("""COMPUTED_VALUE"""),42265.0)</f>
        <v>42265</v>
      </c>
      <c r="C1675" s="8" t="str">
        <f>IFERROR(__xludf.DUMMYFUNCTION("""COMPUTED_VALUE"""),"George Bell")</f>
        <v>George Bell</v>
      </c>
      <c r="D1675" s="8" t="str">
        <f>IFERROR(__xludf.DUMMYFUNCTION("""COMPUTED_VALUE"""),"Corporate")</f>
        <v>Corporate</v>
      </c>
      <c r="E1675" s="8" t="str">
        <f>IFERROR(__xludf.DUMMYFUNCTION("""COMPUTED_VALUE"""),"West")</f>
        <v>West</v>
      </c>
      <c r="F1675" s="10">
        <f>IFERROR(__xludf.DUMMYFUNCTION("""COMPUTED_VALUE"""),11.68)</f>
        <v>11.68</v>
      </c>
      <c r="G1675" s="11">
        <f>IFERROR(__xludf.DUMMYFUNCTION("""COMPUTED_VALUE"""),2.0)</f>
        <v>2</v>
      </c>
      <c r="H1675" s="11">
        <f>IFERROR(__xludf.DUMMYFUNCTION("""COMPUTED_VALUE"""),5.4896)</f>
        <v>5.4896</v>
      </c>
    </row>
    <row r="1676">
      <c r="A1676" s="8" t="str">
        <f>IFERROR(__xludf.DUMMYFUNCTION("""COMPUTED_VALUE"""),"CA-2015-168004")</f>
        <v>CA-2015-168004</v>
      </c>
      <c r="B1676" s="9">
        <f>IFERROR(__xludf.DUMMYFUNCTION("""COMPUTED_VALUE"""),42281.0)</f>
        <v>42281</v>
      </c>
      <c r="C1676" s="8" t="str">
        <f>IFERROR(__xludf.DUMMYFUNCTION("""COMPUTED_VALUE"""),"Denny Joy")</f>
        <v>Denny Joy</v>
      </c>
      <c r="D1676" s="8" t="str">
        <f>IFERROR(__xludf.DUMMYFUNCTION("""COMPUTED_VALUE"""),"Corporate")</f>
        <v>Corporate</v>
      </c>
      <c r="E1676" s="8" t="str">
        <f>IFERROR(__xludf.DUMMYFUNCTION("""COMPUTED_VALUE"""),"South")</f>
        <v>South</v>
      </c>
      <c r="F1676" s="10">
        <f>IFERROR(__xludf.DUMMYFUNCTION("""COMPUTED_VALUE"""),392.94)</f>
        <v>392.94</v>
      </c>
      <c r="G1676" s="11">
        <f>IFERROR(__xludf.DUMMYFUNCTION("""COMPUTED_VALUE"""),3.0)</f>
        <v>3</v>
      </c>
      <c r="H1676" s="11">
        <f>IFERROR(__xludf.DUMMYFUNCTION("""COMPUTED_VALUE"""),43.2234)</f>
        <v>43.2234</v>
      </c>
    </row>
    <row r="1677">
      <c r="A1677" s="8" t="str">
        <f>IFERROR(__xludf.DUMMYFUNCTION("""COMPUTED_VALUE"""),"CA-2015-168088")</f>
        <v>CA-2015-168088</v>
      </c>
      <c r="B1677" s="9">
        <f>IFERROR(__xludf.DUMMYFUNCTION("""COMPUTED_VALUE"""),42082.0)</f>
        <v>42082</v>
      </c>
      <c r="C1677" s="8" t="str">
        <f>IFERROR(__xludf.DUMMYFUNCTION("""COMPUTED_VALUE"""),"Corinna Mitchell")</f>
        <v>Corinna Mitchell</v>
      </c>
      <c r="D1677" s="8" t="str">
        <f>IFERROR(__xludf.DUMMYFUNCTION("""COMPUTED_VALUE"""),"Home Office")</f>
        <v>Home Office</v>
      </c>
      <c r="E1677" s="8" t="str">
        <f>IFERROR(__xludf.DUMMYFUNCTION("""COMPUTED_VALUE"""),"Central")</f>
        <v>Central</v>
      </c>
      <c r="F1677" s="10">
        <f>IFERROR(__xludf.DUMMYFUNCTION("""COMPUTED_VALUE"""),65.584)</f>
        <v>65.584</v>
      </c>
      <c r="G1677" s="11">
        <f>IFERROR(__xludf.DUMMYFUNCTION("""COMPUTED_VALUE"""),2.0)</f>
        <v>2</v>
      </c>
      <c r="H1677" s="11">
        <f>IFERROR(__xludf.DUMMYFUNCTION("""COMPUTED_VALUE"""),23.7742)</f>
        <v>23.7742</v>
      </c>
    </row>
    <row r="1678">
      <c r="A1678" s="8" t="str">
        <f>IFERROR(__xludf.DUMMYFUNCTION("""COMPUTED_VALUE"""),"CA-2015-168186")</f>
        <v>CA-2015-168186</v>
      </c>
      <c r="B1678" s="9">
        <f>IFERROR(__xludf.DUMMYFUNCTION("""COMPUTED_VALUE"""),42257.0)</f>
        <v>42257</v>
      </c>
      <c r="C1678" s="8" t="str">
        <f>IFERROR(__xludf.DUMMYFUNCTION("""COMPUTED_VALUE"""),"Aimee Bixby")</f>
        <v>Aimee Bixby</v>
      </c>
      <c r="D1678" s="8" t="str">
        <f>IFERROR(__xludf.DUMMYFUNCTION("""COMPUTED_VALUE"""),"Consumer")</f>
        <v>Consumer</v>
      </c>
      <c r="E1678" s="8" t="str">
        <f>IFERROR(__xludf.DUMMYFUNCTION("""COMPUTED_VALUE"""),"Central")</f>
        <v>Central</v>
      </c>
      <c r="F1678" s="10">
        <f>IFERROR(__xludf.DUMMYFUNCTION("""COMPUTED_VALUE"""),14.94)</f>
        <v>14.94</v>
      </c>
      <c r="G1678" s="11">
        <f>IFERROR(__xludf.DUMMYFUNCTION("""COMPUTED_VALUE"""),3.0)</f>
        <v>3</v>
      </c>
      <c r="H1678" s="11">
        <f>IFERROR(__xludf.DUMMYFUNCTION("""COMPUTED_VALUE"""),7.0218)</f>
        <v>7.0218</v>
      </c>
    </row>
    <row r="1679">
      <c r="A1679" s="8" t="str">
        <f>IFERROR(__xludf.DUMMYFUNCTION("""COMPUTED_VALUE"""),"CA-2015-168207")</f>
        <v>CA-2015-168207</v>
      </c>
      <c r="B1679" s="9">
        <f>IFERROR(__xludf.DUMMYFUNCTION("""COMPUTED_VALUE"""),42310.0)</f>
        <v>42310</v>
      </c>
      <c r="C1679" s="8" t="str">
        <f>IFERROR(__xludf.DUMMYFUNCTION("""COMPUTED_VALUE"""),"Liz Thompson")</f>
        <v>Liz Thompson</v>
      </c>
      <c r="D1679" s="8" t="str">
        <f>IFERROR(__xludf.DUMMYFUNCTION("""COMPUTED_VALUE"""),"Consumer")</f>
        <v>Consumer</v>
      </c>
      <c r="E1679" s="8" t="str">
        <f>IFERROR(__xludf.DUMMYFUNCTION("""COMPUTED_VALUE"""),"West")</f>
        <v>West</v>
      </c>
      <c r="F1679" s="10">
        <f>IFERROR(__xludf.DUMMYFUNCTION("""COMPUTED_VALUE"""),96.96)</f>
        <v>96.96</v>
      </c>
      <c r="G1679" s="11">
        <f>IFERROR(__xludf.DUMMYFUNCTION("""COMPUTED_VALUE"""),6.0)</f>
        <v>6</v>
      </c>
      <c r="H1679" s="11">
        <f>IFERROR(__xludf.DUMMYFUNCTION("""COMPUTED_VALUE"""),33.936)</f>
        <v>33.936</v>
      </c>
    </row>
    <row r="1680">
      <c r="A1680" s="8" t="str">
        <f>IFERROR(__xludf.DUMMYFUNCTION("""COMPUTED_VALUE"""),"CA-2015-168277")</f>
        <v>CA-2015-168277</v>
      </c>
      <c r="B1680" s="9">
        <f>IFERROR(__xludf.DUMMYFUNCTION("""COMPUTED_VALUE"""),42153.0)</f>
        <v>42153</v>
      </c>
      <c r="C1680" s="8" t="str">
        <f>IFERROR(__xludf.DUMMYFUNCTION("""COMPUTED_VALUE"""),"Karl Braun")</f>
        <v>Karl Braun</v>
      </c>
      <c r="D1680" s="8" t="str">
        <f>IFERROR(__xludf.DUMMYFUNCTION("""COMPUTED_VALUE"""),"Consumer")</f>
        <v>Consumer</v>
      </c>
      <c r="E1680" s="8" t="str">
        <f>IFERROR(__xludf.DUMMYFUNCTION("""COMPUTED_VALUE"""),"Central")</f>
        <v>Central</v>
      </c>
      <c r="F1680" s="10">
        <f>IFERROR(__xludf.DUMMYFUNCTION("""COMPUTED_VALUE"""),12.39)</f>
        <v>12.39</v>
      </c>
      <c r="G1680" s="11">
        <f>IFERROR(__xludf.DUMMYFUNCTION("""COMPUTED_VALUE"""),3.0)</f>
        <v>3</v>
      </c>
      <c r="H1680" s="11">
        <f>IFERROR(__xludf.DUMMYFUNCTION("""COMPUTED_VALUE"""),5.6994)</f>
        <v>5.6994</v>
      </c>
    </row>
    <row r="1681">
      <c r="A1681" s="8" t="str">
        <f>IFERROR(__xludf.DUMMYFUNCTION("""COMPUTED_VALUE"""),"CA-2015-168459")</f>
        <v>CA-2015-168459</v>
      </c>
      <c r="B1681" s="9">
        <f>IFERROR(__xludf.DUMMYFUNCTION("""COMPUTED_VALUE"""),42330.0)</f>
        <v>42330</v>
      </c>
      <c r="C1681" s="8" t="str">
        <f>IFERROR(__xludf.DUMMYFUNCTION("""COMPUTED_VALUE"""),"Marc Crier")</f>
        <v>Marc Crier</v>
      </c>
      <c r="D1681" s="8" t="str">
        <f>IFERROR(__xludf.DUMMYFUNCTION("""COMPUTED_VALUE"""),"Consumer")</f>
        <v>Consumer</v>
      </c>
      <c r="E1681" s="8" t="str">
        <f>IFERROR(__xludf.DUMMYFUNCTION("""COMPUTED_VALUE"""),"South")</f>
        <v>South</v>
      </c>
      <c r="F1681" s="10">
        <f>IFERROR(__xludf.DUMMYFUNCTION("""COMPUTED_VALUE"""),2.946)</f>
        <v>2.946</v>
      </c>
      <c r="G1681" s="11">
        <f>IFERROR(__xludf.DUMMYFUNCTION("""COMPUTED_VALUE"""),2.0)</f>
        <v>2</v>
      </c>
      <c r="H1681" s="11">
        <f>IFERROR(__xludf.DUMMYFUNCTION("""COMPUTED_VALUE"""),-2.0622)</f>
        <v>-2.0622</v>
      </c>
    </row>
    <row r="1682">
      <c r="A1682" s="8" t="str">
        <f>IFERROR(__xludf.DUMMYFUNCTION("""COMPUTED_VALUE"""),"CA-2015-168480")</f>
        <v>CA-2015-168480</v>
      </c>
      <c r="B1682" s="9">
        <f>IFERROR(__xludf.DUMMYFUNCTION("""COMPUTED_VALUE"""),42268.0)</f>
        <v>42268</v>
      </c>
      <c r="C1682" s="8" t="str">
        <f>IFERROR(__xludf.DUMMYFUNCTION("""COMPUTED_VALUE"""),"Dario Medina")</f>
        <v>Dario Medina</v>
      </c>
      <c r="D1682" s="8" t="str">
        <f>IFERROR(__xludf.DUMMYFUNCTION("""COMPUTED_VALUE"""),"Corporate")</f>
        <v>Corporate</v>
      </c>
      <c r="E1682" s="8" t="str">
        <f>IFERROR(__xludf.DUMMYFUNCTION("""COMPUTED_VALUE"""),"Central")</f>
        <v>Central</v>
      </c>
      <c r="F1682" s="10">
        <f>IFERROR(__xludf.DUMMYFUNCTION("""COMPUTED_VALUE"""),194.32)</f>
        <v>194.32</v>
      </c>
      <c r="G1682" s="11">
        <f>IFERROR(__xludf.DUMMYFUNCTION("""COMPUTED_VALUE"""),4.0)</f>
        <v>4</v>
      </c>
      <c r="H1682" s="11">
        <f>IFERROR(__xludf.DUMMYFUNCTION("""COMPUTED_VALUE"""),31.0912)</f>
        <v>31.0912</v>
      </c>
    </row>
    <row r="1683">
      <c r="A1683" s="8" t="str">
        <f>IFERROR(__xludf.DUMMYFUNCTION("""COMPUTED_VALUE"""),"CA-2015-168529")</f>
        <v>CA-2015-168529</v>
      </c>
      <c r="B1683" s="9">
        <f>IFERROR(__xludf.DUMMYFUNCTION("""COMPUTED_VALUE"""),42285.0)</f>
        <v>42285</v>
      </c>
      <c r="C1683" s="8" t="str">
        <f>IFERROR(__xludf.DUMMYFUNCTION("""COMPUTED_VALUE"""),"Maria Bertelson")</f>
        <v>Maria Bertelson</v>
      </c>
      <c r="D1683" s="8" t="str">
        <f>IFERROR(__xludf.DUMMYFUNCTION("""COMPUTED_VALUE"""),"Consumer")</f>
        <v>Consumer</v>
      </c>
      <c r="E1683" s="8" t="str">
        <f>IFERROR(__xludf.DUMMYFUNCTION("""COMPUTED_VALUE"""),"West")</f>
        <v>West</v>
      </c>
      <c r="F1683" s="10">
        <f>IFERROR(__xludf.DUMMYFUNCTION("""COMPUTED_VALUE"""),145.9)</f>
        <v>145.9</v>
      </c>
      <c r="G1683" s="11">
        <f>IFERROR(__xludf.DUMMYFUNCTION("""COMPUTED_VALUE"""),5.0)</f>
        <v>5</v>
      </c>
      <c r="H1683" s="11">
        <f>IFERROR(__xludf.DUMMYFUNCTION("""COMPUTED_VALUE"""),62.737)</f>
        <v>62.737</v>
      </c>
    </row>
    <row r="1684">
      <c r="A1684" s="8" t="str">
        <f>IFERROR(__xludf.DUMMYFUNCTION("""COMPUTED_VALUE"""),"CA-2015-168564")</f>
        <v>CA-2015-168564</v>
      </c>
      <c r="B1684" s="9">
        <f>IFERROR(__xludf.DUMMYFUNCTION("""COMPUTED_VALUE"""),42224.0)</f>
        <v>42224</v>
      </c>
      <c r="C1684" s="8" t="str">
        <f>IFERROR(__xludf.DUMMYFUNCTION("""COMPUTED_VALUE"""),"Thomas Thornton")</f>
        <v>Thomas Thornton</v>
      </c>
      <c r="D1684" s="8" t="str">
        <f>IFERROR(__xludf.DUMMYFUNCTION("""COMPUTED_VALUE"""),"Consumer")</f>
        <v>Consumer</v>
      </c>
      <c r="E1684" s="8" t="str">
        <f>IFERROR(__xludf.DUMMYFUNCTION("""COMPUTED_VALUE"""),"West")</f>
        <v>West</v>
      </c>
      <c r="F1684" s="10">
        <f>IFERROR(__xludf.DUMMYFUNCTION("""COMPUTED_VALUE"""),6.608)</f>
        <v>6.608</v>
      </c>
      <c r="G1684" s="11">
        <f>IFERROR(__xludf.DUMMYFUNCTION("""COMPUTED_VALUE"""),2.0)</f>
        <v>2</v>
      </c>
      <c r="H1684" s="11">
        <f>IFERROR(__xludf.DUMMYFUNCTION("""COMPUTED_VALUE"""),2.2302)</f>
        <v>2.2302</v>
      </c>
    </row>
    <row r="1685">
      <c r="A1685" s="8" t="str">
        <f>IFERROR(__xludf.DUMMYFUNCTION("""COMPUTED_VALUE"""),"CA-2015-168634")</f>
        <v>CA-2015-168634</v>
      </c>
      <c r="B1685" s="9">
        <f>IFERROR(__xludf.DUMMYFUNCTION("""COMPUTED_VALUE"""),42344.0)</f>
        <v>42344</v>
      </c>
      <c r="C1685" s="8" t="str">
        <f>IFERROR(__xludf.DUMMYFUNCTION("""COMPUTED_VALUE"""),"Art Ferguson")</f>
        <v>Art Ferguson</v>
      </c>
      <c r="D1685" s="8" t="str">
        <f>IFERROR(__xludf.DUMMYFUNCTION("""COMPUTED_VALUE"""),"Consumer")</f>
        <v>Consumer</v>
      </c>
      <c r="E1685" s="8" t="str">
        <f>IFERROR(__xludf.DUMMYFUNCTION("""COMPUTED_VALUE"""),"West")</f>
        <v>West</v>
      </c>
      <c r="F1685" s="10">
        <f>IFERROR(__xludf.DUMMYFUNCTION("""COMPUTED_VALUE"""),7.78)</f>
        <v>7.78</v>
      </c>
      <c r="G1685" s="11">
        <f>IFERROR(__xludf.DUMMYFUNCTION("""COMPUTED_VALUE"""),2.0)</f>
        <v>2</v>
      </c>
      <c r="H1685" s="11">
        <f>IFERROR(__xludf.DUMMYFUNCTION("""COMPUTED_VALUE"""),2.0228)</f>
        <v>2.0228</v>
      </c>
    </row>
    <row r="1686">
      <c r="A1686" s="8" t="str">
        <f>IFERROR(__xludf.DUMMYFUNCTION("""COMPUTED_VALUE"""),"CA-2015-168746")</f>
        <v>CA-2015-168746</v>
      </c>
      <c r="B1686" s="9">
        <f>IFERROR(__xludf.DUMMYFUNCTION("""COMPUTED_VALUE"""),42031.0)</f>
        <v>42031</v>
      </c>
      <c r="C1686" s="8" t="str">
        <f>IFERROR(__xludf.DUMMYFUNCTION("""COMPUTED_VALUE"""),"Seth Vernon")</f>
        <v>Seth Vernon</v>
      </c>
      <c r="D1686" s="8" t="str">
        <f>IFERROR(__xludf.DUMMYFUNCTION("""COMPUTED_VALUE"""),"Consumer")</f>
        <v>Consumer</v>
      </c>
      <c r="E1686" s="8" t="str">
        <f>IFERROR(__xludf.DUMMYFUNCTION("""COMPUTED_VALUE"""),"East")</f>
        <v>East</v>
      </c>
      <c r="F1686" s="10">
        <f>IFERROR(__xludf.DUMMYFUNCTION("""COMPUTED_VALUE"""),181.986)</f>
        <v>181.986</v>
      </c>
      <c r="G1686" s="11">
        <f>IFERROR(__xludf.DUMMYFUNCTION("""COMPUTED_VALUE"""),2.0)</f>
        <v>2</v>
      </c>
      <c r="H1686" s="11">
        <f>IFERROR(__xludf.DUMMYFUNCTION("""COMPUTED_VALUE"""),-54.5958)</f>
        <v>-54.5958</v>
      </c>
    </row>
    <row r="1687">
      <c r="A1687" s="8" t="str">
        <f>IFERROR(__xludf.DUMMYFUNCTION("""COMPUTED_VALUE"""),"CA-2015-168760")</f>
        <v>CA-2015-168760</v>
      </c>
      <c r="B1687" s="9">
        <f>IFERROR(__xludf.DUMMYFUNCTION("""COMPUTED_VALUE"""),42269.0)</f>
        <v>42269</v>
      </c>
      <c r="C1687" s="8" t="str">
        <f>IFERROR(__xludf.DUMMYFUNCTION("""COMPUTED_VALUE"""),"Muhammed MacIntyre")</f>
        <v>Muhammed MacIntyre</v>
      </c>
      <c r="D1687" s="8" t="str">
        <f>IFERROR(__xludf.DUMMYFUNCTION("""COMPUTED_VALUE"""),"Corporate")</f>
        <v>Corporate</v>
      </c>
      <c r="E1687" s="8" t="str">
        <f>IFERROR(__xludf.DUMMYFUNCTION("""COMPUTED_VALUE"""),"West")</f>
        <v>West</v>
      </c>
      <c r="F1687" s="10">
        <f>IFERROR(__xludf.DUMMYFUNCTION("""COMPUTED_VALUE"""),61.44)</f>
        <v>61.44</v>
      </c>
      <c r="G1687" s="11">
        <f>IFERROR(__xludf.DUMMYFUNCTION("""COMPUTED_VALUE"""),3.0)</f>
        <v>3</v>
      </c>
      <c r="H1687" s="11">
        <f>IFERROR(__xludf.DUMMYFUNCTION("""COMPUTED_VALUE"""),16.5888)</f>
        <v>16.5888</v>
      </c>
    </row>
    <row r="1688">
      <c r="A1688" s="8" t="str">
        <f>IFERROR(__xludf.DUMMYFUNCTION("""COMPUTED_VALUE"""),"CA-2015-168767")</f>
        <v>CA-2015-168767</v>
      </c>
      <c r="B1688" s="9">
        <f>IFERROR(__xludf.DUMMYFUNCTION("""COMPUTED_VALUE"""),42104.0)</f>
        <v>42104</v>
      </c>
      <c r="C1688" s="8" t="str">
        <f>IFERROR(__xludf.DUMMYFUNCTION("""COMPUTED_VALUE"""),"Dario Medina")</f>
        <v>Dario Medina</v>
      </c>
      <c r="D1688" s="8" t="str">
        <f>IFERROR(__xludf.DUMMYFUNCTION("""COMPUTED_VALUE"""),"Corporate")</f>
        <v>Corporate</v>
      </c>
      <c r="E1688" s="8" t="str">
        <f>IFERROR(__xludf.DUMMYFUNCTION("""COMPUTED_VALUE"""),"West")</f>
        <v>West</v>
      </c>
      <c r="F1688" s="10">
        <f>IFERROR(__xludf.DUMMYFUNCTION("""COMPUTED_VALUE"""),12.832)</f>
        <v>12.832</v>
      </c>
      <c r="G1688" s="11">
        <f>IFERROR(__xludf.DUMMYFUNCTION("""COMPUTED_VALUE"""),2.0)</f>
        <v>2</v>
      </c>
      <c r="H1688" s="11">
        <f>IFERROR(__xludf.DUMMYFUNCTION("""COMPUTED_VALUE"""),4.3308)</f>
        <v>4.3308</v>
      </c>
    </row>
    <row r="1689">
      <c r="A1689" s="8" t="str">
        <f>IFERROR(__xludf.DUMMYFUNCTION("""COMPUTED_VALUE"""),"CA-2015-168809")</f>
        <v>CA-2015-168809</v>
      </c>
      <c r="B1689" s="9">
        <f>IFERROR(__xludf.DUMMYFUNCTION("""COMPUTED_VALUE"""),42241.0)</f>
        <v>42241</v>
      </c>
      <c r="C1689" s="8" t="str">
        <f>IFERROR(__xludf.DUMMYFUNCTION("""COMPUTED_VALUE"""),"Mick Crebagga")</f>
        <v>Mick Crebagga</v>
      </c>
      <c r="D1689" s="8" t="str">
        <f>IFERROR(__xludf.DUMMYFUNCTION("""COMPUTED_VALUE"""),"Consumer")</f>
        <v>Consumer</v>
      </c>
      <c r="E1689" s="8" t="str">
        <f>IFERROR(__xludf.DUMMYFUNCTION("""COMPUTED_VALUE"""),"Central")</f>
        <v>Central</v>
      </c>
      <c r="F1689" s="10">
        <f>IFERROR(__xludf.DUMMYFUNCTION("""COMPUTED_VALUE"""),20.104)</f>
        <v>20.104</v>
      </c>
      <c r="G1689" s="11">
        <f>IFERROR(__xludf.DUMMYFUNCTION("""COMPUTED_VALUE"""),2.0)</f>
        <v>2</v>
      </c>
      <c r="H1689" s="11">
        <f>IFERROR(__xludf.DUMMYFUNCTION("""COMPUTED_VALUE"""),-16.5858)</f>
        <v>-16.5858</v>
      </c>
    </row>
    <row r="1690">
      <c r="A1690" s="8" t="str">
        <f>IFERROR(__xludf.DUMMYFUNCTION("""COMPUTED_VALUE"""),"CA-2015-169201")</f>
        <v>CA-2015-169201</v>
      </c>
      <c r="B1690" s="9">
        <f>IFERROR(__xludf.DUMMYFUNCTION("""COMPUTED_VALUE"""),42275.0)</f>
        <v>42275</v>
      </c>
      <c r="C1690" s="8" t="str">
        <f>IFERROR(__xludf.DUMMYFUNCTION("""COMPUTED_VALUE"""),"Henry Goldwyn")</f>
        <v>Henry Goldwyn</v>
      </c>
      <c r="D1690" s="8" t="str">
        <f>IFERROR(__xludf.DUMMYFUNCTION("""COMPUTED_VALUE"""),"Corporate")</f>
        <v>Corporate</v>
      </c>
      <c r="E1690" s="8" t="str">
        <f>IFERROR(__xludf.DUMMYFUNCTION("""COMPUTED_VALUE"""),"West")</f>
        <v>West</v>
      </c>
      <c r="F1690" s="10">
        <f>IFERROR(__xludf.DUMMYFUNCTION("""COMPUTED_VALUE"""),43.26)</f>
        <v>43.26</v>
      </c>
      <c r="G1690" s="11">
        <f>IFERROR(__xludf.DUMMYFUNCTION("""COMPUTED_VALUE"""),3.0)</f>
        <v>3</v>
      </c>
      <c r="H1690" s="11">
        <f>IFERROR(__xludf.DUMMYFUNCTION("""COMPUTED_VALUE"""),14.2758)</f>
        <v>14.2758</v>
      </c>
    </row>
    <row r="1691">
      <c r="A1691" s="8" t="str">
        <f>IFERROR(__xludf.DUMMYFUNCTION("""COMPUTED_VALUE"""),"CA-2015-169278")</f>
        <v>CA-2015-169278</v>
      </c>
      <c r="B1691" s="9">
        <f>IFERROR(__xludf.DUMMYFUNCTION("""COMPUTED_VALUE"""),42145.0)</f>
        <v>42145</v>
      </c>
      <c r="C1691" s="8" t="str">
        <f>IFERROR(__xludf.DUMMYFUNCTION("""COMPUTED_VALUE"""),"Michelle Ellison")</f>
        <v>Michelle Ellison</v>
      </c>
      <c r="D1691" s="8" t="str">
        <f>IFERROR(__xludf.DUMMYFUNCTION("""COMPUTED_VALUE"""),"Corporate")</f>
        <v>Corporate</v>
      </c>
      <c r="E1691" s="8" t="str">
        <f>IFERROR(__xludf.DUMMYFUNCTION("""COMPUTED_VALUE"""),"West")</f>
        <v>West</v>
      </c>
      <c r="F1691" s="10">
        <f>IFERROR(__xludf.DUMMYFUNCTION("""COMPUTED_VALUE"""),26.976)</f>
        <v>26.976</v>
      </c>
      <c r="G1691" s="11">
        <f>IFERROR(__xludf.DUMMYFUNCTION("""COMPUTED_VALUE"""),4.0)</f>
        <v>4</v>
      </c>
      <c r="H1691" s="11">
        <f>IFERROR(__xludf.DUMMYFUNCTION("""COMPUTED_VALUE"""),8.7672)</f>
        <v>8.7672</v>
      </c>
    </row>
    <row r="1692">
      <c r="A1692" s="8" t="str">
        <f>IFERROR(__xludf.DUMMYFUNCTION("""COMPUTED_VALUE"""),"CA-2015-169299")</f>
        <v>CA-2015-169299</v>
      </c>
      <c r="B1692" s="9">
        <f>IFERROR(__xludf.DUMMYFUNCTION("""COMPUTED_VALUE"""),42240.0)</f>
        <v>42240</v>
      </c>
      <c r="C1692" s="8" t="str">
        <f>IFERROR(__xludf.DUMMYFUNCTION("""COMPUTED_VALUE"""),"Denny Ordway")</f>
        <v>Denny Ordway</v>
      </c>
      <c r="D1692" s="8" t="str">
        <f>IFERROR(__xludf.DUMMYFUNCTION("""COMPUTED_VALUE"""),"Consumer")</f>
        <v>Consumer</v>
      </c>
      <c r="E1692" s="8" t="str">
        <f>IFERROR(__xludf.DUMMYFUNCTION("""COMPUTED_VALUE"""),"West")</f>
        <v>West</v>
      </c>
      <c r="F1692" s="10">
        <f>IFERROR(__xludf.DUMMYFUNCTION("""COMPUTED_VALUE"""),7.152)</f>
        <v>7.152</v>
      </c>
      <c r="G1692" s="11">
        <f>IFERROR(__xludf.DUMMYFUNCTION("""COMPUTED_VALUE"""),3.0)</f>
        <v>3</v>
      </c>
      <c r="H1692" s="11">
        <f>IFERROR(__xludf.DUMMYFUNCTION("""COMPUTED_VALUE"""),0.7152)</f>
        <v>0.7152</v>
      </c>
    </row>
    <row r="1693">
      <c r="A1693" s="8" t="str">
        <f>IFERROR(__xludf.DUMMYFUNCTION("""COMPUTED_VALUE"""),"CA-2015-169397")</f>
        <v>CA-2015-169397</v>
      </c>
      <c r="B1693" s="9">
        <f>IFERROR(__xludf.DUMMYFUNCTION("""COMPUTED_VALUE"""),42362.0)</f>
        <v>42362</v>
      </c>
      <c r="C1693" s="8" t="str">
        <f>IFERROR(__xludf.DUMMYFUNCTION("""COMPUTED_VALUE"""),"Joni Blumstein")</f>
        <v>Joni Blumstein</v>
      </c>
      <c r="D1693" s="8" t="str">
        <f>IFERROR(__xludf.DUMMYFUNCTION("""COMPUTED_VALUE"""),"Consumer")</f>
        <v>Consumer</v>
      </c>
      <c r="E1693" s="8" t="str">
        <f>IFERROR(__xludf.DUMMYFUNCTION("""COMPUTED_VALUE"""),"East")</f>
        <v>East</v>
      </c>
      <c r="F1693" s="10">
        <f>IFERROR(__xludf.DUMMYFUNCTION("""COMPUTED_VALUE"""),5.584)</f>
        <v>5.584</v>
      </c>
      <c r="G1693" s="11">
        <f>IFERROR(__xludf.DUMMYFUNCTION("""COMPUTED_VALUE"""),2.0)</f>
        <v>2</v>
      </c>
      <c r="H1693" s="11">
        <f>IFERROR(__xludf.DUMMYFUNCTION("""COMPUTED_VALUE"""),1.8148)</f>
        <v>1.8148</v>
      </c>
    </row>
    <row r="1694">
      <c r="A1694" s="8" t="str">
        <f>IFERROR(__xludf.DUMMYFUNCTION("""COMPUTED_VALUE"""),"CA-2015-169537")</f>
        <v>CA-2015-169537</v>
      </c>
      <c r="B1694" s="9">
        <f>IFERROR(__xludf.DUMMYFUNCTION("""COMPUTED_VALUE"""),42250.0)</f>
        <v>42250</v>
      </c>
      <c r="C1694" s="8" t="str">
        <f>IFERROR(__xludf.DUMMYFUNCTION("""COMPUTED_VALUE"""),"John Huston")</f>
        <v>John Huston</v>
      </c>
      <c r="D1694" s="8" t="str">
        <f>IFERROR(__xludf.DUMMYFUNCTION("""COMPUTED_VALUE"""),"Consumer")</f>
        <v>Consumer</v>
      </c>
      <c r="E1694" s="8" t="str">
        <f>IFERROR(__xludf.DUMMYFUNCTION("""COMPUTED_VALUE"""),"Central")</f>
        <v>Central</v>
      </c>
      <c r="F1694" s="10">
        <f>IFERROR(__xludf.DUMMYFUNCTION("""COMPUTED_VALUE"""),7.5)</f>
        <v>7.5</v>
      </c>
      <c r="G1694" s="11">
        <f>IFERROR(__xludf.DUMMYFUNCTION("""COMPUTED_VALUE"""),2.0)</f>
        <v>2</v>
      </c>
      <c r="H1694" s="11">
        <f>IFERROR(__xludf.DUMMYFUNCTION("""COMPUTED_VALUE"""),3.6)</f>
        <v>3.6</v>
      </c>
    </row>
    <row r="1695">
      <c r="A1695" s="8" t="str">
        <f>IFERROR(__xludf.DUMMYFUNCTION("""COMPUTED_VALUE"""),"CA-2015-169572")</f>
        <v>CA-2015-169572</v>
      </c>
      <c r="B1695" s="9">
        <f>IFERROR(__xludf.DUMMYFUNCTION("""COMPUTED_VALUE"""),42253.0)</f>
        <v>42253</v>
      </c>
      <c r="C1695" s="8" t="str">
        <f>IFERROR(__xludf.DUMMYFUNCTION("""COMPUTED_VALUE"""),"Andy Gerbode")</f>
        <v>Andy Gerbode</v>
      </c>
      <c r="D1695" s="8" t="str">
        <f>IFERROR(__xludf.DUMMYFUNCTION("""COMPUTED_VALUE"""),"Corporate")</f>
        <v>Corporate</v>
      </c>
      <c r="E1695" s="8" t="str">
        <f>IFERROR(__xludf.DUMMYFUNCTION("""COMPUTED_VALUE"""),"South")</f>
        <v>South</v>
      </c>
      <c r="F1695" s="10">
        <f>IFERROR(__xludf.DUMMYFUNCTION("""COMPUTED_VALUE"""),46.62)</f>
        <v>46.62</v>
      </c>
      <c r="G1695" s="11">
        <f>IFERROR(__xludf.DUMMYFUNCTION("""COMPUTED_VALUE"""),9.0)</f>
        <v>9</v>
      </c>
      <c r="H1695" s="11">
        <f>IFERROR(__xludf.DUMMYFUNCTION("""COMPUTED_VALUE"""),21.4452)</f>
        <v>21.4452</v>
      </c>
    </row>
    <row r="1696">
      <c r="A1696" s="8" t="str">
        <f>IFERROR(__xludf.DUMMYFUNCTION("""COMPUTED_VALUE"""),"CA-2015-169656")</f>
        <v>CA-2015-169656</v>
      </c>
      <c r="B1696" s="9">
        <f>IFERROR(__xludf.DUMMYFUNCTION("""COMPUTED_VALUE"""),42229.0)</f>
        <v>42229</v>
      </c>
      <c r="C1696" s="8" t="str">
        <f>IFERROR(__xludf.DUMMYFUNCTION("""COMPUTED_VALUE"""),"Ed Jacobs")</f>
        <v>Ed Jacobs</v>
      </c>
      <c r="D1696" s="8" t="str">
        <f>IFERROR(__xludf.DUMMYFUNCTION("""COMPUTED_VALUE"""),"Consumer")</f>
        <v>Consumer</v>
      </c>
      <c r="E1696" s="8" t="str">
        <f>IFERROR(__xludf.DUMMYFUNCTION("""COMPUTED_VALUE"""),"East")</f>
        <v>East</v>
      </c>
      <c r="F1696" s="10">
        <f>IFERROR(__xludf.DUMMYFUNCTION("""COMPUTED_VALUE"""),422.856)</f>
        <v>422.856</v>
      </c>
      <c r="G1696" s="11">
        <f>IFERROR(__xludf.DUMMYFUNCTION("""COMPUTED_VALUE"""),3.0)</f>
        <v>3</v>
      </c>
      <c r="H1696" s="11">
        <f>IFERROR(__xludf.DUMMYFUNCTION("""COMPUTED_VALUE"""),15.8571)</f>
        <v>15.8571</v>
      </c>
    </row>
    <row r="1697">
      <c r="A1697" s="8" t="str">
        <f>IFERROR(__xludf.DUMMYFUNCTION("""COMPUTED_VALUE"""),"CA-2015-169677")</f>
        <v>CA-2015-169677</v>
      </c>
      <c r="B1697" s="9">
        <f>IFERROR(__xludf.DUMMYFUNCTION("""COMPUTED_VALUE"""),42017.0)</f>
        <v>42017</v>
      </c>
      <c r="C1697" s="8" t="str">
        <f>IFERROR(__xludf.DUMMYFUNCTION("""COMPUTED_VALUE"""),"Karen Seio")</f>
        <v>Karen Seio</v>
      </c>
      <c r="D1697" s="8" t="str">
        <f>IFERROR(__xludf.DUMMYFUNCTION("""COMPUTED_VALUE"""),"Corporate")</f>
        <v>Corporate</v>
      </c>
      <c r="E1697" s="8" t="str">
        <f>IFERROR(__xludf.DUMMYFUNCTION("""COMPUTED_VALUE"""),"South")</f>
        <v>South</v>
      </c>
      <c r="F1697" s="10">
        <f>IFERROR(__xludf.DUMMYFUNCTION("""COMPUTED_VALUE"""),9.82)</f>
        <v>9.82</v>
      </c>
      <c r="G1697" s="11">
        <f>IFERROR(__xludf.DUMMYFUNCTION("""COMPUTED_VALUE"""),2.0)</f>
        <v>2</v>
      </c>
      <c r="H1697" s="11">
        <f>IFERROR(__xludf.DUMMYFUNCTION("""COMPUTED_VALUE"""),4.8118)</f>
        <v>4.8118</v>
      </c>
    </row>
    <row r="1698">
      <c r="A1698" s="8" t="str">
        <f>IFERROR(__xludf.DUMMYFUNCTION("""COMPUTED_VALUE"""),"CA-2015-169733")</f>
        <v>CA-2015-169733</v>
      </c>
      <c r="B1698" s="9">
        <f>IFERROR(__xludf.DUMMYFUNCTION("""COMPUTED_VALUE"""),42299.0)</f>
        <v>42299</v>
      </c>
      <c r="C1698" s="8" t="str">
        <f>IFERROR(__xludf.DUMMYFUNCTION("""COMPUTED_VALUE"""),"Gene McClure")</f>
        <v>Gene McClure</v>
      </c>
      <c r="D1698" s="8" t="str">
        <f>IFERROR(__xludf.DUMMYFUNCTION("""COMPUTED_VALUE"""),"Consumer")</f>
        <v>Consumer</v>
      </c>
      <c r="E1698" s="8" t="str">
        <f>IFERROR(__xludf.DUMMYFUNCTION("""COMPUTED_VALUE"""),"South")</f>
        <v>South</v>
      </c>
      <c r="F1698" s="10">
        <f>IFERROR(__xludf.DUMMYFUNCTION("""COMPUTED_VALUE"""),9.952)</f>
        <v>9.952</v>
      </c>
      <c r="G1698" s="11">
        <f>IFERROR(__xludf.DUMMYFUNCTION("""COMPUTED_VALUE"""),1.0)</f>
        <v>1</v>
      </c>
      <c r="H1698" s="11">
        <f>IFERROR(__xludf.DUMMYFUNCTION("""COMPUTED_VALUE"""),0.9952)</f>
        <v>0.9952</v>
      </c>
    </row>
    <row r="1699">
      <c r="A1699" s="8" t="str">
        <f>IFERROR(__xludf.DUMMYFUNCTION("""COMPUTED_VALUE"""),"CA-2015-169740")</f>
        <v>CA-2015-169740</v>
      </c>
      <c r="B1699" s="9">
        <f>IFERROR(__xludf.DUMMYFUNCTION("""COMPUTED_VALUE"""),42055.0)</f>
        <v>42055</v>
      </c>
      <c r="C1699" s="8" t="str">
        <f>IFERROR(__xludf.DUMMYFUNCTION("""COMPUTED_VALUE"""),"Liz MacKendrick")</f>
        <v>Liz MacKendrick</v>
      </c>
      <c r="D1699" s="8" t="str">
        <f>IFERROR(__xludf.DUMMYFUNCTION("""COMPUTED_VALUE"""),"Consumer")</f>
        <v>Consumer</v>
      </c>
      <c r="E1699" s="8" t="str">
        <f>IFERROR(__xludf.DUMMYFUNCTION("""COMPUTED_VALUE"""),"South")</f>
        <v>South</v>
      </c>
      <c r="F1699" s="10">
        <f>IFERROR(__xludf.DUMMYFUNCTION("""COMPUTED_VALUE"""),29.99)</f>
        <v>29.99</v>
      </c>
      <c r="G1699" s="11">
        <f>IFERROR(__xludf.DUMMYFUNCTION("""COMPUTED_VALUE"""),1.0)</f>
        <v>1</v>
      </c>
      <c r="H1699" s="11">
        <f>IFERROR(__xludf.DUMMYFUNCTION("""COMPUTED_VALUE"""),2.999)</f>
        <v>2.999</v>
      </c>
    </row>
    <row r="1700">
      <c r="A1700" s="8" t="str">
        <f>IFERROR(__xludf.DUMMYFUNCTION("""COMPUTED_VALUE"""),"CA-2015-169796")</f>
        <v>CA-2015-169796</v>
      </c>
      <c r="B1700" s="9">
        <f>IFERROR(__xludf.DUMMYFUNCTION("""COMPUTED_VALUE"""),42317.0)</f>
        <v>42317</v>
      </c>
      <c r="C1700" s="8" t="str">
        <f>IFERROR(__xludf.DUMMYFUNCTION("""COMPUTED_VALUE"""),"Dean percer")</f>
        <v>Dean percer</v>
      </c>
      <c r="D1700" s="8" t="str">
        <f>IFERROR(__xludf.DUMMYFUNCTION("""COMPUTED_VALUE"""),"Home Office")</f>
        <v>Home Office</v>
      </c>
      <c r="E1700" s="8" t="str">
        <f>IFERROR(__xludf.DUMMYFUNCTION("""COMPUTED_VALUE"""),"East")</f>
        <v>East</v>
      </c>
      <c r="F1700" s="10">
        <f>IFERROR(__xludf.DUMMYFUNCTION("""COMPUTED_VALUE"""),2321.9)</f>
        <v>2321.9</v>
      </c>
      <c r="G1700" s="11">
        <f>IFERROR(__xludf.DUMMYFUNCTION("""COMPUTED_VALUE"""),2.0)</f>
        <v>2</v>
      </c>
      <c r="H1700" s="11">
        <f>IFERROR(__xludf.DUMMYFUNCTION("""COMPUTED_VALUE"""),1114.512)</f>
        <v>1114.512</v>
      </c>
    </row>
    <row r="1701">
      <c r="A1701" s="8" t="str">
        <f>IFERROR(__xludf.DUMMYFUNCTION("""COMPUTED_VALUE"""),"US-2014-100279")</f>
        <v>US-2014-100279</v>
      </c>
      <c r="B1701" s="9">
        <f>IFERROR(__xludf.DUMMYFUNCTION("""COMPUTED_VALUE"""),41708.0)</f>
        <v>41708</v>
      </c>
      <c r="C1701" s="8" t="str">
        <f>IFERROR(__xludf.DUMMYFUNCTION("""COMPUTED_VALUE"""),"Consumer")</f>
        <v>Consumer</v>
      </c>
      <c r="D1701" s="8" t="str">
        <f>IFERROR(__xludf.DUMMYFUNCTION("""COMPUTED_VALUE"""),"Michigan")</f>
        <v>Michigan</v>
      </c>
      <c r="E1701" s="8" t="str">
        <f>IFERROR(__xludf.DUMMYFUNCTION("""COMPUTED_VALUE"""),"Central")</f>
        <v>Central</v>
      </c>
      <c r="F1701" s="10">
        <f>IFERROR(__xludf.DUMMYFUNCTION("""COMPUTED_VALUE"""),22.38)</f>
        <v>22.38</v>
      </c>
      <c r="G1701" s="11">
        <f>IFERROR(__xludf.DUMMYFUNCTION("""COMPUTED_VALUE"""),2.0)</f>
        <v>2</v>
      </c>
      <c r="H1701" s="11">
        <f>IFERROR(__xludf.DUMMYFUNCTION("""COMPUTED_VALUE"""),10.7424)</f>
        <v>10.7424</v>
      </c>
    </row>
    <row r="1702">
      <c r="A1702" s="8" t="str">
        <f>IFERROR(__xludf.DUMMYFUNCTION("""COMPUTED_VALUE"""),"US-2014-100853")</f>
        <v>US-2014-100853</v>
      </c>
      <c r="B1702" s="9">
        <f>IFERROR(__xludf.DUMMYFUNCTION("""COMPUTED_VALUE"""),41896.0)</f>
        <v>41896</v>
      </c>
      <c r="C1702" s="8" t="str">
        <f>IFERROR(__xludf.DUMMYFUNCTION("""COMPUTED_VALUE"""),"Corporate")</f>
        <v>Corporate</v>
      </c>
      <c r="D1702" s="8" t="str">
        <f>IFERROR(__xludf.DUMMYFUNCTION("""COMPUTED_VALUE"""),"Illinois")</f>
        <v>Illinois</v>
      </c>
      <c r="E1702" s="8" t="str">
        <f>IFERROR(__xludf.DUMMYFUNCTION("""COMPUTED_VALUE"""),"Central")</f>
        <v>Central</v>
      </c>
      <c r="F1702" s="10">
        <f>IFERROR(__xludf.DUMMYFUNCTION("""COMPUTED_VALUE"""),52.448)</f>
        <v>52.448</v>
      </c>
      <c r="G1702" s="11">
        <f>IFERROR(__xludf.DUMMYFUNCTION("""COMPUTED_VALUE"""),2.0)</f>
        <v>2</v>
      </c>
      <c r="H1702" s="11">
        <f>IFERROR(__xludf.DUMMYFUNCTION("""COMPUTED_VALUE"""),-131.12)</f>
        <v>-131.12</v>
      </c>
    </row>
    <row r="1703">
      <c r="A1703" s="8" t="str">
        <f>IFERROR(__xludf.DUMMYFUNCTION("""COMPUTED_VALUE"""),"US-2014-102071")</f>
        <v>US-2014-102071</v>
      </c>
      <c r="B1703" s="9">
        <f>IFERROR(__xludf.DUMMYFUNCTION("""COMPUTED_VALUE"""),41768.0)</f>
        <v>41768</v>
      </c>
      <c r="C1703" s="8" t="str">
        <f>IFERROR(__xludf.DUMMYFUNCTION("""COMPUTED_VALUE"""),"Consumer")</f>
        <v>Consumer</v>
      </c>
      <c r="D1703" s="8" t="str">
        <f>IFERROR(__xludf.DUMMYFUNCTION("""COMPUTED_VALUE"""),"California")</f>
        <v>California</v>
      </c>
      <c r="E1703" s="8" t="str">
        <f>IFERROR(__xludf.DUMMYFUNCTION("""COMPUTED_VALUE"""),"West")</f>
        <v>West</v>
      </c>
      <c r="F1703" s="10">
        <f>IFERROR(__xludf.DUMMYFUNCTION("""COMPUTED_VALUE"""),67.8)</f>
        <v>67.8</v>
      </c>
      <c r="G1703" s="11">
        <f>IFERROR(__xludf.DUMMYFUNCTION("""COMPUTED_VALUE"""),4.0)</f>
        <v>4</v>
      </c>
      <c r="H1703" s="11">
        <f>IFERROR(__xludf.DUMMYFUNCTION("""COMPUTED_VALUE"""),4.068)</f>
        <v>4.068</v>
      </c>
    </row>
    <row r="1704">
      <c r="A1704" s="8" t="str">
        <f>IFERROR(__xludf.DUMMYFUNCTION("""COMPUTED_VALUE"""),"US-2014-102631")</f>
        <v>US-2014-102631</v>
      </c>
      <c r="B1704" s="9">
        <f>IFERROR(__xludf.DUMMYFUNCTION("""COMPUTED_VALUE"""),41986.0)</f>
        <v>41986</v>
      </c>
      <c r="C1704" s="8" t="str">
        <f>IFERROR(__xludf.DUMMYFUNCTION("""COMPUTED_VALUE"""),"Corporate")</f>
        <v>Corporate</v>
      </c>
      <c r="D1704" s="8" t="str">
        <f>IFERROR(__xludf.DUMMYFUNCTION("""COMPUTED_VALUE"""),"Illinois")</f>
        <v>Illinois</v>
      </c>
      <c r="E1704" s="8" t="str">
        <f>IFERROR(__xludf.DUMMYFUNCTION("""COMPUTED_VALUE"""),"Central")</f>
        <v>Central</v>
      </c>
      <c r="F1704" s="10">
        <f>IFERROR(__xludf.DUMMYFUNCTION("""COMPUTED_VALUE"""),94.428)</f>
        <v>94.428</v>
      </c>
      <c r="G1704" s="11">
        <f>IFERROR(__xludf.DUMMYFUNCTION("""COMPUTED_VALUE"""),3.0)</f>
        <v>3</v>
      </c>
      <c r="H1704" s="11">
        <f>IFERROR(__xludf.DUMMYFUNCTION("""COMPUTED_VALUE"""),-42.4926)</f>
        <v>-42.4926</v>
      </c>
    </row>
    <row r="1705">
      <c r="A1705" s="8" t="str">
        <f>IFERROR(__xludf.DUMMYFUNCTION("""COMPUTED_VALUE"""),"US-2014-102715")</f>
        <v>US-2014-102715</v>
      </c>
      <c r="B1705" s="9">
        <f>IFERROR(__xludf.DUMMYFUNCTION("""COMPUTED_VALUE"""),41740.0)</f>
        <v>41740</v>
      </c>
      <c r="C1705" s="8" t="str">
        <f>IFERROR(__xludf.DUMMYFUNCTION("""COMPUTED_VALUE"""),"Consumer")</f>
        <v>Consumer</v>
      </c>
      <c r="D1705" s="8" t="str">
        <f>IFERROR(__xludf.DUMMYFUNCTION("""COMPUTED_VALUE"""),"Florida")</f>
        <v>Florida</v>
      </c>
      <c r="E1705" s="8" t="str">
        <f>IFERROR(__xludf.DUMMYFUNCTION("""COMPUTED_VALUE"""),"South")</f>
        <v>South</v>
      </c>
      <c r="F1705" s="10">
        <f>IFERROR(__xludf.DUMMYFUNCTION("""COMPUTED_VALUE"""),6.912)</f>
        <v>6.912</v>
      </c>
      <c r="G1705" s="11">
        <f>IFERROR(__xludf.DUMMYFUNCTION("""COMPUTED_VALUE"""),3.0)</f>
        <v>3</v>
      </c>
      <c r="H1705" s="11">
        <f>IFERROR(__xludf.DUMMYFUNCTION("""COMPUTED_VALUE"""),2.3328)</f>
        <v>2.3328</v>
      </c>
    </row>
    <row r="1706">
      <c r="A1706" s="8" t="str">
        <f>IFERROR(__xludf.DUMMYFUNCTION("""COMPUTED_VALUE"""),"US-2014-103338")</f>
        <v>US-2014-103338</v>
      </c>
      <c r="B1706" s="9">
        <f>IFERROR(__xludf.DUMMYFUNCTION("""COMPUTED_VALUE"""),41709.0)</f>
        <v>41709</v>
      </c>
      <c r="C1706" s="8" t="str">
        <f>IFERROR(__xludf.DUMMYFUNCTION("""COMPUTED_VALUE"""),"Consumer")</f>
        <v>Consumer</v>
      </c>
      <c r="D1706" s="8" t="str">
        <f>IFERROR(__xludf.DUMMYFUNCTION("""COMPUTED_VALUE"""),"California")</f>
        <v>California</v>
      </c>
      <c r="E1706" s="8" t="str">
        <f>IFERROR(__xludf.DUMMYFUNCTION("""COMPUTED_VALUE"""),"West")</f>
        <v>West</v>
      </c>
      <c r="F1706" s="10">
        <f>IFERROR(__xludf.DUMMYFUNCTION("""COMPUTED_VALUE"""),7.98)</f>
        <v>7.98</v>
      </c>
      <c r="G1706" s="11">
        <f>IFERROR(__xludf.DUMMYFUNCTION("""COMPUTED_VALUE"""),3.0)</f>
        <v>3</v>
      </c>
      <c r="H1706" s="11">
        <f>IFERROR(__xludf.DUMMYFUNCTION("""COMPUTED_VALUE"""),2.0748)</f>
        <v>2.0748</v>
      </c>
    </row>
    <row r="1707">
      <c r="A1707" s="8" t="str">
        <f>IFERROR(__xludf.DUMMYFUNCTION("""COMPUTED_VALUE"""),"US-2014-103905")</f>
        <v>US-2014-103905</v>
      </c>
      <c r="B1707" s="9">
        <f>IFERROR(__xludf.DUMMYFUNCTION("""COMPUTED_VALUE"""),41834.0)</f>
        <v>41834</v>
      </c>
      <c r="C1707" s="8" t="str">
        <f>IFERROR(__xludf.DUMMYFUNCTION("""COMPUTED_VALUE"""),"Home Office")</f>
        <v>Home Office</v>
      </c>
      <c r="D1707" s="8" t="str">
        <f>IFERROR(__xludf.DUMMYFUNCTION("""COMPUTED_VALUE"""),"Illinois")</f>
        <v>Illinois</v>
      </c>
      <c r="E1707" s="8" t="str">
        <f>IFERROR(__xludf.DUMMYFUNCTION("""COMPUTED_VALUE"""),"Central")</f>
        <v>Central</v>
      </c>
      <c r="F1707" s="10">
        <f>IFERROR(__xludf.DUMMYFUNCTION("""COMPUTED_VALUE"""),29.932)</f>
        <v>29.932</v>
      </c>
      <c r="G1707" s="11">
        <f>IFERROR(__xludf.DUMMYFUNCTION("""COMPUTED_VALUE"""),7.0)</f>
        <v>7</v>
      </c>
      <c r="H1707" s="11">
        <f>IFERROR(__xludf.DUMMYFUNCTION("""COMPUTED_VALUE"""),-46.3946)</f>
        <v>-46.3946</v>
      </c>
    </row>
    <row r="1708">
      <c r="A1708" s="8" t="str">
        <f>IFERROR(__xludf.DUMMYFUNCTION("""COMPUTED_VALUE"""),"US-2014-104759")</f>
        <v>US-2014-104759</v>
      </c>
      <c r="B1708" s="9">
        <f>IFERROR(__xludf.DUMMYFUNCTION("""COMPUTED_VALUE"""),41729.0)</f>
        <v>41729</v>
      </c>
      <c r="C1708" s="8" t="str">
        <f>IFERROR(__xludf.DUMMYFUNCTION("""COMPUTED_VALUE"""),"Consumer")</f>
        <v>Consumer</v>
      </c>
      <c r="D1708" s="8" t="str">
        <f>IFERROR(__xludf.DUMMYFUNCTION("""COMPUTED_VALUE"""),"Illinois")</f>
        <v>Illinois</v>
      </c>
      <c r="E1708" s="8" t="str">
        <f>IFERROR(__xludf.DUMMYFUNCTION("""COMPUTED_VALUE"""),"Central")</f>
        <v>Central</v>
      </c>
      <c r="F1708" s="10">
        <f>IFERROR(__xludf.DUMMYFUNCTION("""COMPUTED_VALUE"""),8.134)</f>
        <v>8.134</v>
      </c>
      <c r="G1708" s="11">
        <f>IFERROR(__xludf.DUMMYFUNCTION("""COMPUTED_VALUE"""),7.0)</f>
        <v>7</v>
      </c>
      <c r="H1708" s="11">
        <f>IFERROR(__xludf.DUMMYFUNCTION("""COMPUTED_VALUE"""),-13.8278)</f>
        <v>-13.8278</v>
      </c>
    </row>
    <row r="1709">
      <c r="A1709" s="8" t="str">
        <f>IFERROR(__xludf.DUMMYFUNCTION("""COMPUTED_VALUE"""),"US-2014-105137")</f>
        <v>US-2014-105137</v>
      </c>
      <c r="B1709" s="9">
        <f>IFERROR(__xludf.DUMMYFUNCTION("""COMPUTED_VALUE"""),41922.0)</f>
        <v>41922</v>
      </c>
      <c r="C1709" s="8" t="str">
        <f>IFERROR(__xludf.DUMMYFUNCTION("""COMPUTED_VALUE"""),"Consumer")</f>
        <v>Consumer</v>
      </c>
      <c r="D1709" s="8" t="str">
        <f>IFERROR(__xludf.DUMMYFUNCTION("""COMPUTED_VALUE"""),"Ohio")</f>
        <v>Ohio</v>
      </c>
      <c r="E1709" s="8" t="str">
        <f>IFERROR(__xludf.DUMMYFUNCTION("""COMPUTED_VALUE"""),"East")</f>
        <v>East</v>
      </c>
      <c r="F1709" s="10">
        <f>IFERROR(__xludf.DUMMYFUNCTION("""COMPUTED_VALUE"""),101.994)</f>
        <v>101.994</v>
      </c>
      <c r="G1709" s="11">
        <f>IFERROR(__xludf.DUMMYFUNCTION("""COMPUTED_VALUE"""),2.0)</f>
        <v>2</v>
      </c>
      <c r="H1709" s="11">
        <f>IFERROR(__xludf.DUMMYFUNCTION("""COMPUTED_VALUE"""),-71.3958)</f>
        <v>-71.3958</v>
      </c>
    </row>
    <row r="1710">
      <c r="A1710" s="8" t="str">
        <f>IFERROR(__xludf.DUMMYFUNCTION("""COMPUTED_VALUE"""),"US-2014-105151")</f>
        <v>US-2014-105151</v>
      </c>
      <c r="B1710" s="9">
        <f>IFERROR(__xludf.DUMMYFUNCTION("""COMPUTED_VALUE"""),41728.0)</f>
        <v>41728</v>
      </c>
      <c r="C1710" s="8" t="str">
        <f>IFERROR(__xludf.DUMMYFUNCTION("""COMPUTED_VALUE"""),"Corporate")</f>
        <v>Corporate</v>
      </c>
      <c r="D1710" s="8" t="str">
        <f>IFERROR(__xludf.DUMMYFUNCTION("""COMPUTED_VALUE"""),"New York")</f>
        <v>New York</v>
      </c>
      <c r="E1710" s="8" t="str">
        <f>IFERROR(__xludf.DUMMYFUNCTION("""COMPUTED_VALUE"""),"East")</f>
        <v>East</v>
      </c>
      <c r="F1710" s="10">
        <f>IFERROR(__xludf.DUMMYFUNCTION("""COMPUTED_VALUE"""),10.5)</f>
        <v>10.5</v>
      </c>
      <c r="G1710" s="11">
        <f>IFERROR(__xludf.DUMMYFUNCTION("""COMPUTED_VALUE"""),5.0)</f>
        <v>5</v>
      </c>
      <c r="H1710" s="11">
        <f>IFERROR(__xludf.DUMMYFUNCTION("""COMPUTED_VALUE"""),2.94)</f>
        <v>2.94</v>
      </c>
    </row>
    <row r="1711">
      <c r="A1711" s="8" t="str">
        <f>IFERROR(__xludf.DUMMYFUNCTION("""COMPUTED_VALUE"""),"US-2014-105767")</f>
        <v>US-2014-105767</v>
      </c>
      <c r="B1711" s="9">
        <f>IFERROR(__xludf.DUMMYFUNCTION("""COMPUTED_VALUE"""),41782.0)</f>
        <v>41782</v>
      </c>
      <c r="C1711" s="8" t="str">
        <f>IFERROR(__xludf.DUMMYFUNCTION("""COMPUTED_VALUE"""),"Consumer")</f>
        <v>Consumer</v>
      </c>
      <c r="D1711" s="8" t="str">
        <f>IFERROR(__xludf.DUMMYFUNCTION("""COMPUTED_VALUE"""),"Pennsylvania")</f>
        <v>Pennsylvania</v>
      </c>
      <c r="E1711" s="8" t="str">
        <f>IFERROR(__xludf.DUMMYFUNCTION("""COMPUTED_VALUE"""),"East")</f>
        <v>East</v>
      </c>
      <c r="F1711" s="10">
        <f>IFERROR(__xludf.DUMMYFUNCTION("""COMPUTED_VALUE"""),3.282)</f>
        <v>3.282</v>
      </c>
      <c r="G1711" s="11">
        <f>IFERROR(__xludf.DUMMYFUNCTION("""COMPUTED_VALUE"""),2.0)</f>
        <v>2</v>
      </c>
      <c r="H1711" s="11">
        <f>IFERROR(__xludf.DUMMYFUNCTION("""COMPUTED_VALUE"""),-2.6256)</f>
        <v>-2.6256</v>
      </c>
    </row>
    <row r="1712">
      <c r="A1712" s="8" t="str">
        <f>IFERROR(__xludf.DUMMYFUNCTION("""COMPUTED_VALUE"""),"US-2014-106299")</f>
        <v>US-2014-106299</v>
      </c>
      <c r="B1712" s="9">
        <f>IFERROR(__xludf.DUMMYFUNCTION("""COMPUTED_VALUE"""),41853.0)</f>
        <v>41853</v>
      </c>
      <c r="C1712" s="8" t="str">
        <f>IFERROR(__xludf.DUMMYFUNCTION("""COMPUTED_VALUE"""),"Home Office")</f>
        <v>Home Office</v>
      </c>
      <c r="D1712" s="8" t="str">
        <f>IFERROR(__xludf.DUMMYFUNCTION("""COMPUTED_VALUE"""),"Missouri")</f>
        <v>Missouri</v>
      </c>
      <c r="E1712" s="8" t="str">
        <f>IFERROR(__xludf.DUMMYFUNCTION("""COMPUTED_VALUE"""),"Central")</f>
        <v>Central</v>
      </c>
      <c r="F1712" s="10">
        <f>IFERROR(__xludf.DUMMYFUNCTION("""COMPUTED_VALUE"""),26.7)</f>
        <v>26.7</v>
      </c>
      <c r="G1712" s="11">
        <f>IFERROR(__xludf.DUMMYFUNCTION("""COMPUTED_VALUE"""),5.0)</f>
        <v>5</v>
      </c>
      <c r="H1712" s="11">
        <f>IFERROR(__xludf.DUMMYFUNCTION("""COMPUTED_VALUE"""),12.549)</f>
        <v>12.549</v>
      </c>
    </row>
    <row r="1713">
      <c r="A1713" s="8" t="str">
        <f>IFERROR(__xludf.DUMMYFUNCTION("""COMPUTED_VALUE"""),"US-2014-106334")</f>
        <v>US-2014-106334</v>
      </c>
      <c r="B1713" s="9">
        <f>IFERROR(__xludf.DUMMYFUNCTION("""COMPUTED_VALUE"""),42000.0)</f>
        <v>42000</v>
      </c>
      <c r="C1713" s="8" t="str">
        <f>IFERROR(__xludf.DUMMYFUNCTION("""COMPUTED_VALUE"""),"Consumer")</f>
        <v>Consumer</v>
      </c>
      <c r="D1713" s="8" t="str">
        <f>IFERROR(__xludf.DUMMYFUNCTION("""COMPUTED_VALUE"""),"California")</f>
        <v>California</v>
      </c>
      <c r="E1713" s="8" t="str">
        <f>IFERROR(__xludf.DUMMYFUNCTION("""COMPUTED_VALUE"""),"West")</f>
        <v>West</v>
      </c>
      <c r="F1713" s="10">
        <f>IFERROR(__xludf.DUMMYFUNCTION("""COMPUTED_VALUE"""),230.28)</f>
        <v>230.28</v>
      </c>
      <c r="G1713" s="11">
        <f>IFERROR(__xludf.DUMMYFUNCTION("""COMPUTED_VALUE"""),3.0)</f>
        <v>3</v>
      </c>
      <c r="H1713" s="11">
        <f>IFERROR(__xludf.DUMMYFUNCTION("""COMPUTED_VALUE"""),23.028)</f>
        <v>23.028</v>
      </c>
    </row>
    <row r="1714">
      <c r="A1714" s="8" t="str">
        <f>IFERROR(__xludf.DUMMYFUNCTION("""COMPUTED_VALUE"""),"US-2014-106992")</f>
        <v>US-2014-106992</v>
      </c>
      <c r="B1714" s="9">
        <f>IFERROR(__xludf.DUMMYFUNCTION("""COMPUTED_VALUE"""),41901.0)</f>
        <v>41901</v>
      </c>
      <c r="C1714" s="8" t="str">
        <f>IFERROR(__xludf.DUMMYFUNCTION("""COMPUTED_VALUE"""),"Corporate")</f>
        <v>Corporate</v>
      </c>
      <c r="D1714" s="8" t="str">
        <f>IFERROR(__xludf.DUMMYFUNCTION("""COMPUTED_VALUE"""),"Texas")</f>
        <v>Texas</v>
      </c>
      <c r="E1714" s="8" t="str">
        <f>IFERROR(__xludf.DUMMYFUNCTION("""COMPUTED_VALUE"""),"Central")</f>
        <v>Central</v>
      </c>
      <c r="F1714" s="10">
        <f>IFERROR(__xludf.DUMMYFUNCTION("""COMPUTED_VALUE"""),3059.982)</f>
        <v>3059.982</v>
      </c>
      <c r="G1714" s="11">
        <f>IFERROR(__xludf.DUMMYFUNCTION("""COMPUTED_VALUE"""),3.0)</f>
        <v>3</v>
      </c>
      <c r="H1714" s="11">
        <f>IFERROR(__xludf.DUMMYFUNCTION("""COMPUTED_VALUE"""),-509.997)</f>
        <v>-509.997</v>
      </c>
    </row>
    <row r="1715">
      <c r="A1715" s="8" t="str">
        <f>IFERROR(__xludf.DUMMYFUNCTION("""COMPUTED_VALUE"""),"US-2014-107405")</f>
        <v>US-2014-107405</v>
      </c>
      <c r="B1715" s="9">
        <f>IFERROR(__xludf.DUMMYFUNCTION("""COMPUTED_VALUE"""),41719.0)</f>
        <v>41719</v>
      </c>
      <c r="C1715" s="8" t="str">
        <f>IFERROR(__xludf.DUMMYFUNCTION("""COMPUTED_VALUE"""),"Corporate")</f>
        <v>Corporate</v>
      </c>
      <c r="D1715" s="8" t="str">
        <f>IFERROR(__xludf.DUMMYFUNCTION("""COMPUTED_VALUE"""),"North Carolina")</f>
        <v>North Carolina</v>
      </c>
      <c r="E1715" s="8" t="str">
        <f>IFERROR(__xludf.DUMMYFUNCTION("""COMPUTED_VALUE"""),"South")</f>
        <v>South</v>
      </c>
      <c r="F1715" s="10">
        <f>IFERROR(__xludf.DUMMYFUNCTION("""COMPUTED_VALUE"""),16.272)</f>
        <v>16.272</v>
      </c>
      <c r="G1715" s="11">
        <f>IFERROR(__xludf.DUMMYFUNCTION("""COMPUTED_VALUE"""),1.0)</f>
        <v>1</v>
      </c>
      <c r="H1715" s="11">
        <f>IFERROR(__xludf.DUMMYFUNCTION("""COMPUTED_VALUE"""),-3.8646)</f>
        <v>-3.8646</v>
      </c>
    </row>
    <row r="1716">
      <c r="A1716" s="8" t="str">
        <f>IFERROR(__xludf.DUMMYFUNCTION("""COMPUTED_VALUE"""),"US-2014-107699")</f>
        <v>US-2014-107699</v>
      </c>
      <c r="B1716" s="9">
        <f>IFERROR(__xludf.DUMMYFUNCTION("""COMPUTED_VALUE"""),41778.0)</f>
        <v>41778</v>
      </c>
      <c r="C1716" s="8" t="str">
        <f>IFERROR(__xludf.DUMMYFUNCTION("""COMPUTED_VALUE"""),"Consumer")</f>
        <v>Consumer</v>
      </c>
      <c r="D1716" s="8" t="str">
        <f>IFERROR(__xludf.DUMMYFUNCTION("""COMPUTED_VALUE"""),"Michigan")</f>
        <v>Michigan</v>
      </c>
      <c r="E1716" s="8" t="str">
        <f>IFERROR(__xludf.DUMMYFUNCTION("""COMPUTED_VALUE"""),"Central")</f>
        <v>Central</v>
      </c>
      <c r="F1716" s="10">
        <f>IFERROR(__xludf.DUMMYFUNCTION("""COMPUTED_VALUE"""),57.42)</f>
        <v>57.42</v>
      </c>
      <c r="G1716" s="11">
        <f>IFERROR(__xludf.DUMMYFUNCTION("""COMPUTED_VALUE"""),9.0)</f>
        <v>9</v>
      </c>
      <c r="H1716" s="11">
        <f>IFERROR(__xludf.DUMMYFUNCTION("""COMPUTED_VALUE"""),26.4132)</f>
        <v>26.4132</v>
      </c>
    </row>
    <row r="1717">
      <c r="A1717" s="8" t="str">
        <f>IFERROR(__xludf.DUMMYFUNCTION("""COMPUTED_VALUE"""),"US-2014-107993")</f>
        <v>US-2014-107993</v>
      </c>
      <c r="B1717" s="9">
        <f>IFERROR(__xludf.DUMMYFUNCTION("""COMPUTED_VALUE"""),41968.0)</f>
        <v>41968</v>
      </c>
      <c r="C1717" s="8" t="str">
        <f>IFERROR(__xludf.DUMMYFUNCTION("""COMPUTED_VALUE"""),"Consumer")</f>
        <v>Consumer</v>
      </c>
      <c r="D1717" s="8" t="str">
        <f>IFERROR(__xludf.DUMMYFUNCTION("""COMPUTED_VALUE"""),"Oregon")</f>
        <v>Oregon</v>
      </c>
      <c r="E1717" s="8" t="str">
        <f>IFERROR(__xludf.DUMMYFUNCTION("""COMPUTED_VALUE"""),"West")</f>
        <v>West</v>
      </c>
      <c r="F1717" s="10">
        <f>IFERROR(__xludf.DUMMYFUNCTION("""COMPUTED_VALUE"""),51.016)</f>
        <v>51.016</v>
      </c>
      <c r="G1717" s="11">
        <f>IFERROR(__xludf.DUMMYFUNCTION("""COMPUTED_VALUE"""),7.0)</f>
        <v>7</v>
      </c>
      <c r="H1717" s="11">
        <f>IFERROR(__xludf.DUMMYFUNCTION("""COMPUTED_VALUE"""),8.2901)</f>
        <v>8.2901</v>
      </c>
    </row>
    <row r="1718">
      <c r="A1718" s="8" t="str">
        <f>IFERROR(__xludf.DUMMYFUNCTION("""COMPUTED_VALUE"""),"US-2014-109036")</f>
        <v>US-2014-109036</v>
      </c>
      <c r="B1718" s="9">
        <f>IFERROR(__xludf.DUMMYFUNCTION("""COMPUTED_VALUE"""),41993.0)</f>
        <v>41993</v>
      </c>
      <c r="C1718" s="8" t="str">
        <f>IFERROR(__xludf.DUMMYFUNCTION("""COMPUTED_VALUE"""),"Consumer")</f>
        <v>Consumer</v>
      </c>
      <c r="D1718" s="8" t="str">
        <f>IFERROR(__xludf.DUMMYFUNCTION("""COMPUTED_VALUE"""),"Washington")</f>
        <v>Washington</v>
      </c>
      <c r="E1718" s="8" t="str">
        <f>IFERROR(__xludf.DUMMYFUNCTION("""COMPUTED_VALUE"""),"West")</f>
        <v>West</v>
      </c>
      <c r="F1718" s="10">
        <f>IFERROR(__xludf.DUMMYFUNCTION("""COMPUTED_VALUE"""),31.05)</f>
        <v>31.05</v>
      </c>
      <c r="G1718" s="11">
        <f>IFERROR(__xludf.DUMMYFUNCTION("""COMPUTED_VALUE"""),3.0)</f>
        <v>3</v>
      </c>
      <c r="H1718" s="11">
        <f>IFERROR(__xludf.DUMMYFUNCTION("""COMPUTED_VALUE"""),14.904)</f>
        <v>14.904</v>
      </c>
    </row>
    <row r="1719">
      <c r="A1719" s="8" t="str">
        <f>IFERROR(__xludf.DUMMYFUNCTION("""COMPUTED_VALUE"""),"US-2014-109162")</f>
        <v>US-2014-109162</v>
      </c>
      <c r="B1719" s="9">
        <f>IFERROR(__xludf.DUMMYFUNCTION("""COMPUTED_VALUE"""),41798.0)</f>
        <v>41798</v>
      </c>
      <c r="C1719" s="8" t="str">
        <f>IFERROR(__xludf.DUMMYFUNCTION("""COMPUTED_VALUE"""),"Corporate")</f>
        <v>Corporate</v>
      </c>
      <c r="D1719" s="8" t="str">
        <f>IFERROR(__xludf.DUMMYFUNCTION("""COMPUTED_VALUE"""),"Tennessee")</f>
        <v>Tennessee</v>
      </c>
      <c r="E1719" s="8" t="str">
        <f>IFERROR(__xludf.DUMMYFUNCTION("""COMPUTED_VALUE"""),"South")</f>
        <v>South</v>
      </c>
      <c r="F1719" s="10">
        <f>IFERROR(__xludf.DUMMYFUNCTION("""COMPUTED_VALUE"""),170.352)</f>
        <v>170.352</v>
      </c>
      <c r="G1719" s="11">
        <f>IFERROR(__xludf.DUMMYFUNCTION("""COMPUTED_VALUE"""),3.0)</f>
        <v>3</v>
      </c>
      <c r="H1719" s="11">
        <f>IFERROR(__xludf.DUMMYFUNCTION("""COMPUTED_VALUE"""),10.647)</f>
        <v>10.647</v>
      </c>
    </row>
    <row r="1720">
      <c r="A1720" s="8" t="str">
        <f>IFERROR(__xludf.DUMMYFUNCTION("""COMPUTED_VALUE"""),"US-2014-109456")</f>
        <v>US-2014-109456</v>
      </c>
      <c r="B1720" s="9">
        <f>IFERROR(__xludf.DUMMYFUNCTION("""COMPUTED_VALUE"""),41928.0)</f>
        <v>41928</v>
      </c>
      <c r="C1720" s="8" t="str">
        <f>IFERROR(__xludf.DUMMYFUNCTION("""COMPUTED_VALUE"""),"Consumer")</f>
        <v>Consumer</v>
      </c>
      <c r="D1720" s="8" t="str">
        <f>IFERROR(__xludf.DUMMYFUNCTION("""COMPUTED_VALUE"""),"California")</f>
        <v>California</v>
      </c>
      <c r="E1720" s="8" t="str">
        <f>IFERROR(__xludf.DUMMYFUNCTION("""COMPUTED_VALUE"""),"West")</f>
        <v>West</v>
      </c>
      <c r="F1720" s="10">
        <f>IFERROR(__xludf.DUMMYFUNCTION("""COMPUTED_VALUE"""),14.352)</f>
        <v>14.352</v>
      </c>
      <c r="G1720" s="11">
        <f>IFERROR(__xludf.DUMMYFUNCTION("""COMPUTED_VALUE"""),3.0)</f>
        <v>3</v>
      </c>
      <c r="H1720" s="11">
        <f>IFERROR(__xludf.DUMMYFUNCTION("""COMPUTED_VALUE"""),5.0232)</f>
        <v>5.0232</v>
      </c>
    </row>
    <row r="1721">
      <c r="A1721" s="8" t="str">
        <f>IFERROR(__xludf.DUMMYFUNCTION("""COMPUTED_VALUE"""),"US-2014-110674")</f>
        <v>US-2014-110674</v>
      </c>
      <c r="B1721" s="9">
        <f>IFERROR(__xludf.DUMMYFUNCTION("""COMPUTED_VALUE"""),41682.0)</f>
        <v>41682</v>
      </c>
      <c r="C1721" s="8" t="str">
        <f>IFERROR(__xludf.DUMMYFUNCTION("""COMPUTED_VALUE"""),"Consumer")</f>
        <v>Consumer</v>
      </c>
      <c r="D1721" s="8" t="str">
        <f>IFERROR(__xludf.DUMMYFUNCTION("""COMPUTED_VALUE"""),"California")</f>
        <v>California</v>
      </c>
      <c r="E1721" s="8" t="str">
        <f>IFERROR(__xludf.DUMMYFUNCTION("""COMPUTED_VALUE"""),"West")</f>
        <v>West</v>
      </c>
      <c r="F1721" s="10">
        <f>IFERROR(__xludf.DUMMYFUNCTION("""COMPUTED_VALUE"""),129.568)</f>
        <v>129.568</v>
      </c>
      <c r="G1721" s="11">
        <f>IFERROR(__xludf.DUMMYFUNCTION("""COMPUTED_VALUE"""),2.0)</f>
        <v>2</v>
      </c>
      <c r="H1721" s="11">
        <f>IFERROR(__xludf.DUMMYFUNCTION("""COMPUTED_VALUE"""),-24.294)</f>
        <v>-24.294</v>
      </c>
    </row>
    <row r="1722">
      <c r="A1722" s="8" t="str">
        <f>IFERROR(__xludf.DUMMYFUNCTION("""COMPUTED_VALUE"""),"US-2014-111171")</f>
        <v>US-2014-111171</v>
      </c>
      <c r="B1722" s="9">
        <f>IFERROR(__xludf.DUMMYFUNCTION("""COMPUTED_VALUE"""),41999.0)</f>
        <v>41999</v>
      </c>
      <c r="C1722" s="8" t="str">
        <f>IFERROR(__xludf.DUMMYFUNCTION("""COMPUTED_VALUE"""),"Consumer")</f>
        <v>Consumer</v>
      </c>
      <c r="D1722" s="8" t="str">
        <f>IFERROR(__xludf.DUMMYFUNCTION("""COMPUTED_VALUE"""),"Illinois")</f>
        <v>Illinois</v>
      </c>
      <c r="E1722" s="8" t="str">
        <f>IFERROR(__xludf.DUMMYFUNCTION("""COMPUTED_VALUE"""),"Central")</f>
        <v>Central</v>
      </c>
      <c r="F1722" s="10">
        <f>IFERROR(__xludf.DUMMYFUNCTION("""COMPUTED_VALUE"""),8.69)</f>
        <v>8.69</v>
      </c>
      <c r="G1722" s="11">
        <f>IFERROR(__xludf.DUMMYFUNCTION("""COMPUTED_VALUE"""),5.0)</f>
        <v>5</v>
      </c>
      <c r="H1722" s="11">
        <f>IFERROR(__xludf.DUMMYFUNCTION("""COMPUTED_VALUE"""),-14.773)</f>
        <v>-14.773</v>
      </c>
    </row>
    <row r="1723">
      <c r="A1723" s="8" t="str">
        <f>IFERROR(__xludf.DUMMYFUNCTION("""COMPUTED_VALUE"""),"US-2014-111353")</f>
        <v>US-2014-111353</v>
      </c>
      <c r="B1723" s="9">
        <f>IFERROR(__xludf.DUMMYFUNCTION("""COMPUTED_VALUE"""),41972.0)</f>
        <v>41972</v>
      </c>
      <c r="C1723" s="8" t="str">
        <f>IFERROR(__xludf.DUMMYFUNCTION("""COMPUTED_VALUE"""),"Consumer")</f>
        <v>Consumer</v>
      </c>
      <c r="D1723" s="8" t="str">
        <f>IFERROR(__xludf.DUMMYFUNCTION("""COMPUTED_VALUE"""),"New York")</f>
        <v>New York</v>
      </c>
      <c r="E1723" s="8" t="str">
        <f>IFERROR(__xludf.DUMMYFUNCTION("""COMPUTED_VALUE"""),"East")</f>
        <v>East</v>
      </c>
      <c r="F1723" s="10">
        <f>IFERROR(__xludf.DUMMYFUNCTION("""COMPUTED_VALUE"""),25.06)</f>
        <v>25.06</v>
      </c>
      <c r="G1723" s="11">
        <f>IFERROR(__xludf.DUMMYFUNCTION("""COMPUTED_VALUE"""),2.0)</f>
        <v>2</v>
      </c>
      <c r="H1723" s="11">
        <f>IFERROR(__xludf.DUMMYFUNCTION("""COMPUTED_VALUE"""),11.7782)</f>
        <v>11.7782</v>
      </c>
    </row>
    <row r="1724">
      <c r="A1724" s="8" t="str">
        <f>IFERROR(__xludf.DUMMYFUNCTION("""COMPUTED_VALUE"""),"US-2014-112200")</f>
        <v>US-2014-112200</v>
      </c>
      <c r="B1724" s="9">
        <f>IFERROR(__xludf.DUMMYFUNCTION("""COMPUTED_VALUE"""),41965.0)</f>
        <v>41965</v>
      </c>
      <c r="C1724" s="8" t="str">
        <f>IFERROR(__xludf.DUMMYFUNCTION("""COMPUTED_VALUE"""),"Home Office")</f>
        <v>Home Office</v>
      </c>
      <c r="D1724" s="8" t="str">
        <f>IFERROR(__xludf.DUMMYFUNCTION("""COMPUTED_VALUE"""),"Illinois")</f>
        <v>Illinois</v>
      </c>
      <c r="E1724" s="8" t="str">
        <f>IFERROR(__xludf.DUMMYFUNCTION("""COMPUTED_VALUE"""),"Central")</f>
        <v>Central</v>
      </c>
      <c r="F1724" s="10">
        <f>IFERROR(__xludf.DUMMYFUNCTION("""COMPUTED_VALUE"""),9.98)</f>
        <v>9.98</v>
      </c>
      <c r="G1724" s="11">
        <f>IFERROR(__xludf.DUMMYFUNCTION("""COMPUTED_VALUE"""),5.0)</f>
        <v>5</v>
      </c>
      <c r="H1724" s="11">
        <f>IFERROR(__xludf.DUMMYFUNCTION("""COMPUTED_VALUE"""),-16.467)</f>
        <v>-16.467</v>
      </c>
    </row>
    <row r="1725">
      <c r="A1725" s="8" t="str">
        <f>IFERROR(__xludf.DUMMYFUNCTION("""COMPUTED_VALUE"""),"US-2014-112564")</f>
        <v>US-2014-112564</v>
      </c>
      <c r="B1725" s="9">
        <f>IFERROR(__xludf.DUMMYFUNCTION("""COMPUTED_VALUE"""),41752.0)</f>
        <v>41752</v>
      </c>
      <c r="C1725" s="8" t="str">
        <f>IFERROR(__xludf.DUMMYFUNCTION("""COMPUTED_VALUE"""),"Corporate")</f>
        <v>Corporate</v>
      </c>
      <c r="D1725" s="8" t="str">
        <f>IFERROR(__xludf.DUMMYFUNCTION("""COMPUTED_VALUE"""),"Pennsylvania")</f>
        <v>Pennsylvania</v>
      </c>
      <c r="E1725" s="8" t="str">
        <f>IFERROR(__xludf.DUMMYFUNCTION("""COMPUTED_VALUE"""),"East")</f>
        <v>East</v>
      </c>
      <c r="F1725" s="10">
        <f>IFERROR(__xludf.DUMMYFUNCTION("""COMPUTED_VALUE"""),2.502)</f>
        <v>2.502</v>
      </c>
      <c r="G1725" s="11">
        <f>IFERROR(__xludf.DUMMYFUNCTION("""COMPUTED_VALUE"""),3.0)</f>
        <v>3</v>
      </c>
      <c r="H1725" s="11">
        <f>IFERROR(__xludf.DUMMYFUNCTION("""COMPUTED_VALUE"""),-1.7514)</f>
        <v>-1.7514</v>
      </c>
    </row>
    <row r="1726">
      <c r="A1726" s="8" t="str">
        <f>IFERROR(__xludf.DUMMYFUNCTION("""COMPUTED_VALUE"""),"US-2014-112795")</f>
        <v>US-2014-112795</v>
      </c>
      <c r="B1726" s="9">
        <f>IFERROR(__xludf.DUMMYFUNCTION("""COMPUTED_VALUE"""),41874.0)</f>
        <v>41874</v>
      </c>
      <c r="C1726" s="8" t="str">
        <f>IFERROR(__xludf.DUMMYFUNCTION("""COMPUTED_VALUE"""),"Home Office")</f>
        <v>Home Office</v>
      </c>
      <c r="D1726" s="8" t="str">
        <f>IFERROR(__xludf.DUMMYFUNCTION("""COMPUTED_VALUE"""),"Michigan")</f>
        <v>Michigan</v>
      </c>
      <c r="E1726" s="8" t="str">
        <f>IFERROR(__xludf.DUMMYFUNCTION("""COMPUTED_VALUE"""),"Central")</f>
        <v>Central</v>
      </c>
      <c r="F1726" s="10">
        <f>IFERROR(__xludf.DUMMYFUNCTION("""COMPUTED_VALUE"""),19.44)</f>
        <v>19.44</v>
      </c>
      <c r="G1726" s="11">
        <f>IFERROR(__xludf.DUMMYFUNCTION("""COMPUTED_VALUE"""),3.0)</f>
        <v>3</v>
      </c>
      <c r="H1726" s="11">
        <f>IFERROR(__xludf.DUMMYFUNCTION("""COMPUTED_VALUE"""),9.5256)</f>
        <v>9.5256</v>
      </c>
    </row>
    <row r="1727">
      <c r="A1727" s="8" t="str">
        <f>IFERROR(__xludf.DUMMYFUNCTION("""COMPUTED_VALUE"""),"US-2014-112872")</f>
        <v>US-2014-112872</v>
      </c>
      <c r="B1727" s="9">
        <f>IFERROR(__xludf.DUMMYFUNCTION("""COMPUTED_VALUE"""),41979.0)</f>
        <v>41979</v>
      </c>
      <c r="C1727" s="8" t="str">
        <f>IFERROR(__xludf.DUMMYFUNCTION("""COMPUTED_VALUE"""),"Consumer")</f>
        <v>Consumer</v>
      </c>
      <c r="D1727" s="8" t="str">
        <f>IFERROR(__xludf.DUMMYFUNCTION("""COMPUTED_VALUE"""),"Oregon")</f>
        <v>Oregon</v>
      </c>
      <c r="E1727" s="8" t="str">
        <f>IFERROR(__xludf.DUMMYFUNCTION("""COMPUTED_VALUE"""),"West")</f>
        <v>West</v>
      </c>
      <c r="F1727" s="10">
        <f>IFERROR(__xludf.DUMMYFUNCTION("""COMPUTED_VALUE"""),53.424)</f>
        <v>53.424</v>
      </c>
      <c r="G1727" s="11">
        <f>IFERROR(__xludf.DUMMYFUNCTION("""COMPUTED_VALUE"""),3.0)</f>
        <v>3</v>
      </c>
      <c r="H1727" s="11">
        <f>IFERROR(__xludf.DUMMYFUNCTION("""COMPUTED_VALUE"""),4.6746)</f>
        <v>4.6746</v>
      </c>
    </row>
    <row r="1728">
      <c r="A1728" s="8" t="str">
        <f>IFERROR(__xludf.DUMMYFUNCTION("""COMPUTED_VALUE"""),"US-2014-112914")</f>
        <v>US-2014-112914</v>
      </c>
      <c r="B1728" s="9">
        <f>IFERROR(__xludf.DUMMYFUNCTION("""COMPUTED_VALUE"""),41907.0)</f>
        <v>41907</v>
      </c>
      <c r="C1728" s="8" t="str">
        <f>IFERROR(__xludf.DUMMYFUNCTION("""COMPUTED_VALUE"""),"Home Office")</f>
        <v>Home Office</v>
      </c>
      <c r="D1728" s="8" t="str">
        <f>IFERROR(__xludf.DUMMYFUNCTION("""COMPUTED_VALUE"""),"Texas")</f>
        <v>Texas</v>
      </c>
      <c r="E1728" s="8" t="str">
        <f>IFERROR(__xludf.DUMMYFUNCTION("""COMPUTED_VALUE"""),"Central")</f>
        <v>Central</v>
      </c>
      <c r="F1728" s="10">
        <f>IFERROR(__xludf.DUMMYFUNCTION("""COMPUTED_VALUE"""),33.792)</f>
        <v>33.792</v>
      </c>
      <c r="G1728" s="11">
        <f>IFERROR(__xludf.DUMMYFUNCTION("""COMPUTED_VALUE"""),8.0)</f>
        <v>8</v>
      </c>
      <c r="H1728" s="11">
        <f>IFERROR(__xludf.DUMMYFUNCTION("""COMPUTED_VALUE"""),10.56)</f>
        <v>10.56</v>
      </c>
    </row>
    <row r="1729">
      <c r="A1729" s="8" t="str">
        <f>IFERROR(__xludf.DUMMYFUNCTION("""COMPUTED_VALUE"""),"US-2014-112949")</f>
        <v>US-2014-112949</v>
      </c>
      <c r="B1729" s="9">
        <f>IFERROR(__xludf.DUMMYFUNCTION("""COMPUTED_VALUE"""),41810.0)</f>
        <v>41810</v>
      </c>
      <c r="C1729" s="8" t="str">
        <f>IFERROR(__xludf.DUMMYFUNCTION("""COMPUTED_VALUE"""),"Consumer")</f>
        <v>Consumer</v>
      </c>
      <c r="D1729" s="8" t="str">
        <f>IFERROR(__xludf.DUMMYFUNCTION("""COMPUTED_VALUE"""),"Oklahoma")</f>
        <v>Oklahoma</v>
      </c>
      <c r="E1729" s="8" t="str">
        <f>IFERROR(__xludf.DUMMYFUNCTION("""COMPUTED_VALUE"""),"Central")</f>
        <v>Central</v>
      </c>
      <c r="F1729" s="10">
        <f>IFERROR(__xludf.DUMMYFUNCTION("""COMPUTED_VALUE"""),471.9)</f>
        <v>471.9</v>
      </c>
      <c r="G1729" s="11">
        <f>IFERROR(__xludf.DUMMYFUNCTION("""COMPUTED_VALUE"""),6.0)</f>
        <v>6</v>
      </c>
      <c r="H1729" s="11">
        <f>IFERROR(__xludf.DUMMYFUNCTION("""COMPUTED_VALUE"""),155.727)</f>
        <v>155.727</v>
      </c>
    </row>
    <row r="1730">
      <c r="A1730" s="8" t="str">
        <f>IFERROR(__xludf.DUMMYFUNCTION("""COMPUTED_VALUE"""),"US-2014-112991")</f>
        <v>US-2014-112991</v>
      </c>
      <c r="B1730" s="9">
        <f>IFERROR(__xludf.DUMMYFUNCTION("""COMPUTED_VALUE"""),41983.0)</f>
        <v>41983</v>
      </c>
      <c r="C1730" s="8" t="str">
        <f>IFERROR(__xludf.DUMMYFUNCTION("""COMPUTED_VALUE"""),"Corporate")</f>
        <v>Corporate</v>
      </c>
      <c r="D1730" s="8" t="str">
        <f>IFERROR(__xludf.DUMMYFUNCTION("""COMPUTED_VALUE"""),"Idaho")</f>
        <v>Idaho</v>
      </c>
      <c r="E1730" s="8" t="str">
        <f>IFERROR(__xludf.DUMMYFUNCTION("""COMPUTED_VALUE"""),"West")</f>
        <v>West</v>
      </c>
      <c r="F1730" s="10">
        <f>IFERROR(__xludf.DUMMYFUNCTION("""COMPUTED_VALUE"""),338.352)</f>
        <v>338.352</v>
      </c>
      <c r="G1730" s="11">
        <f>IFERROR(__xludf.DUMMYFUNCTION("""COMPUTED_VALUE"""),3.0)</f>
        <v>3</v>
      </c>
      <c r="H1730" s="11">
        <f>IFERROR(__xludf.DUMMYFUNCTION("""COMPUTED_VALUE"""),4.2294)</f>
        <v>4.2294</v>
      </c>
    </row>
    <row r="1731">
      <c r="A1731" s="8" t="str">
        <f>IFERROR(__xludf.DUMMYFUNCTION("""COMPUTED_VALUE"""),"US-2014-113124")</f>
        <v>US-2014-113124</v>
      </c>
      <c r="B1731" s="9">
        <f>IFERROR(__xludf.DUMMYFUNCTION("""COMPUTED_VALUE"""),41728.0)</f>
        <v>41728</v>
      </c>
      <c r="C1731" s="8" t="str">
        <f>IFERROR(__xludf.DUMMYFUNCTION("""COMPUTED_VALUE"""),"Consumer")</f>
        <v>Consumer</v>
      </c>
      <c r="D1731" s="8" t="str">
        <f>IFERROR(__xludf.DUMMYFUNCTION("""COMPUTED_VALUE"""),"Minnesota")</f>
        <v>Minnesota</v>
      </c>
      <c r="E1731" s="8" t="str">
        <f>IFERROR(__xludf.DUMMYFUNCTION("""COMPUTED_VALUE"""),"Central")</f>
        <v>Central</v>
      </c>
      <c r="F1731" s="10">
        <f>IFERROR(__xludf.DUMMYFUNCTION("""COMPUTED_VALUE"""),129.3)</f>
        <v>129.3</v>
      </c>
      <c r="G1731" s="11">
        <f>IFERROR(__xludf.DUMMYFUNCTION("""COMPUTED_VALUE"""),2.0)</f>
        <v>2</v>
      </c>
      <c r="H1731" s="11">
        <f>IFERROR(__xludf.DUMMYFUNCTION("""COMPUTED_VALUE"""),6.465)</f>
        <v>6.465</v>
      </c>
    </row>
    <row r="1732">
      <c r="A1732" s="8" t="str">
        <f>IFERROR(__xludf.DUMMYFUNCTION("""COMPUTED_VALUE"""),"US-2014-114188")</f>
        <v>US-2014-114188</v>
      </c>
      <c r="B1732" s="9">
        <f>IFERROR(__xludf.DUMMYFUNCTION("""COMPUTED_VALUE"""),41779.0)</f>
        <v>41779</v>
      </c>
      <c r="C1732" s="8" t="str">
        <f>IFERROR(__xludf.DUMMYFUNCTION("""COMPUTED_VALUE"""),"Corporate")</f>
        <v>Corporate</v>
      </c>
      <c r="D1732" s="8" t="str">
        <f>IFERROR(__xludf.DUMMYFUNCTION("""COMPUTED_VALUE"""),"New Hampshire")</f>
        <v>New Hampshire</v>
      </c>
      <c r="E1732" s="8" t="str">
        <f>IFERROR(__xludf.DUMMYFUNCTION("""COMPUTED_VALUE"""),"East")</f>
        <v>East</v>
      </c>
      <c r="F1732" s="10">
        <f>IFERROR(__xludf.DUMMYFUNCTION("""COMPUTED_VALUE"""),33.28)</f>
        <v>33.28</v>
      </c>
      <c r="G1732" s="11">
        <f>IFERROR(__xludf.DUMMYFUNCTION("""COMPUTED_VALUE"""),4.0)</f>
        <v>4</v>
      </c>
      <c r="H1732" s="11">
        <f>IFERROR(__xludf.DUMMYFUNCTION("""COMPUTED_VALUE"""),9.3184)</f>
        <v>9.3184</v>
      </c>
    </row>
    <row r="1733">
      <c r="A1733" s="8" t="str">
        <f>IFERROR(__xludf.DUMMYFUNCTION("""COMPUTED_VALUE"""),"US-2014-114377")</f>
        <v>US-2014-114377</v>
      </c>
      <c r="B1733" s="9">
        <f>IFERROR(__xludf.DUMMYFUNCTION("""COMPUTED_VALUE"""),41948.0)</f>
        <v>41948</v>
      </c>
      <c r="C1733" s="8" t="str">
        <f>IFERROR(__xludf.DUMMYFUNCTION("""COMPUTED_VALUE"""),"Consumer")</f>
        <v>Consumer</v>
      </c>
      <c r="D1733" s="8" t="str">
        <f>IFERROR(__xludf.DUMMYFUNCTION("""COMPUTED_VALUE"""),"Virginia")</f>
        <v>Virginia</v>
      </c>
      <c r="E1733" s="8" t="str">
        <f>IFERROR(__xludf.DUMMYFUNCTION("""COMPUTED_VALUE"""),"South")</f>
        <v>South</v>
      </c>
      <c r="F1733" s="10">
        <f>IFERROR(__xludf.DUMMYFUNCTION("""COMPUTED_VALUE"""),149.9)</f>
        <v>149.9</v>
      </c>
      <c r="G1733" s="11">
        <f>IFERROR(__xludf.DUMMYFUNCTION("""COMPUTED_VALUE"""),5.0)</f>
        <v>5</v>
      </c>
      <c r="H1733" s="11">
        <f>IFERROR(__xludf.DUMMYFUNCTION("""COMPUTED_VALUE"""),40.473)</f>
        <v>40.473</v>
      </c>
    </row>
    <row r="1734">
      <c r="A1734" s="8" t="str">
        <f>IFERROR(__xludf.DUMMYFUNCTION("""COMPUTED_VALUE"""),"US-2014-115189")</f>
        <v>US-2014-115189</v>
      </c>
      <c r="B1734" s="9">
        <f>IFERROR(__xludf.DUMMYFUNCTION("""COMPUTED_VALUE"""),42003.0)</f>
        <v>42003</v>
      </c>
      <c r="C1734" s="8" t="str">
        <f>IFERROR(__xludf.DUMMYFUNCTION("""COMPUTED_VALUE"""),"Corporate")</f>
        <v>Corporate</v>
      </c>
      <c r="D1734" s="8" t="str">
        <f>IFERROR(__xludf.DUMMYFUNCTION("""COMPUTED_VALUE"""),"Pennsylvania")</f>
        <v>Pennsylvania</v>
      </c>
      <c r="E1734" s="8" t="str">
        <f>IFERROR(__xludf.DUMMYFUNCTION("""COMPUTED_VALUE"""),"East")</f>
        <v>East</v>
      </c>
      <c r="F1734" s="10">
        <f>IFERROR(__xludf.DUMMYFUNCTION("""COMPUTED_VALUE"""),251.964)</f>
        <v>251.964</v>
      </c>
      <c r="G1734" s="11">
        <f>IFERROR(__xludf.DUMMYFUNCTION("""COMPUTED_VALUE"""),6.0)</f>
        <v>6</v>
      </c>
      <c r="H1734" s="11">
        <f>IFERROR(__xludf.DUMMYFUNCTION("""COMPUTED_VALUE"""),-50.3928)</f>
        <v>-50.3928</v>
      </c>
    </row>
    <row r="1735">
      <c r="A1735" s="8" t="str">
        <f>IFERROR(__xludf.DUMMYFUNCTION("""COMPUTED_VALUE"""),"US-2014-115196")</f>
        <v>US-2014-115196</v>
      </c>
      <c r="B1735" s="9">
        <f>IFERROR(__xludf.DUMMYFUNCTION("""COMPUTED_VALUE"""),41891.0)</f>
        <v>41891</v>
      </c>
      <c r="C1735" s="8" t="str">
        <f>IFERROR(__xludf.DUMMYFUNCTION("""COMPUTED_VALUE"""),"Consumer")</f>
        <v>Consumer</v>
      </c>
      <c r="D1735" s="8" t="str">
        <f>IFERROR(__xludf.DUMMYFUNCTION("""COMPUTED_VALUE"""),"North Carolina")</f>
        <v>North Carolina</v>
      </c>
      <c r="E1735" s="8" t="str">
        <f>IFERROR(__xludf.DUMMYFUNCTION("""COMPUTED_VALUE"""),"South")</f>
        <v>South</v>
      </c>
      <c r="F1735" s="10">
        <f>IFERROR(__xludf.DUMMYFUNCTION("""COMPUTED_VALUE"""),1299.99)</f>
        <v>1299.99</v>
      </c>
      <c r="G1735" s="11">
        <f>IFERROR(__xludf.DUMMYFUNCTION("""COMPUTED_VALUE"""),2.0)</f>
        <v>2</v>
      </c>
      <c r="H1735" s="11">
        <f>IFERROR(__xludf.DUMMYFUNCTION("""COMPUTED_VALUE"""),-571.9956)</f>
        <v>-571.9956</v>
      </c>
    </row>
    <row r="1736">
      <c r="A1736" s="8" t="str">
        <f>IFERROR(__xludf.DUMMYFUNCTION("""COMPUTED_VALUE"""),"US-2014-115413")</f>
        <v>US-2014-115413</v>
      </c>
      <c r="B1736" s="9">
        <f>IFERROR(__xludf.DUMMYFUNCTION("""COMPUTED_VALUE"""),41877.0)</f>
        <v>41877</v>
      </c>
      <c r="C1736" s="8" t="str">
        <f>IFERROR(__xludf.DUMMYFUNCTION("""COMPUTED_VALUE"""),"Home Office")</f>
        <v>Home Office</v>
      </c>
      <c r="D1736" s="8" t="str">
        <f>IFERROR(__xludf.DUMMYFUNCTION("""COMPUTED_VALUE"""),"Delaware")</f>
        <v>Delaware</v>
      </c>
      <c r="E1736" s="8" t="str">
        <f>IFERROR(__xludf.DUMMYFUNCTION("""COMPUTED_VALUE"""),"East")</f>
        <v>East</v>
      </c>
      <c r="F1736" s="10">
        <f>IFERROR(__xludf.DUMMYFUNCTION("""COMPUTED_VALUE"""),8.64)</f>
        <v>8.64</v>
      </c>
      <c r="G1736" s="11">
        <f>IFERROR(__xludf.DUMMYFUNCTION("""COMPUTED_VALUE"""),3.0)</f>
        <v>3</v>
      </c>
      <c r="H1736" s="11">
        <f>IFERROR(__xludf.DUMMYFUNCTION("""COMPUTED_VALUE"""),2.5056)</f>
        <v>2.5056</v>
      </c>
    </row>
    <row r="1737">
      <c r="A1737" s="8" t="str">
        <f>IFERROR(__xludf.DUMMYFUNCTION("""COMPUTED_VALUE"""),"US-2014-115987")</f>
        <v>US-2014-115987</v>
      </c>
      <c r="B1737" s="9">
        <f>IFERROR(__xludf.DUMMYFUNCTION("""COMPUTED_VALUE"""),41890.0)</f>
        <v>41890</v>
      </c>
      <c r="C1737" s="8" t="str">
        <f>IFERROR(__xludf.DUMMYFUNCTION("""COMPUTED_VALUE"""),"Consumer")</f>
        <v>Consumer</v>
      </c>
      <c r="D1737" s="8" t="str">
        <f>IFERROR(__xludf.DUMMYFUNCTION("""COMPUTED_VALUE"""),"Texas")</f>
        <v>Texas</v>
      </c>
      <c r="E1737" s="8" t="str">
        <f>IFERROR(__xludf.DUMMYFUNCTION("""COMPUTED_VALUE"""),"Central")</f>
        <v>Central</v>
      </c>
      <c r="F1737" s="10">
        <f>IFERROR(__xludf.DUMMYFUNCTION("""COMPUTED_VALUE"""),51.184)</f>
        <v>51.184</v>
      </c>
      <c r="G1737" s="11">
        <f>IFERROR(__xludf.DUMMYFUNCTION("""COMPUTED_VALUE"""),4.0)</f>
        <v>4</v>
      </c>
      <c r="H1737" s="11">
        <f>IFERROR(__xludf.DUMMYFUNCTION("""COMPUTED_VALUE"""),-79.3352)</f>
        <v>-79.3352</v>
      </c>
    </row>
    <row r="1738">
      <c r="A1738" s="8" t="str">
        <f>IFERROR(__xludf.DUMMYFUNCTION("""COMPUTED_VALUE"""),"US-2014-117058")</f>
        <v>US-2014-117058</v>
      </c>
      <c r="B1738" s="9">
        <f>IFERROR(__xludf.DUMMYFUNCTION("""COMPUTED_VALUE"""),41786.0)</f>
        <v>41786</v>
      </c>
      <c r="C1738" s="8" t="str">
        <f>IFERROR(__xludf.DUMMYFUNCTION("""COMPUTED_VALUE"""),"Consumer")</f>
        <v>Consumer</v>
      </c>
      <c r="D1738" s="8" t="str">
        <f>IFERROR(__xludf.DUMMYFUNCTION("""COMPUTED_VALUE"""),"Illinois")</f>
        <v>Illinois</v>
      </c>
      <c r="E1738" s="8" t="str">
        <f>IFERROR(__xludf.DUMMYFUNCTION("""COMPUTED_VALUE"""),"Central")</f>
        <v>Central</v>
      </c>
      <c r="F1738" s="10">
        <f>IFERROR(__xludf.DUMMYFUNCTION("""COMPUTED_VALUE"""),17.46)</f>
        <v>17.46</v>
      </c>
      <c r="G1738" s="11">
        <f>IFERROR(__xludf.DUMMYFUNCTION("""COMPUTED_VALUE"""),6.0)</f>
        <v>6</v>
      </c>
      <c r="H1738" s="11">
        <f>IFERROR(__xludf.DUMMYFUNCTION("""COMPUTED_VALUE"""),-30.555)</f>
        <v>-30.555</v>
      </c>
    </row>
    <row r="1739">
      <c r="A1739" s="8" t="str">
        <f>IFERROR(__xludf.DUMMYFUNCTION("""COMPUTED_VALUE"""),"US-2014-117135")</f>
        <v>US-2014-117135</v>
      </c>
      <c r="B1739" s="9">
        <f>IFERROR(__xludf.DUMMYFUNCTION("""COMPUTED_VALUE"""),41811.0)</f>
        <v>41811</v>
      </c>
      <c r="C1739" s="8" t="str">
        <f>IFERROR(__xludf.DUMMYFUNCTION("""COMPUTED_VALUE"""),"Consumer")</f>
        <v>Consumer</v>
      </c>
      <c r="D1739" s="8" t="str">
        <f>IFERROR(__xludf.DUMMYFUNCTION("""COMPUTED_VALUE"""),"Virginia")</f>
        <v>Virginia</v>
      </c>
      <c r="E1739" s="8" t="str">
        <f>IFERROR(__xludf.DUMMYFUNCTION("""COMPUTED_VALUE"""),"South")</f>
        <v>South</v>
      </c>
      <c r="F1739" s="10">
        <f>IFERROR(__xludf.DUMMYFUNCTION("""COMPUTED_VALUE"""),104.01)</f>
        <v>104.01</v>
      </c>
      <c r="G1739" s="11">
        <f>IFERROR(__xludf.DUMMYFUNCTION("""COMPUTED_VALUE"""),1.0)</f>
        <v>1</v>
      </c>
      <c r="H1739" s="11">
        <f>IFERROR(__xludf.DUMMYFUNCTION("""COMPUTED_VALUE"""),14.5614)</f>
        <v>14.5614</v>
      </c>
    </row>
    <row r="1740">
      <c r="A1740" s="8" t="str">
        <f>IFERROR(__xludf.DUMMYFUNCTION("""COMPUTED_VALUE"""),"US-2014-117163")</f>
        <v>US-2014-117163</v>
      </c>
      <c r="B1740" s="9">
        <f>IFERROR(__xludf.DUMMYFUNCTION("""COMPUTED_VALUE"""),41666.0)</f>
        <v>41666</v>
      </c>
      <c r="C1740" s="8" t="str">
        <f>IFERROR(__xludf.DUMMYFUNCTION("""COMPUTED_VALUE"""),"Consumer")</f>
        <v>Consumer</v>
      </c>
      <c r="D1740" s="8" t="str">
        <f>IFERROR(__xludf.DUMMYFUNCTION("""COMPUTED_VALUE"""),"California")</f>
        <v>California</v>
      </c>
      <c r="E1740" s="8" t="str">
        <f>IFERROR(__xludf.DUMMYFUNCTION("""COMPUTED_VALUE"""),"West")</f>
        <v>West</v>
      </c>
      <c r="F1740" s="10">
        <f>IFERROR(__xludf.DUMMYFUNCTION("""COMPUTED_VALUE"""),57.23)</f>
        <v>57.23</v>
      </c>
      <c r="G1740" s="11">
        <f>IFERROR(__xludf.DUMMYFUNCTION("""COMPUTED_VALUE"""),1.0)</f>
        <v>1</v>
      </c>
      <c r="H1740" s="11">
        <f>IFERROR(__xludf.DUMMYFUNCTION("""COMPUTED_VALUE"""),14.3075)</f>
        <v>14.3075</v>
      </c>
    </row>
    <row r="1741">
      <c r="A1741" s="8" t="str">
        <f>IFERROR(__xludf.DUMMYFUNCTION("""COMPUTED_VALUE"""),"US-2014-117170")</f>
        <v>US-2014-117170</v>
      </c>
      <c r="B1741" s="9">
        <f>IFERROR(__xludf.DUMMYFUNCTION("""COMPUTED_VALUE"""),41899.0)</f>
        <v>41899</v>
      </c>
      <c r="C1741" s="8" t="str">
        <f>IFERROR(__xludf.DUMMYFUNCTION("""COMPUTED_VALUE"""),"Consumer")</f>
        <v>Consumer</v>
      </c>
      <c r="D1741" s="8" t="str">
        <f>IFERROR(__xludf.DUMMYFUNCTION("""COMPUTED_VALUE"""),"North Carolina")</f>
        <v>North Carolina</v>
      </c>
      <c r="E1741" s="8" t="str">
        <f>IFERROR(__xludf.DUMMYFUNCTION("""COMPUTED_VALUE"""),"South")</f>
        <v>South</v>
      </c>
      <c r="F1741" s="10">
        <f>IFERROR(__xludf.DUMMYFUNCTION("""COMPUTED_VALUE"""),47.984)</f>
        <v>47.984</v>
      </c>
      <c r="G1741" s="11">
        <f>IFERROR(__xludf.DUMMYFUNCTION("""COMPUTED_VALUE"""),2.0)</f>
        <v>2</v>
      </c>
      <c r="H1741" s="11">
        <f>IFERROR(__xludf.DUMMYFUNCTION("""COMPUTED_VALUE"""),13.1956)</f>
        <v>13.1956</v>
      </c>
    </row>
    <row r="1742">
      <c r="A1742" s="8" t="str">
        <f>IFERROR(__xludf.DUMMYFUNCTION("""COMPUTED_VALUE"""),"US-2014-117380")</f>
        <v>US-2014-117380</v>
      </c>
      <c r="B1742" s="9">
        <f>IFERROR(__xludf.DUMMYFUNCTION("""COMPUTED_VALUE"""),41726.0)</f>
        <v>41726</v>
      </c>
      <c r="C1742" s="8" t="str">
        <f>IFERROR(__xludf.DUMMYFUNCTION("""COMPUTED_VALUE"""),"Home Office")</f>
        <v>Home Office</v>
      </c>
      <c r="D1742" s="8" t="str">
        <f>IFERROR(__xludf.DUMMYFUNCTION("""COMPUTED_VALUE"""),"Ohio")</f>
        <v>Ohio</v>
      </c>
      <c r="E1742" s="8" t="str">
        <f>IFERROR(__xludf.DUMMYFUNCTION("""COMPUTED_VALUE"""),"East")</f>
        <v>East</v>
      </c>
      <c r="F1742" s="10">
        <f>IFERROR(__xludf.DUMMYFUNCTION("""COMPUTED_VALUE"""),330.588)</f>
        <v>330.588</v>
      </c>
      <c r="G1742" s="11">
        <f>IFERROR(__xludf.DUMMYFUNCTION("""COMPUTED_VALUE"""),1.0)</f>
        <v>1</v>
      </c>
      <c r="H1742" s="11">
        <f>IFERROR(__xludf.DUMMYFUNCTION("""COMPUTED_VALUE"""),-143.2548)</f>
        <v>-143.2548</v>
      </c>
    </row>
    <row r="1743">
      <c r="A1743" s="8" t="str">
        <f>IFERROR(__xludf.DUMMYFUNCTION("""COMPUTED_VALUE"""),"US-2014-117744")</f>
        <v>US-2014-117744</v>
      </c>
      <c r="B1743" s="9">
        <f>IFERROR(__xludf.DUMMYFUNCTION("""COMPUTED_VALUE"""),41975.0)</f>
        <v>41975</v>
      </c>
      <c r="C1743" s="8" t="str">
        <f>IFERROR(__xludf.DUMMYFUNCTION("""COMPUTED_VALUE"""),"Corporate")</f>
        <v>Corporate</v>
      </c>
      <c r="D1743" s="8" t="str">
        <f>IFERROR(__xludf.DUMMYFUNCTION("""COMPUTED_VALUE"""),"Texas")</f>
        <v>Texas</v>
      </c>
      <c r="E1743" s="8" t="str">
        <f>IFERROR(__xludf.DUMMYFUNCTION("""COMPUTED_VALUE"""),"Central")</f>
        <v>Central</v>
      </c>
      <c r="F1743" s="10">
        <f>IFERROR(__xludf.DUMMYFUNCTION("""COMPUTED_VALUE"""),58.36)</f>
        <v>58.36</v>
      </c>
      <c r="G1743" s="11">
        <f>IFERROR(__xludf.DUMMYFUNCTION("""COMPUTED_VALUE"""),5.0)</f>
        <v>5</v>
      </c>
      <c r="H1743" s="11">
        <f>IFERROR(__xludf.DUMMYFUNCTION("""COMPUTED_VALUE"""),-24.803)</f>
        <v>-24.803</v>
      </c>
    </row>
    <row r="1744">
      <c r="A1744" s="8" t="str">
        <f>IFERROR(__xludf.DUMMYFUNCTION("""COMPUTED_VALUE"""),"US-2014-117968")</f>
        <v>US-2014-117968</v>
      </c>
      <c r="B1744" s="9">
        <f>IFERROR(__xludf.DUMMYFUNCTION("""COMPUTED_VALUE"""),41856.0)</f>
        <v>41856</v>
      </c>
      <c r="C1744" s="8" t="str">
        <f>IFERROR(__xludf.DUMMYFUNCTION("""COMPUTED_VALUE"""),"Corporate")</f>
        <v>Corporate</v>
      </c>
      <c r="D1744" s="8" t="str">
        <f>IFERROR(__xludf.DUMMYFUNCTION("""COMPUTED_VALUE"""),"Connecticut")</f>
        <v>Connecticut</v>
      </c>
      <c r="E1744" s="8" t="str">
        <f>IFERROR(__xludf.DUMMYFUNCTION("""COMPUTED_VALUE"""),"East")</f>
        <v>East</v>
      </c>
      <c r="F1744" s="10">
        <f>IFERROR(__xludf.DUMMYFUNCTION("""COMPUTED_VALUE"""),79.47)</f>
        <v>79.47</v>
      </c>
      <c r="G1744" s="11">
        <f>IFERROR(__xludf.DUMMYFUNCTION("""COMPUTED_VALUE"""),3.0)</f>
        <v>3</v>
      </c>
      <c r="H1744" s="11">
        <f>IFERROR(__xludf.DUMMYFUNCTION("""COMPUTED_VALUE"""),22.2516)</f>
        <v>22.2516</v>
      </c>
    </row>
    <row r="1745">
      <c r="A1745" s="8" t="str">
        <f>IFERROR(__xludf.DUMMYFUNCTION("""COMPUTED_VALUE"""),"US-2014-118486")</f>
        <v>US-2014-118486</v>
      </c>
      <c r="B1745" s="9">
        <f>IFERROR(__xludf.DUMMYFUNCTION("""COMPUTED_VALUE"""),41735.0)</f>
        <v>41735</v>
      </c>
      <c r="C1745" s="8" t="str">
        <f>IFERROR(__xludf.DUMMYFUNCTION("""COMPUTED_VALUE"""),"Home Office")</f>
        <v>Home Office</v>
      </c>
      <c r="D1745" s="8" t="str">
        <f>IFERROR(__xludf.DUMMYFUNCTION("""COMPUTED_VALUE"""),"Pennsylvania")</f>
        <v>Pennsylvania</v>
      </c>
      <c r="E1745" s="8" t="str">
        <f>IFERROR(__xludf.DUMMYFUNCTION("""COMPUTED_VALUE"""),"East")</f>
        <v>East</v>
      </c>
      <c r="F1745" s="10">
        <f>IFERROR(__xludf.DUMMYFUNCTION("""COMPUTED_VALUE"""),10.304)</f>
        <v>10.304</v>
      </c>
      <c r="G1745" s="11">
        <f>IFERROR(__xludf.DUMMYFUNCTION("""COMPUTED_VALUE"""),1.0)</f>
        <v>1</v>
      </c>
      <c r="H1745" s="11">
        <f>IFERROR(__xludf.DUMMYFUNCTION("""COMPUTED_VALUE"""),-2.1896)</f>
        <v>-2.1896</v>
      </c>
    </row>
    <row r="1746">
      <c r="A1746" s="8" t="str">
        <f>IFERROR(__xludf.DUMMYFUNCTION("""COMPUTED_VALUE"""),"US-2014-118997")</f>
        <v>US-2014-118997</v>
      </c>
      <c r="B1746" s="9">
        <f>IFERROR(__xludf.DUMMYFUNCTION("""COMPUTED_VALUE"""),41737.0)</f>
        <v>41737</v>
      </c>
      <c r="C1746" s="8" t="str">
        <f>IFERROR(__xludf.DUMMYFUNCTION("""COMPUTED_VALUE"""),"Corporate")</f>
        <v>Corporate</v>
      </c>
      <c r="D1746" s="8" t="str">
        <f>IFERROR(__xludf.DUMMYFUNCTION("""COMPUTED_VALUE"""),"Alabama")</f>
        <v>Alabama</v>
      </c>
      <c r="E1746" s="8" t="str">
        <f>IFERROR(__xludf.DUMMYFUNCTION("""COMPUTED_VALUE"""),"South")</f>
        <v>South</v>
      </c>
      <c r="F1746" s="10">
        <f>IFERROR(__xludf.DUMMYFUNCTION("""COMPUTED_VALUE"""),1215.92)</f>
        <v>1215.92</v>
      </c>
      <c r="G1746" s="11">
        <f>IFERROR(__xludf.DUMMYFUNCTION("""COMPUTED_VALUE"""),8.0)</f>
        <v>8</v>
      </c>
      <c r="H1746" s="11">
        <f>IFERROR(__xludf.DUMMYFUNCTION("""COMPUTED_VALUE"""),316.1392)</f>
        <v>316.1392</v>
      </c>
    </row>
    <row r="1747">
      <c r="A1747" s="8" t="str">
        <f>IFERROR(__xludf.DUMMYFUNCTION("""COMPUTED_VALUE"""),"US-2014-119081")</f>
        <v>US-2014-119081</v>
      </c>
      <c r="B1747" s="9">
        <f>IFERROR(__xludf.DUMMYFUNCTION("""COMPUTED_VALUE"""),41894.0)</f>
        <v>41894</v>
      </c>
      <c r="C1747" s="8" t="str">
        <f>IFERROR(__xludf.DUMMYFUNCTION("""COMPUTED_VALUE"""),"Home Office")</f>
        <v>Home Office</v>
      </c>
      <c r="D1747" s="8" t="str">
        <f>IFERROR(__xludf.DUMMYFUNCTION("""COMPUTED_VALUE"""),"Kansas")</f>
        <v>Kansas</v>
      </c>
      <c r="E1747" s="8" t="str">
        <f>IFERROR(__xludf.DUMMYFUNCTION("""COMPUTED_VALUE"""),"Central")</f>
        <v>Central</v>
      </c>
      <c r="F1747" s="10">
        <f>IFERROR(__xludf.DUMMYFUNCTION("""COMPUTED_VALUE"""),357.93)</f>
        <v>357.93</v>
      </c>
      <c r="G1747" s="11">
        <f>IFERROR(__xludf.DUMMYFUNCTION("""COMPUTED_VALUE"""),3.0)</f>
        <v>3</v>
      </c>
      <c r="H1747" s="11">
        <f>IFERROR(__xludf.DUMMYFUNCTION("""COMPUTED_VALUE"""),7.1586)</f>
        <v>7.1586</v>
      </c>
    </row>
    <row r="1748">
      <c r="A1748" s="8" t="str">
        <f>IFERROR(__xludf.DUMMYFUNCTION("""COMPUTED_VALUE"""),"US-2014-119137")</f>
        <v>US-2014-119137</v>
      </c>
      <c r="B1748" s="9">
        <f>IFERROR(__xludf.DUMMYFUNCTION("""COMPUTED_VALUE"""),41843.0)</f>
        <v>41843</v>
      </c>
      <c r="C1748" s="8" t="str">
        <f>IFERROR(__xludf.DUMMYFUNCTION("""COMPUTED_VALUE"""),"Consumer")</f>
        <v>Consumer</v>
      </c>
      <c r="D1748" s="8" t="str">
        <f>IFERROR(__xludf.DUMMYFUNCTION("""COMPUTED_VALUE"""),"Arizona")</f>
        <v>Arizona</v>
      </c>
      <c r="E1748" s="8" t="str">
        <f>IFERROR(__xludf.DUMMYFUNCTION("""COMPUTED_VALUE"""),"West")</f>
        <v>West</v>
      </c>
      <c r="F1748" s="10">
        <f>IFERROR(__xludf.DUMMYFUNCTION("""COMPUTED_VALUE"""),8.16)</f>
        <v>8.16</v>
      </c>
      <c r="G1748" s="11">
        <f>IFERROR(__xludf.DUMMYFUNCTION("""COMPUTED_VALUE"""),5.0)</f>
        <v>5</v>
      </c>
      <c r="H1748" s="11">
        <f>IFERROR(__xludf.DUMMYFUNCTION("""COMPUTED_VALUE"""),-5.712)</f>
        <v>-5.712</v>
      </c>
    </row>
    <row r="1749">
      <c r="A1749" s="8" t="str">
        <f>IFERROR(__xludf.DUMMYFUNCTION("""COMPUTED_VALUE"""),"US-2014-120175")</f>
        <v>US-2014-120175</v>
      </c>
      <c r="B1749" s="9">
        <f>IFERROR(__xludf.DUMMYFUNCTION("""COMPUTED_VALUE"""),41971.0)</f>
        <v>41971</v>
      </c>
      <c r="C1749" s="8" t="str">
        <f>IFERROR(__xludf.DUMMYFUNCTION("""COMPUTED_VALUE"""),"Corporate")</f>
        <v>Corporate</v>
      </c>
      <c r="D1749" s="8" t="str">
        <f>IFERROR(__xludf.DUMMYFUNCTION("""COMPUTED_VALUE"""),"Indiana")</f>
        <v>Indiana</v>
      </c>
      <c r="E1749" s="8" t="str">
        <f>IFERROR(__xludf.DUMMYFUNCTION("""COMPUTED_VALUE"""),"Central")</f>
        <v>Central</v>
      </c>
      <c r="F1749" s="10">
        <f>IFERROR(__xludf.DUMMYFUNCTION("""COMPUTED_VALUE"""),64.02)</f>
        <v>64.02</v>
      </c>
      <c r="G1749" s="11">
        <f>IFERROR(__xludf.DUMMYFUNCTION("""COMPUTED_VALUE"""),6.0)</f>
        <v>6</v>
      </c>
      <c r="H1749" s="11">
        <f>IFERROR(__xludf.DUMMYFUNCTION("""COMPUTED_VALUE"""),29.4492)</f>
        <v>29.4492</v>
      </c>
    </row>
    <row r="1750">
      <c r="A1750" s="8" t="str">
        <f>IFERROR(__xludf.DUMMYFUNCTION("""COMPUTED_VALUE"""),"US-2014-120236")</f>
        <v>US-2014-120236</v>
      </c>
      <c r="B1750" s="9">
        <f>IFERROR(__xludf.DUMMYFUNCTION("""COMPUTED_VALUE"""),41885.0)</f>
        <v>41885</v>
      </c>
      <c r="C1750" s="8" t="str">
        <f>IFERROR(__xludf.DUMMYFUNCTION("""COMPUTED_VALUE"""),"Home Office")</f>
        <v>Home Office</v>
      </c>
      <c r="D1750" s="8" t="str">
        <f>IFERROR(__xludf.DUMMYFUNCTION("""COMPUTED_VALUE"""),"Texas")</f>
        <v>Texas</v>
      </c>
      <c r="E1750" s="8" t="str">
        <f>IFERROR(__xludf.DUMMYFUNCTION("""COMPUTED_VALUE"""),"Central")</f>
        <v>Central</v>
      </c>
      <c r="F1750" s="10">
        <f>IFERROR(__xludf.DUMMYFUNCTION("""COMPUTED_VALUE"""),7.68)</f>
        <v>7.68</v>
      </c>
      <c r="G1750" s="11">
        <f>IFERROR(__xludf.DUMMYFUNCTION("""COMPUTED_VALUE"""),5.0)</f>
        <v>5</v>
      </c>
      <c r="H1750" s="11">
        <f>IFERROR(__xludf.DUMMYFUNCTION("""COMPUTED_VALUE"""),-11.52)</f>
        <v>-11.52</v>
      </c>
    </row>
    <row r="1751">
      <c r="A1751" s="8" t="str">
        <f>IFERROR(__xludf.DUMMYFUNCTION("""COMPUTED_VALUE"""),"US-2014-120313")</f>
        <v>US-2014-120313</v>
      </c>
      <c r="B1751" s="9">
        <f>IFERROR(__xludf.DUMMYFUNCTION("""COMPUTED_VALUE"""),41943.0)</f>
        <v>41943</v>
      </c>
      <c r="C1751" s="8" t="str">
        <f>IFERROR(__xludf.DUMMYFUNCTION("""COMPUTED_VALUE"""),"Home Office")</f>
        <v>Home Office</v>
      </c>
      <c r="D1751" s="8" t="str">
        <f>IFERROR(__xludf.DUMMYFUNCTION("""COMPUTED_VALUE"""),"California")</f>
        <v>California</v>
      </c>
      <c r="E1751" s="8" t="str">
        <f>IFERROR(__xludf.DUMMYFUNCTION("""COMPUTED_VALUE"""),"West")</f>
        <v>West</v>
      </c>
      <c r="F1751" s="10">
        <f>IFERROR(__xludf.DUMMYFUNCTION("""COMPUTED_VALUE"""),73.584)</f>
        <v>73.584</v>
      </c>
      <c r="G1751" s="11">
        <f>IFERROR(__xludf.DUMMYFUNCTION("""COMPUTED_VALUE"""),2.0)</f>
        <v>2</v>
      </c>
      <c r="H1751" s="11">
        <f>IFERROR(__xludf.DUMMYFUNCTION("""COMPUTED_VALUE"""),8.2782)</f>
        <v>8.2782</v>
      </c>
    </row>
    <row r="1752">
      <c r="A1752" s="8" t="str">
        <f>IFERROR(__xludf.DUMMYFUNCTION("""COMPUTED_VALUE"""),"US-2014-120740")</f>
        <v>US-2014-120740</v>
      </c>
      <c r="B1752" s="9">
        <f>IFERROR(__xludf.DUMMYFUNCTION("""COMPUTED_VALUE"""),41744.0)</f>
        <v>41744</v>
      </c>
      <c r="C1752" s="8" t="str">
        <f>IFERROR(__xludf.DUMMYFUNCTION("""COMPUTED_VALUE"""),"Home Office")</f>
        <v>Home Office</v>
      </c>
      <c r="D1752" s="8" t="str">
        <f>IFERROR(__xludf.DUMMYFUNCTION("""COMPUTED_VALUE"""),"California")</f>
        <v>California</v>
      </c>
      <c r="E1752" s="8" t="str">
        <f>IFERROR(__xludf.DUMMYFUNCTION("""COMPUTED_VALUE"""),"West")</f>
        <v>West</v>
      </c>
      <c r="F1752" s="10">
        <f>IFERROR(__xludf.DUMMYFUNCTION("""COMPUTED_VALUE"""),106.96)</f>
        <v>106.96</v>
      </c>
      <c r="G1752" s="11">
        <f>IFERROR(__xludf.DUMMYFUNCTION("""COMPUTED_VALUE"""),2.0)</f>
        <v>2</v>
      </c>
      <c r="H1752" s="11">
        <f>IFERROR(__xludf.DUMMYFUNCTION("""COMPUTED_VALUE"""),31.0184)</f>
        <v>31.0184</v>
      </c>
    </row>
    <row r="1753">
      <c r="A1753" s="8" t="str">
        <f>IFERROR(__xludf.DUMMYFUNCTION("""COMPUTED_VALUE"""),"US-2014-121566")</f>
        <v>US-2014-121566</v>
      </c>
      <c r="B1753" s="9">
        <f>IFERROR(__xludf.DUMMYFUNCTION("""COMPUTED_VALUE"""),41820.0)</f>
        <v>41820</v>
      </c>
      <c r="C1753" s="8" t="str">
        <f>IFERROR(__xludf.DUMMYFUNCTION("""COMPUTED_VALUE"""),"Consumer")</f>
        <v>Consumer</v>
      </c>
      <c r="D1753" s="8" t="str">
        <f>IFERROR(__xludf.DUMMYFUNCTION("""COMPUTED_VALUE"""),"New York")</f>
        <v>New York</v>
      </c>
      <c r="E1753" s="8" t="str">
        <f>IFERROR(__xludf.DUMMYFUNCTION("""COMPUTED_VALUE"""),"East")</f>
        <v>East</v>
      </c>
      <c r="F1753" s="10">
        <f>IFERROR(__xludf.DUMMYFUNCTION("""COMPUTED_VALUE"""),2.688)</f>
        <v>2.688</v>
      </c>
      <c r="G1753" s="11">
        <f>IFERROR(__xludf.DUMMYFUNCTION("""COMPUTED_VALUE"""),1.0)</f>
        <v>1</v>
      </c>
      <c r="H1753" s="11">
        <f>IFERROR(__xludf.DUMMYFUNCTION("""COMPUTED_VALUE"""),0.84)</f>
        <v>0.84</v>
      </c>
    </row>
    <row r="1754">
      <c r="A1754" s="8" t="str">
        <f>IFERROR(__xludf.DUMMYFUNCTION("""COMPUTED_VALUE"""),"US-2014-121734")</f>
        <v>US-2014-121734</v>
      </c>
      <c r="B1754" s="9">
        <f>IFERROR(__xludf.DUMMYFUNCTION("""COMPUTED_VALUE"""),41740.0)</f>
        <v>41740</v>
      </c>
      <c r="C1754" s="8" t="str">
        <f>IFERROR(__xludf.DUMMYFUNCTION("""COMPUTED_VALUE"""),"Consumer")</f>
        <v>Consumer</v>
      </c>
      <c r="D1754" s="8" t="str">
        <f>IFERROR(__xludf.DUMMYFUNCTION("""COMPUTED_VALUE"""),"Idaho")</f>
        <v>Idaho</v>
      </c>
      <c r="E1754" s="8" t="str">
        <f>IFERROR(__xludf.DUMMYFUNCTION("""COMPUTED_VALUE"""),"West")</f>
        <v>West</v>
      </c>
      <c r="F1754" s="10">
        <f>IFERROR(__xludf.DUMMYFUNCTION("""COMPUTED_VALUE"""),9.584)</f>
        <v>9.584</v>
      </c>
      <c r="G1754" s="11">
        <f>IFERROR(__xludf.DUMMYFUNCTION("""COMPUTED_VALUE"""),1.0)</f>
        <v>1</v>
      </c>
      <c r="H1754" s="11">
        <f>IFERROR(__xludf.DUMMYFUNCTION("""COMPUTED_VALUE"""),3.3544)</f>
        <v>3.3544</v>
      </c>
    </row>
    <row r="1755">
      <c r="A1755" s="8" t="str">
        <f>IFERROR(__xludf.DUMMYFUNCTION("""COMPUTED_VALUE"""),"US-2014-122021")</f>
        <v>US-2014-122021</v>
      </c>
      <c r="B1755" s="9">
        <f>IFERROR(__xludf.DUMMYFUNCTION("""COMPUTED_VALUE"""),41927.0)</f>
        <v>41927</v>
      </c>
      <c r="C1755" s="8" t="str">
        <f>IFERROR(__xludf.DUMMYFUNCTION("""COMPUTED_VALUE"""),"Consumer")</f>
        <v>Consumer</v>
      </c>
      <c r="D1755" s="8" t="str">
        <f>IFERROR(__xludf.DUMMYFUNCTION("""COMPUTED_VALUE"""),"Ohio")</f>
        <v>Ohio</v>
      </c>
      <c r="E1755" s="8" t="str">
        <f>IFERROR(__xludf.DUMMYFUNCTION("""COMPUTED_VALUE"""),"East")</f>
        <v>East</v>
      </c>
      <c r="F1755" s="10">
        <f>IFERROR(__xludf.DUMMYFUNCTION("""COMPUTED_VALUE"""),183.372)</f>
        <v>183.372</v>
      </c>
      <c r="G1755" s="11">
        <f>IFERROR(__xludf.DUMMYFUNCTION("""COMPUTED_VALUE"""),2.0)</f>
        <v>2</v>
      </c>
      <c r="H1755" s="11">
        <f>IFERROR(__xludf.DUMMYFUNCTION("""COMPUTED_VALUE"""),-7.8588)</f>
        <v>-7.8588</v>
      </c>
    </row>
    <row r="1756">
      <c r="A1756" s="8" t="str">
        <f>IFERROR(__xludf.DUMMYFUNCTION("""COMPUTED_VALUE"""),"US-2014-122959")</f>
        <v>US-2014-122959</v>
      </c>
      <c r="B1756" s="9">
        <f>IFERROR(__xludf.DUMMYFUNCTION("""COMPUTED_VALUE"""),41985.0)</f>
        <v>41985</v>
      </c>
      <c r="C1756" s="8" t="str">
        <f>IFERROR(__xludf.DUMMYFUNCTION("""COMPUTED_VALUE"""),"Corporate")</f>
        <v>Corporate</v>
      </c>
      <c r="D1756" s="8" t="str">
        <f>IFERROR(__xludf.DUMMYFUNCTION("""COMPUTED_VALUE"""),"Texas")</f>
        <v>Texas</v>
      </c>
      <c r="E1756" s="8" t="str">
        <f>IFERROR(__xludf.DUMMYFUNCTION("""COMPUTED_VALUE"""),"Central")</f>
        <v>Central</v>
      </c>
      <c r="F1756" s="10">
        <f>IFERROR(__xludf.DUMMYFUNCTION("""COMPUTED_VALUE"""),210.392)</f>
        <v>210.392</v>
      </c>
      <c r="G1756" s="11">
        <f>IFERROR(__xludf.DUMMYFUNCTION("""COMPUTED_VALUE"""),2.0)</f>
        <v>2</v>
      </c>
      <c r="H1756" s="11">
        <f>IFERROR(__xludf.DUMMYFUNCTION("""COMPUTED_VALUE"""),-336.6272)</f>
        <v>-336.6272</v>
      </c>
    </row>
    <row r="1757">
      <c r="A1757" s="8" t="str">
        <f>IFERROR(__xludf.DUMMYFUNCTION("""COMPUTED_VALUE"""),"US-2014-123183")</f>
        <v>US-2014-123183</v>
      </c>
      <c r="B1757" s="9">
        <f>IFERROR(__xludf.DUMMYFUNCTION("""COMPUTED_VALUE"""),41962.0)</f>
        <v>41962</v>
      </c>
      <c r="C1757" s="8" t="str">
        <f>IFERROR(__xludf.DUMMYFUNCTION("""COMPUTED_VALUE"""),"Corporate")</f>
        <v>Corporate</v>
      </c>
      <c r="D1757" s="8" t="str">
        <f>IFERROR(__xludf.DUMMYFUNCTION("""COMPUTED_VALUE"""),"Delaware")</f>
        <v>Delaware</v>
      </c>
      <c r="E1757" s="8" t="str">
        <f>IFERROR(__xludf.DUMMYFUNCTION("""COMPUTED_VALUE"""),"East")</f>
        <v>East</v>
      </c>
      <c r="F1757" s="10">
        <f>IFERROR(__xludf.DUMMYFUNCTION("""COMPUTED_VALUE"""),22.5)</f>
        <v>22.5</v>
      </c>
      <c r="G1757" s="11">
        <f>IFERROR(__xludf.DUMMYFUNCTION("""COMPUTED_VALUE"""),6.0)</f>
        <v>6</v>
      </c>
      <c r="H1757" s="11">
        <f>IFERROR(__xludf.DUMMYFUNCTION("""COMPUTED_VALUE"""),10.8)</f>
        <v>10.8</v>
      </c>
    </row>
    <row r="1758">
      <c r="A1758" s="8" t="str">
        <f>IFERROR(__xludf.DUMMYFUNCTION("""COMPUTED_VALUE"""),"US-2014-123519")</f>
        <v>US-2014-123519</v>
      </c>
      <c r="B1758" s="9">
        <f>IFERROR(__xludf.DUMMYFUNCTION("""COMPUTED_VALUE"""),41987.0)</f>
        <v>41987</v>
      </c>
      <c r="C1758" s="8" t="str">
        <f>IFERROR(__xludf.DUMMYFUNCTION("""COMPUTED_VALUE"""),"Consumer")</f>
        <v>Consumer</v>
      </c>
      <c r="D1758" s="8" t="str">
        <f>IFERROR(__xludf.DUMMYFUNCTION("""COMPUTED_VALUE"""),"Ohio")</f>
        <v>Ohio</v>
      </c>
      <c r="E1758" s="8" t="str">
        <f>IFERROR(__xludf.DUMMYFUNCTION("""COMPUTED_VALUE"""),"East")</f>
        <v>East</v>
      </c>
      <c r="F1758" s="10">
        <f>IFERROR(__xludf.DUMMYFUNCTION("""COMPUTED_VALUE"""),2.624)</f>
        <v>2.624</v>
      </c>
      <c r="G1758" s="11">
        <f>IFERROR(__xludf.DUMMYFUNCTION("""COMPUTED_VALUE"""),1.0)</f>
        <v>1</v>
      </c>
      <c r="H1758" s="11">
        <f>IFERROR(__xludf.DUMMYFUNCTION("""COMPUTED_VALUE"""),0.2952)</f>
        <v>0.2952</v>
      </c>
    </row>
    <row r="1759">
      <c r="A1759" s="8" t="str">
        <f>IFERROR(__xludf.DUMMYFUNCTION("""COMPUTED_VALUE"""),"US-2014-124625")</f>
        <v>US-2014-124625</v>
      </c>
      <c r="B1759" s="9">
        <f>IFERROR(__xludf.DUMMYFUNCTION("""COMPUTED_VALUE"""),41946.0)</f>
        <v>41946</v>
      </c>
      <c r="C1759" s="8" t="str">
        <f>IFERROR(__xludf.DUMMYFUNCTION("""COMPUTED_VALUE"""),"Corporate")</f>
        <v>Corporate</v>
      </c>
      <c r="D1759" s="8" t="str">
        <f>IFERROR(__xludf.DUMMYFUNCTION("""COMPUTED_VALUE"""),"Nebraska")</f>
        <v>Nebraska</v>
      </c>
      <c r="E1759" s="8" t="str">
        <f>IFERROR(__xludf.DUMMYFUNCTION("""COMPUTED_VALUE"""),"Central")</f>
        <v>Central</v>
      </c>
      <c r="F1759" s="10">
        <f>IFERROR(__xludf.DUMMYFUNCTION("""COMPUTED_VALUE"""),89.97)</f>
        <v>89.97</v>
      </c>
      <c r="G1759" s="11">
        <f>IFERROR(__xludf.DUMMYFUNCTION("""COMPUTED_VALUE"""),3.0)</f>
        <v>3</v>
      </c>
      <c r="H1759" s="11">
        <f>IFERROR(__xludf.DUMMYFUNCTION("""COMPUTED_VALUE"""),18.8937)</f>
        <v>18.8937</v>
      </c>
    </row>
    <row r="1760">
      <c r="A1760" s="8" t="str">
        <f>IFERROR(__xludf.DUMMYFUNCTION("""COMPUTED_VALUE"""),"US-2014-125521")</f>
        <v>US-2014-125521</v>
      </c>
      <c r="B1760" s="9">
        <f>IFERROR(__xludf.DUMMYFUNCTION("""COMPUTED_VALUE"""),41712.0)</f>
        <v>41712</v>
      </c>
      <c r="C1760" s="8" t="str">
        <f>IFERROR(__xludf.DUMMYFUNCTION("""COMPUTED_VALUE"""),"Home Office")</f>
        <v>Home Office</v>
      </c>
      <c r="D1760" s="8" t="str">
        <f>IFERROR(__xludf.DUMMYFUNCTION("""COMPUTED_VALUE"""),"Virginia")</f>
        <v>Virginia</v>
      </c>
      <c r="E1760" s="8" t="str">
        <f>IFERROR(__xludf.DUMMYFUNCTION("""COMPUTED_VALUE"""),"South")</f>
        <v>South</v>
      </c>
      <c r="F1760" s="10">
        <f>IFERROR(__xludf.DUMMYFUNCTION("""COMPUTED_VALUE"""),1139.92)</f>
        <v>1139.92</v>
      </c>
      <c r="G1760" s="11">
        <f>IFERROR(__xludf.DUMMYFUNCTION("""COMPUTED_VALUE"""),4.0)</f>
        <v>4</v>
      </c>
      <c r="H1760" s="11">
        <f>IFERROR(__xludf.DUMMYFUNCTION("""COMPUTED_VALUE"""),284.98)</f>
        <v>284.98</v>
      </c>
    </row>
    <row r="1761">
      <c r="A1761" s="8" t="str">
        <f>IFERROR(__xludf.DUMMYFUNCTION("""COMPUTED_VALUE"""),"US-2014-126340")</f>
        <v>US-2014-126340</v>
      </c>
      <c r="B1761" s="9">
        <f>IFERROR(__xludf.DUMMYFUNCTION("""COMPUTED_VALUE"""),41951.0)</f>
        <v>41951</v>
      </c>
      <c r="C1761" s="8" t="str">
        <f>IFERROR(__xludf.DUMMYFUNCTION("""COMPUTED_VALUE"""),"Consumer")</f>
        <v>Consumer</v>
      </c>
      <c r="D1761" s="8" t="str">
        <f>IFERROR(__xludf.DUMMYFUNCTION("""COMPUTED_VALUE"""),"California")</f>
        <v>California</v>
      </c>
      <c r="E1761" s="8" t="str">
        <f>IFERROR(__xludf.DUMMYFUNCTION("""COMPUTED_VALUE"""),"West")</f>
        <v>West</v>
      </c>
      <c r="F1761" s="10">
        <f>IFERROR(__xludf.DUMMYFUNCTION("""COMPUTED_VALUE"""),333.576)</f>
        <v>333.576</v>
      </c>
      <c r="G1761" s="11">
        <f>IFERROR(__xludf.DUMMYFUNCTION("""COMPUTED_VALUE"""),3.0)</f>
        <v>3</v>
      </c>
      <c r="H1761" s="11">
        <f>IFERROR(__xludf.DUMMYFUNCTION("""COMPUTED_VALUE"""),25.0182)</f>
        <v>25.0182</v>
      </c>
    </row>
    <row r="1762">
      <c r="A1762" s="8" t="str">
        <f>IFERROR(__xludf.DUMMYFUNCTION("""COMPUTED_VALUE"""),"US-2014-126571")</f>
        <v>US-2014-126571</v>
      </c>
      <c r="B1762" s="9">
        <f>IFERROR(__xludf.DUMMYFUNCTION("""COMPUTED_VALUE"""),41923.0)</f>
        <v>41923</v>
      </c>
      <c r="C1762" s="8" t="str">
        <f>IFERROR(__xludf.DUMMYFUNCTION("""COMPUTED_VALUE"""),"Consumer")</f>
        <v>Consumer</v>
      </c>
      <c r="D1762" s="8" t="str">
        <f>IFERROR(__xludf.DUMMYFUNCTION("""COMPUTED_VALUE"""),"Pennsylvania")</f>
        <v>Pennsylvania</v>
      </c>
      <c r="E1762" s="8" t="str">
        <f>IFERROR(__xludf.DUMMYFUNCTION("""COMPUTED_VALUE"""),"East")</f>
        <v>East</v>
      </c>
      <c r="F1762" s="10">
        <f>IFERROR(__xludf.DUMMYFUNCTION("""COMPUTED_VALUE"""),281.904)</f>
        <v>281.904</v>
      </c>
      <c r="G1762" s="11">
        <f>IFERROR(__xludf.DUMMYFUNCTION("""COMPUTED_VALUE"""),2.0)</f>
        <v>2</v>
      </c>
      <c r="H1762" s="11">
        <f>IFERROR(__xludf.DUMMYFUNCTION("""COMPUTED_VALUE"""),10.5714)</f>
        <v>10.5714</v>
      </c>
    </row>
    <row r="1763">
      <c r="A1763" s="8" t="str">
        <f>IFERROR(__xludf.DUMMYFUNCTION("""COMPUTED_VALUE"""),"US-2014-127635")</f>
        <v>US-2014-127635</v>
      </c>
      <c r="B1763" s="9">
        <f>IFERROR(__xludf.DUMMYFUNCTION("""COMPUTED_VALUE"""),41896.0)</f>
        <v>41896</v>
      </c>
      <c r="C1763" s="8" t="str">
        <f>IFERROR(__xludf.DUMMYFUNCTION("""COMPUTED_VALUE"""),"Corporate")</f>
        <v>Corporate</v>
      </c>
      <c r="D1763" s="8" t="str">
        <f>IFERROR(__xludf.DUMMYFUNCTION("""COMPUTED_VALUE"""),"Texas")</f>
        <v>Texas</v>
      </c>
      <c r="E1763" s="8" t="str">
        <f>IFERROR(__xludf.DUMMYFUNCTION("""COMPUTED_VALUE"""),"Central")</f>
        <v>Central</v>
      </c>
      <c r="F1763" s="10">
        <f>IFERROR(__xludf.DUMMYFUNCTION("""COMPUTED_VALUE"""),6.048)</f>
        <v>6.048</v>
      </c>
      <c r="G1763" s="11">
        <f>IFERROR(__xludf.DUMMYFUNCTION("""COMPUTED_VALUE"""),4.0)</f>
        <v>4</v>
      </c>
      <c r="H1763" s="11">
        <f>IFERROR(__xludf.DUMMYFUNCTION("""COMPUTED_VALUE"""),-1.3608)</f>
        <v>-1.3608</v>
      </c>
    </row>
    <row r="1764">
      <c r="A1764" s="8" t="str">
        <f>IFERROR(__xludf.DUMMYFUNCTION("""COMPUTED_VALUE"""),"US-2014-127978")</f>
        <v>US-2014-127978</v>
      </c>
      <c r="B1764" s="9">
        <f>IFERROR(__xludf.DUMMYFUNCTION("""COMPUTED_VALUE"""),41701.0)</f>
        <v>41701</v>
      </c>
      <c r="C1764" s="8" t="str">
        <f>IFERROR(__xludf.DUMMYFUNCTION("""COMPUTED_VALUE"""),"Corporate")</f>
        <v>Corporate</v>
      </c>
      <c r="D1764" s="8" t="str">
        <f>IFERROR(__xludf.DUMMYFUNCTION("""COMPUTED_VALUE"""),"Ohio")</f>
        <v>Ohio</v>
      </c>
      <c r="E1764" s="8" t="str">
        <f>IFERROR(__xludf.DUMMYFUNCTION("""COMPUTED_VALUE"""),"East")</f>
        <v>East</v>
      </c>
      <c r="F1764" s="10">
        <f>IFERROR(__xludf.DUMMYFUNCTION("""COMPUTED_VALUE"""),15.12)</f>
        <v>15.12</v>
      </c>
      <c r="G1764" s="11">
        <f>IFERROR(__xludf.DUMMYFUNCTION("""COMPUTED_VALUE"""),3.0)</f>
        <v>3</v>
      </c>
      <c r="H1764" s="11">
        <f>IFERROR(__xludf.DUMMYFUNCTION("""COMPUTED_VALUE"""),4.914)</f>
        <v>4.914</v>
      </c>
    </row>
    <row r="1765">
      <c r="A1765" s="8" t="str">
        <f>IFERROR(__xludf.DUMMYFUNCTION("""COMPUTED_VALUE"""),"US-2014-128685")</f>
        <v>US-2014-128685</v>
      </c>
      <c r="B1765" s="9">
        <f>IFERROR(__xludf.DUMMYFUNCTION("""COMPUTED_VALUE"""),41733.0)</f>
        <v>41733</v>
      </c>
      <c r="C1765" s="8" t="str">
        <f>IFERROR(__xludf.DUMMYFUNCTION("""COMPUTED_VALUE"""),"Corporate")</f>
        <v>Corporate</v>
      </c>
      <c r="D1765" s="8" t="str">
        <f>IFERROR(__xludf.DUMMYFUNCTION("""COMPUTED_VALUE"""),"California")</f>
        <v>California</v>
      </c>
      <c r="E1765" s="8" t="str">
        <f>IFERROR(__xludf.DUMMYFUNCTION("""COMPUTED_VALUE"""),"West")</f>
        <v>West</v>
      </c>
      <c r="F1765" s="10">
        <f>IFERROR(__xludf.DUMMYFUNCTION("""COMPUTED_VALUE"""),7.184)</f>
        <v>7.184</v>
      </c>
      <c r="G1765" s="11">
        <f>IFERROR(__xludf.DUMMYFUNCTION("""COMPUTED_VALUE"""),2.0)</f>
        <v>2</v>
      </c>
      <c r="H1765" s="11">
        <f>IFERROR(__xludf.DUMMYFUNCTION("""COMPUTED_VALUE"""),2.245)</f>
        <v>2.245</v>
      </c>
    </row>
    <row r="1766">
      <c r="A1766" s="8" t="str">
        <f>IFERROR(__xludf.DUMMYFUNCTION("""COMPUTED_VALUE"""),"US-2014-129609")</f>
        <v>US-2014-129609</v>
      </c>
      <c r="B1766" s="9">
        <f>IFERROR(__xludf.DUMMYFUNCTION("""COMPUTED_VALUE"""),41720.0)</f>
        <v>41720</v>
      </c>
      <c r="C1766" s="8" t="str">
        <f>IFERROR(__xludf.DUMMYFUNCTION("""COMPUTED_VALUE"""),"Consumer")</f>
        <v>Consumer</v>
      </c>
      <c r="D1766" s="8" t="str">
        <f>IFERROR(__xludf.DUMMYFUNCTION("""COMPUTED_VALUE"""),"Indiana")</f>
        <v>Indiana</v>
      </c>
      <c r="E1766" s="8" t="str">
        <f>IFERROR(__xludf.DUMMYFUNCTION("""COMPUTED_VALUE"""),"Central")</f>
        <v>Central</v>
      </c>
      <c r="F1766" s="10">
        <f>IFERROR(__xludf.DUMMYFUNCTION("""COMPUTED_VALUE"""),16.28)</f>
        <v>16.28</v>
      </c>
      <c r="G1766" s="11">
        <f>IFERROR(__xludf.DUMMYFUNCTION("""COMPUTED_VALUE"""),2.0)</f>
        <v>2</v>
      </c>
      <c r="H1766" s="11">
        <f>IFERROR(__xludf.DUMMYFUNCTION("""COMPUTED_VALUE"""),6.512)</f>
        <v>6.512</v>
      </c>
    </row>
    <row r="1767">
      <c r="A1767" s="8" t="str">
        <f>IFERROR(__xludf.DUMMYFUNCTION("""COMPUTED_VALUE"""),"US-2014-130358")</f>
        <v>US-2014-130358</v>
      </c>
      <c r="B1767" s="9">
        <f>IFERROR(__xludf.DUMMYFUNCTION("""COMPUTED_VALUE"""),41813.0)</f>
        <v>41813</v>
      </c>
      <c r="C1767" s="8" t="str">
        <f>IFERROR(__xludf.DUMMYFUNCTION("""COMPUTED_VALUE"""),"Consumer")</f>
        <v>Consumer</v>
      </c>
      <c r="D1767" s="8" t="str">
        <f>IFERROR(__xludf.DUMMYFUNCTION("""COMPUTED_VALUE"""),"North Carolina")</f>
        <v>North Carolina</v>
      </c>
      <c r="E1767" s="8" t="str">
        <f>IFERROR(__xludf.DUMMYFUNCTION("""COMPUTED_VALUE"""),"South")</f>
        <v>South</v>
      </c>
      <c r="F1767" s="10">
        <f>IFERROR(__xludf.DUMMYFUNCTION("""COMPUTED_VALUE"""),20.016)</f>
        <v>20.016</v>
      </c>
      <c r="G1767" s="11">
        <f>IFERROR(__xludf.DUMMYFUNCTION("""COMPUTED_VALUE"""),9.0)</f>
        <v>9</v>
      </c>
      <c r="H1767" s="11">
        <f>IFERROR(__xludf.DUMMYFUNCTION("""COMPUTED_VALUE"""),1.7514)</f>
        <v>1.7514</v>
      </c>
    </row>
    <row r="1768">
      <c r="A1768" s="8" t="str">
        <f>IFERROR(__xludf.DUMMYFUNCTION("""COMPUTED_VALUE"""),"US-2014-130379")</f>
        <v>US-2014-130379</v>
      </c>
      <c r="B1768" s="9">
        <f>IFERROR(__xludf.DUMMYFUNCTION("""COMPUTED_VALUE"""),41784.0)</f>
        <v>41784</v>
      </c>
      <c r="C1768" s="8" t="str">
        <f>IFERROR(__xludf.DUMMYFUNCTION("""COMPUTED_VALUE"""),"Consumer")</f>
        <v>Consumer</v>
      </c>
      <c r="D1768" s="8" t="str">
        <f>IFERROR(__xludf.DUMMYFUNCTION("""COMPUTED_VALUE"""),"Illinois")</f>
        <v>Illinois</v>
      </c>
      <c r="E1768" s="8" t="str">
        <f>IFERROR(__xludf.DUMMYFUNCTION("""COMPUTED_VALUE"""),"Central")</f>
        <v>Central</v>
      </c>
      <c r="F1768" s="10">
        <f>IFERROR(__xludf.DUMMYFUNCTION("""COMPUTED_VALUE"""),75.6)</f>
        <v>75.6</v>
      </c>
      <c r="G1768" s="11">
        <f>IFERROR(__xludf.DUMMYFUNCTION("""COMPUTED_VALUE"""),2.0)</f>
        <v>2</v>
      </c>
      <c r="H1768" s="11">
        <f>IFERROR(__xludf.DUMMYFUNCTION("""COMPUTED_VALUE"""),-166.32)</f>
        <v>-166.32</v>
      </c>
    </row>
    <row r="1769">
      <c r="A1769" s="8" t="str">
        <f>IFERROR(__xludf.DUMMYFUNCTION("""COMPUTED_VALUE"""),"US-2014-131275")</f>
        <v>US-2014-131275</v>
      </c>
      <c r="B1769" s="9">
        <f>IFERROR(__xludf.DUMMYFUNCTION("""COMPUTED_VALUE"""),41716.0)</f>
        <v>41716</v>
      </c>
      <c r="C1769" s="8" t="str">
        <f>IFERROR(__xludf.DUMMYFUNCTION("""COMPUTED_VALUE"""),"Home Office")</f>
        <v>Home Office</v>
      </c>
      <c r="D1769" s="8" t="str">
        <f>IFERROR(__xludf.DUMMYFUNCTION("""COMPUTED_VALUE"""),"California")</f>
        <v>California</v>
      </c>
      <c r="E1769" s="8" t="str">
        <f>IFERROR(__xludf.DUMMYFUNCTION("""COMPUTED_VALUE"""),"West")</f>
        <v>West</v>
      </c>
      <c r="F1769" s="10">
        <f>IFERROR(__xludf.DUMMYFUNCTION("""COMPUTED_VALUE"""),111.0)</f>
        <v>111</v>
      </c>
      <c r="G1769" s="11">
        <f>IFERROR(__xludf.DUMMYFUNCTION("""COMPUTED_VALUE"""),2.0)</f>
        <v>2</v>
      </c>
      <c r="H1769" s="11">
        <f>IFERROR(__xludf.DUMMYFUNCTION("""COMPUTED_VALUE"""),14.43)</f>
        <v>14.43</v>
      </c>
    </row>
    <row r="1770">
      <c r="A1770" s="8" t="str">
        <f>IFERROR(__xludf.DUMMYFUNCTION("""COMPUTED_VALUE"""),"US-2014-131870")</f>
        <v>US-2014-131870</v>
      </c>
      <c r="B1770" s="9">
        <f>IFERROR(__xludf.DUMMYFUNCTION("""COMPUTED_VALUE"""),41891.0)</f>
        <v>41891</v>
      </c>
      <c r="C1770" s="8" t="str">
        <f>IFERROR(__xludf.DUMMYFUNCTION("""COMPUTED_VALUE"""),"Home Office")</f>
        <v>Home Office</v>
      </c>
      <c r="D1770" s="8" t="str">
        <f>IFERROR(__xludf.DUMMYFUNCTION("""COMPUTED_VALUE"""),"Ohio")</f>
        <v>Ohio</v>
      </c>
      <c r="E1770" s="8" t="str">
        <f>IFERROR(__xludf.DUMMYFUNCTION("""COMPUTED_VALUE"""),"East")</f>
        <v>East</v>
      </c>
      <c r="F1770" s="10">
        <f>IFERROR(__xludf.DUMMYFUNCTION("""COMPUTED_VALUE"""),60.672)</f>
        <v>60.672</v>
      </c>
      <c r="G1770" s="11">
        <f>IFERROR(__xludf.DUMMYFUNCTION("""COMPUTED_VALUE"""),6.0)</f>
        <v>6</v>
      </c>
      <c r="H1770" s="11">
        <f>IFERROR(__xludf.DUMMYFUNCTION("""COMPUTED_VALUE"""),12.8928)</f>
        <v>12.8928</v>
      </c>
    </row>
    <row r="1771">
      <c r="A1771" s="8" t="str">
        <f>IFERROR(__xludf.DUMMYFUNCTION("""COMPUTED_VALUE"""),"US-2014-131982")</f>
        <v>US-2014-131982</v>
      </c>
      <c r="B1771" s="9">
        <f>IFERROR(__xludf.DUMMYFUNCTION("""COMPUTED_VALUE"""),41705.0)</f>
        <v>41705</v>
      </c>
      <c r="C1771" s="8" t="str">
        <f>IFERROR(__xludf.DUMMYFUNCTION("""COMPUTED_VALUE"""),"Home Office")</f>
        <v>Home Office</v>
      </c>
      <c r="D1771" s="8" t="str">
        <f>IFERROR(__xludf.DUMMYFUNCTION("""COMPUTED_VALUE"""),"Washington")</f>
        <v>Washington</v>
      </c>
      <c r="E1771" s="8" t="str">
        <f>IFERROR(__xludf.DUMMYFUNCTION("""COMPUTED_VALUE"""),"West")</f>
        <v>West</v>
      </c>
      <c r="F1771" s="10">
        <f>IFERROR(__xludf.DUMMYFUNCTION("""COMPUTED_VALUE"""),107.648)</f>
        <v>107.648</v>
      </c>
      <c r="G1771" s="11">
        <f>IFERROR(__xludf.DUMMYFUNCTION("""COMPUTED_VALUE"""),2.0)</f>
        <v>2</v>
      </c>
      <c r="H1771" s="11">
        <f>IFERROR(__xludf.DUMMYFUNCTION("""COMPUTED_VALUE"""),33.64)</f>
        <v>33.64</v>
      </c>
    </row>
    <row r="1772">
      <c r="A1772" s="8" t="str">
        <f>IFERROR(__xludf.DUMMYFUNCTION("""COMPUTED_VALUE"""),"US-2014-132745")</f>
        <v>US-2014-132745</v>
      </c>
      <c r="B1772" s="9">
        <f>IFERROR(__xludf.DUMMYFUNCTION("""COMPUTED_VALUE"""),41913.0)</f>
        <v>41913</v>
      </c>
      <c r="C1772" s="8" t="str">
        <f>IFERROR(__xludf.DUMMYFUNCTION("""COMPUTED_VALUE"""),"Home Office")</f>
        <v>Home Office</v>
      </c>
      <c r="D1772" s="8" t="str">
        <f>IFERROR(__xludf.DUMMYFUNCTION("""COMPUTED_VALUE"""),"Nevada")</f>
        <v>Nevada</v>
      </c>
      <c r="E1772" s="8" t="str">
        <f>IFERROR(__xludf.DUMMYFUNCTION("""COMPUTED_VALUE"""),"West")</f>
        <v>West</v>
      </c>
      <c r="F1772" s="10">
        <f>IFERROR(__xludf.DUMMYFUNCTION("""COMPUTED_VALUE"""),4.71)</f>
        <v>4.71</v>
      </c>
      <c r="G1772" s="11">
        <f>IFERROR(__xludf.DUMMYFUNCTION("""COMPUTED_VALUE"""),1.0)</f>
        <v>1</v>
      </c>
      <c r="H1772" s="11">
        <f>IFERROR(__xludf.DUMMYFUNCTION("""COMPUTED_VALUE"""),0.0)</f>
        <v>0</v>
      </c>
    </row>
    <row r="1773">
      <c r="A1773" s="8" t="str">
        <f>IFERROR(__xludf.DUMMYFUNCTION("""COMPUTED_VALUE"""),"US-2014-133130")</f>
        <v>US-2014-133130</v>
      </c>
      <c r="B1773" s="9">
        <f>IFERROR(__xludf.DUMMYFUNCTION("""COMPUTED_VALUE"""),41909.0)</f>
        <v>41909</v>
      </c>
      <c r="C1773" s="8" t="str">
        <f>IFERROR(__xludf.DUMMYFUNCTION("""COMPUTED_VALUE"""),"Consumer")</f>
        <v>Consumer</v>
      </c>
      <c r="D1773" s="8" t="str">
        <f>IFERROR(__xludf.DUMMYFUNCTION("""COMPUTED_VALUE"""),"California")</f>
        <v>California</v>
      </c>
      <c r="E1773" s="8" t="str">
        <f>IFERROR(__xludf.DUMMYFUNCTION("""COMPUTED_VALUE"""),"West")</f>
        <v>West</v>
      </c>
      <c r="F1773" s="10">
        <f>IFERROR(__xludf.DUMMYFUNCTION("""COMPUTED_VALUE"""),603.92)</f>
        <v>603.92</v>
      </c>
      <c r="G1773" s="11">
        <f>IFERROR(__xludf.DUMMYFUNCTION("""COMPUTED_VALUE"""),5.0)</f>
        <v>5</v>
      </c>
      <c r="H1773" s="11">
        <f>IFERROR(__xludf.DUMMYFUNCTION("""COMPUTED_VALUE"""),45.294)</f>
        <v>45.294</v>
      </c>
    </row>
    <row r="1774">
      <c r="A1774" s="8" t="str">
        <f>IFERROR(__xludf.DUMMYFUNCTION("""COMPUTED_VALUE"""),"US-2014-133949")</f>
        <v>US-2014-133949</v>
      </c>
      <c r="B1774" s="9">
        <f>IFERROR(__xludf.DUMMYFUNCTION("""COMPUTED_VALUE"""),42004.0)</f>
        <v>42004</v>
      </c>
      <c r="C1774" s="8" t="str">
        <f>IFERROR(__xludf.DUMMYFUNCTION("""COMPUTED_VALUE"""),"Home Office")</f>
        <v>Home Office</v>
      </c>
      <c r="D1774" s="8" t="str">
        <f>IFERROR(__xludf.DUMMYFUNCTION("""COMPUTED_VALUE"""),"Nevada")</f>
        <v>Nevada</v>
      </c>
      <c r="E1774" s="8" t="str">
        <f>IFERROR(__xludf.DUMMYFUNCTION("""COMPUTED_VALUE"""),"West")</f>
        <v>West</v>
      </c>
      <c r="F1774" s="10">
        <f>IFERROR(__xludf.DUMMYFUNCTION("""COMPUTED_VALUE"""),475.944)</f>
        <v>475.944</v>
      </c>
      <c r="G1774" s="11">
        <f>IFERROR(__xludf.DUMMYFUNCTION("""COMPUTED_VALUE"""),7.0)</f>
        <v>7</v>
      </c>
      <c r="H1774" s="11">
        <f>IFERROR(__xludf.DUMMYFUNCTION("""COMPUTED_VALUE"""),59.493)</f>
        <v>59.493</v>
      </c>
    </row>
    <row r="1775">
      <c r="A1775" s="8" t="str">
        <f>IFERROR(__xludf.DUMMYFUNCTION("""COMPUTED_VALUE"""),"US-2014-134054")</f>
        <v>US-2014-134054</v>
      </c>
      <c r="B1775" s="9">
        <f>IFERROR(__xludf.DUMMYFUNCTION("""COMPUTED_VALUE"""),41922.0)</f>
        <v>41922</v>
      </c>
      <c r="C1775" s="8" t="str">
        <f>IFERROR(__xludf.DUMMYFUNCTION("""COMPUTED_VALUE"""),"Corporate")</f>
        <v>Corporate</v>
      </c>
      <c r="D1775" s="8" t="str">
        <f>IFERROR(__xludf.DUMMYFUNCTION("""COMPUTED_VALUE"""),"New Mexico")</f>
        <v>New Mexico</v>
      </c>
      <c r="E1775" s="8" t="str">
        <f>IFERROR(__xludf.DUMMYFUNCTION("""COMPUTED_VALUE"""),"West")</f>
        <v>West</v>
      </c>
      <c r="F1775" s="10">
        <f>IFERROR(__xludf.DUMMYFUNCTION("""COMPUTED_VALUE"""),255.85)</f>
        <v>255.85</v>
      </c>
      <c r="G1775" s="11">
        <f>IFERROR(__xludf.DUMMYFUNCTION("""COMPUTED_VALUE"""),7.0)</f>
        <v>7</v>
      </c>
      <c r="H1775" s="11">
        <f>IFERROR(__xludf.DUMMYFUNCTION("""COMPUTED_VALUE"""),112.574)</f>
        <v>112.574</v>
      </c>
    </row>
    <row r="1776">
      <c r="A1776" s="8" t="str">
        <f>IFERROR(__xludf.DUMMYFUNCTION("""COMPUTED_VALUE"""),"US-2014-134187")</f>
        <v>US-2014-134187</v>
      </c>
      <c r="B1776" s="9">
        <f>IFERROR(__xludf.DUMMYFUNCTION("""COMPUTED_VALUE"""),41947.0)</f>
        <v>41947</v>
      </c>
      <c r="C1776" s="8" t="str">
        <f>IFERROR(__xludf.DUMMYFUNCTION("""COMPUTED_VALUE"""),"Corporate")</f>
        <v>Corporate</v>
      </c>
      <c r="D1776" s="8" t="str">
        <f>IFERROR(__xludf.DUMMYFUNCTION("""COMPUTED_VALUE"""),"California")</f>
        <v>California</v>
      </c>
      <c r="E1776" s="8" t="str">
        <f>IFERROR(__xludf.DUMMYFUNCTION("""COMPUTED_VALUE"""),"West")</f>
        <v>West</v>
      </c>
      <c r="F1776" s="10">
        <f>IFERROR(__xludf.DUMMYFUNCTION("""COMPUTED_VALUE"""),2.94)</f>
        <v>2.94</v>
      </c>
      <c r="G1776" s="11">
        <f>IFERROR(__xludf.DUMMYFUNCTION("""COMPUTED_VALUE"""),1.0)</f>
        <v>1</v>
      </c>
      <c r="H1776" s="11">
        <f>IFERROR(__xludf.DUMMYFUNCTION("""COMPUTED_VALUE"""),0.7938)</f>
        <v>0.7938</v>
      </c>
    </row>
    <row r="1777">
      <c r="A1777" s="8" t="str">
        <f>IFERROR(__xludf.DUMMYFUNCTION("""COMPUTED_VALUE"""),"US-2014-134614")</f>
        <v>US-2014-134614</v>
      </c>
      <c r="B1777" s="9">
        <f>IFERROR(__xludf.DUMMYFUNCTION("""COMPUTED_VALUE"""),41902.0)</f>
        <v>41902</v>
      </c>
      <c r="C1777" s="8" t="str">
        <f>IFERROR(__xludf.DUMMYFUNCTION("""COMPUTED_VALUE"""),"Consumer")</f>
        <v>Consumer</v>
      </c>
      <c r="D1777" s="8" t="str">
        <f>IFERROR(__xludf.DUMMYFUNCTION("""COMPUTED_VALUE"""),"Illinois")</f>
        <v>Illinois</v>
      </c>
      <c r="E1777" s="8" t="str">
        <f>IFERROR(__xludf.DUMMYFUNCTION("""COMPUTED_VALUE"""),"Central")</f>
        <v>Central</v>
      </c>
      <c r="F1777" s="10">
        <f>IFERROR(__xludf.DUMMYFUNCTION("""COMPUTED_VALUE"""),617.7)</f>
        <v>617.7</v>
      </c>
      <c r="G1777" s="11">
        <f>IFERROR(__xludf.DUMMYFUNCTION("""COMPUTED_VALUE"""),6.0)</f>
        <v>6</v>
      </c>
      <c r="H1777" s="11">
        <f>IFERROR(__xludf.DUMMYFUNCTION("""COMPUTED_VALUE"""),-407.682)</f>
        <v>-407.682</v>
      </c>
    </row>
    <row r="1778">
      <c r="A1778" s="8" t="str">
        <f>IFERROR(__xludf.DUMMYFUNCTION("""COMPUTED_VALUE"""),"US-2014-134712")</f>
        <v>US-2014-134712</v>
      </c>
      <c r="B1778" s="9">
        <f>IFERROR(__xludf.DUMMYFUNCTION("""COMPUTED_VALUE"""),41972.0)</f>
        <v>41972</v>
      </c>
      <c r="C1778" s="8" t="str">
        <f>IFERROR(__xludf.DUMMYFUNCTION("""COMPUTED_VALUE"""),"Corporate")</f>
        <v>Corporate</v>
      </c>
      <c r="D1778" s="8" t="str">
        <f>IFERROR(__xludf.DUMMYFUNCTION("""COMPUTED_VALUE"""),"Illinois")</f>
        <v>Illinois</v>
      </c>
      <c r="E1778" s="8" t="str">
        <f>IFERROR(__xludf.DUMMYFUNCTION("""COMPUTED_VALUE"""),"Central")</f>
        <v>Central</v>
      </c>
      <c r="F1778" s="10">
        <f>IFERROR(__xludf.DUMMYFUNCTION("""COMPUTED_VALUE"""),12.624)</f>
        <v>12.624</v>
      </c>
      <c r="G1778" s="11">
        <f>IFERROR(__xludf.DUMMYFUNCTION("""COMPUTED_VALUE"""),2.0)</f>
        <v>2</v>
      </c>
      <c r="H1778" s="11">
        <f>IFERROR(__xludf.DUMMYFUNCTION("""COMPUTED_VALUE"""),3.945)</f>
        <v>3.945</v>
      </c>
    </row>
    <row r="1779">
      <c r="A1779" s="8" t="str">
        <f>IFERROR(__xludf.DUMMYFUNCTION("""COMPUTED_VALUE"""),"US-2014-134733")</f>
        <v>US-2014-134733</v>
      </c>
      <c r="B1779" s="9">
        <f>IFERROR(__xludf.DUMMYFUNCTION("""COMPUTED_VALUE"""),41905.0)</f>
        <v>41905</v>
      </c>
      <c r="C1779" s="8" t="str">
        <f>IFERROR(__xludf.DUMMYFUNCTION("""COMPUTED_VALUE"""),"Corporate")</f>
        <v>Corporate</v>
      </c>
      <c r="D1779" s="8" t="str">
        <f>IFERROR(__xludf.DUMMYFUNCTION("""COMPUTED_VALUE"""),"California")</f>
        <v>California</v>
      </c>
      <c r="E1779" s="8" t="str">
        <f>IFERROR(__xludf.DUMMYFUNCTION("""COMPUTED_VALUE"""),"West")</f>
        <v>West</v>
      </c>
      <c r="F1779" s="10">
        <f>IFERROR(__xludf.DUMMYFUNCTION("""COMPUTED_VALUE"""),435.999)</f>
        <v>435.999</v>
      </c>
      <c r="G1779" s="11">
        <f>IFERROR(__xludf.DUMMYFUNCTION("""COMPUTED_VALUE"""),3.0)</f>
        <v>3</v>
      </c>
      <c r="H1779" s="11">
        <f>IFERROR(__xludf.DUMMYFUNCTION("""COMPUTED_VALUE"""),20.5176)</f>
        <v>20.5176</v>
      </c>
    </row>
    <row r="1780">
      <c r="A1780" s="8" t="str">
        <f>IFERROR(__xludf.DUMMYFUNCTION("""COMPUTED_VALUE"""),"US-2014-134971")</f>
        <v>US-2014-134971</v>
      </c>
      <c r="B1780" s="9">
        <f>IFERROR(__xludf.DUMMYFUNCTION("""COMPUTED_VALUE"""),41797.0)</f>
        <v>41797</v>
      </c>
      <c r="C1780" s="8" t="str">
        <f>IFERROR(__xludf.DUMMYFUNCTION("""COMPUTED_VALUE"""),"Corporate")</f>
        <v>Corporate</v>
      </c>
      <c r="D1780" s="8" t="str">
        <f>IFERROR(__xludf.DUMMYFUNCTION("""COMPUTED_VALUE"""),"Illinois")</f>
        <v>Illinois</v>
      </c>
      <c r="E1780" s="8" t="str">
        <f>IFERROR(__xludf.DUMMYFUNCTION("""COMPUTED_VALUE"""),"Central")</f>
        <v>Central</v>
      </c>
      <c r="F1780" s="10">
        <f>IFERROR(__xludf.DUMMYFUNCTION("""COMPUTED_VALUE"""),12.462)</f>
        <v>12.462</v>
      </c>
      <c r="G1780" s="11">
        <f>IFERROR(__xludf.DUMMYFUNCTION("""COMPUTED_VALUE"""),3.0)</f>
        <v>3</v>
      </c>
      <c r="H1780" s="11">
        <f>IFERROR(__xludf.DUMMYFUNCTION("""COMPUTED_VALUE"""),-20.5623)</f>
        <v>-20.5623</v>
      </c>
    </row>
    <row r="1781">
      <c r="A1781" s="8" t="str">
        <f>IFERROR(__xludf.DUMMYFUNCTION("""COMPUTED_VALUE"""),"US-2014-135881")</f>
        <v>US-2014-135881</v>
      </c>
      <c r="B1781" s="9">
        <f>IFERROR(__xludf.DUMMYFUNCTION("""COMPUTED_VALUE"""),41782.0)</f>
        <v>41782</v>
      </c>
      <c r="C1781" s="8" t="str">
        <f>IFERROR(__xludf.DUMMYFUNCTION("""COMPUTED_VALUE"""),"Consumer")</f>
        <v>Consumer</v>
      </c>
      <c r="D1781" s="8" t="str">
        <f>IFERROR(__xludf.DUMMYFUNCTION("""COMPUTED_VALUE"""),"New York")</f>
        <v>New York</v>
      </c>
      <c r="E1781" s="8" t="str">
        <f>IFERROR(__xludf.DUMMYFUNCTION("""COMPUTED_VALUE"""),"East")</f>
        <v>East</v>
      </c>
      <c r="F1781" s="10">
        <f>IFERROR(__xludf.DUMMYFUNCTION("""COMPUTED_VALUE"""),17.96)</f>
        <v>17.96</v>
      </c>
      <c r="G1781" s="11">
        <f>IFERROR(__xludf.DUMMYFUNCTION("""COMPUTED_VALUE"""),5.0)</f>
        <v>5</v>
      </c>
      <c r="H1781" s="11">
        <f>IFERROR(__xludf.DUMMYFUNCTION("""COMPUTED_VALUE"""),5.837)</f>
        <v>5.837</v>
      </c>
    </row>
    <row r="1782">
      <c r="A1782" s="8" t="str">
        <f>IFERROR(__xludf.DUMMYFUNCTION("""COMPUTED_VALUE"""),"US-2014-135972")</f>
        <v>US-2014-135972</v>
      </c>
      <c r="B1782" s="9">
        <f>IFERROR(__xludf.DUMMYFUNCTION("""COMPUTED_VALUE"""),41903.0)</f>
        <v>41903</v>
      </c>
      <c r="C1782" s="8" t="str">
        <f>IFERROR(__xludf.DUMMYFUNCTION("""COMPUTED_VALUE"""),"Consumer")</f>
        <v>Consumer</v>
      </c>
      <c r="D1782" s="8" t="str">
        <f>IFERROR(__xludf.DUMMYFUNCTION("""COMPUTED_VALUE"""),"Washington")</f>
        <v>Washington</v>
      </c>
      <c r="E1782" s="8" t="str">
        <f>IFERROR(__xludf.DUMMYFUNCTION("""COMPUTED_VALUE"""),"West")</f>
        <v>West</v>
      </c>
      <c r="F1782" s="10">
        <f>IFERROR(__xludf.DUMMYFUNCTION("""COMPUTED_VALUE"""),246.384)</f>
        <v>246.384</v>
      </c>
      <c r="G1782" s="11">
        <f>IFERROR(__xludf.DUMMYFUNCTION("""COMPUTED_VALUE"""),2.0)</f>
        <v>2</v>
      </c>
      <c r="H1782" s="11">
        <f>IFERROR(__xludf.DUMMYFUNCTION("""COMPUTED_VALUE"""),27.7182)</f>
        <v>27.7182</v>
      </c>
    </row>
    <row r="1783">
      <c r="A1783" s="8" t="str">
        <f>IFERROR(__xludf.DUMMYFUNCTION("""COMPUTED_VALUE"""),"US-2014-137155")</f>
        <v>US-2014-137155</v>
      </c>
      <c r="B1783" s="9">
        <f>IFERROR(__xludf.DUMMYFUNCTION("""COMPUTED_VALUE"""),41944.0)</f>
        <v>41944</v>
      </c>
      <c r="C1783" s="8" t="str">
        <f>IFERROR(__xludf.DUMMYFUNCTION("""COMPUTED_VALUE"""),"Consumer")</f>
        <v>Consumer</v>
      </c>
      <c r="D1783" s="8" t="str">
        <f>IFERROR(__xludf.DUMMYFUNCTION("""COMPUTED_VALUE"""),"New York")</f>
        <v>New York</v>
      </c>
      <c r="E1783" s="8" t="str">
        <f>IFERROR(__xludf.DUMMYFUNCTION("""COMPUTED_VALUE"""),"East")</f>
        <v>East</v>
      </c>
      <c r="F1783" s="10">
        <f>IFERROR(__xludf.DUMMYFUNCTION("""COMPUTED_VALUE"""),533.94)</f>
        <v>533.94</v>
      </c>
      <c r="G1783" s="11">
        <f>IFERROR(__xludf.DUMMYFUNCTION("""COMPUTED_VALUE"""),3.0)</f>
        <v>3</v>
      </c>
      <c r="H1783" s="11">
        <f>IFERROR(__xludf.DUMMYFUNCTION("""COMPUTED_VALUE"""),154.8426)</f>
        <v>154.8426</v>
      </c>
    </row>
    <row r="1784">
      <c r="A1784" s="8" t="str">
        <f>IFERROR(__xludf.DUMMYFUNCTION("""COMPUTED_VALUE"""),"US-2014-137680")</f>
        <v>US-2014-137680</v>
      </c>
      <c r="B1784" s="9">
        <f>IFERROR(__xludf.DUMMYFUNCTION("""COMPUTED_VALUE"""),41694.0)</f>
        <v>41694</v>
      </c>
      <c r="C1784" s="8" t="str">
        <f>IFERROR(__xludf.DUMMYFUNCTION("""COMPUTED_VALUE"""),"Consumer")</f>
        <v>Consumer</v>
      </c>
      <c r="D1784" s="8" t="str">
        <f>IFERROR(__xludf.DUMMYFUNCTION("""COMPUTED_VALUE"""),"Oregon")</f>
        <v>Oregon</v>
      </c>
      <c r="E1784" s="8" t="str">
        <f>IFERROR(__xludf.DUMMYFUNCTION("""COMPUTED_VALUE"""),"West")</f>
        <v>West</v>
      </c>
      <c r="F1784" s="10">
        <f>IFERROR(__xludf.DUMMYFUNCTION("""COMPUTED_VALUE"""),32.896)</f>
        <v>32.896</v>
      </c>
      <c r="G1784" s="11">
        <f>IFERROR(__xludf.DUMMYFUNCTION("""COMPUTED_VALUE"""),4.0)</f>
        <v>4</v>
      </c>
      <c r="H1784" s="11">
        <f>IFERROR(__xludf.DUMMYFUNCTION("""COMPUTED_VALUE"""),11.1024)</f>
        <v>11.1024</v>
      </c>
    </row>
    <row r="1785">
      <c r="A1785" s="8" t="str">
        <f>IFERROR(__xludf.DUMMYFUNCTION("""COMPUTED_VALUE"""),"US-2014-137869")</f>
        <v>US-2014-137869</v>
      </c>
      <c r="B1785" s="9">
        <f>IFERROR(__xludf.DUMMYFUNCTION("""COMPUTED_VALUE"""),41726.0)</f>
        <v>41726</v>
      </c>
      <c r="C1785" s="8" t="str">
        <f>IFERROR(__xludf.DUMMYFUNCTION("""COMPUTED_VALUE"""),"Consumer")</f>
        <v>Consumer</v>
      </c>
      <c r="D1785" s="8" t="str">
        <f>IFERROR(__xludf.DUMMYFUNCTION("""COMPUTED_VALUE"""),"Iowa")</f>
        <v>Iowa</v>
      </c>
      <c r="E1785" s="8" t="str">
        <f>IFERROR(__xludf.DUMMYFUNCTION("""COMPUTED_VALUE"""),"Central")</f>
        <v>Central</v>
      </c>
      <c r="F1785" s="10">
        <f>IFERROR(__xludf.DUMMYFUNCTION("""COMPUTED_VALUE"""),6.12)</f>
        <v>6.12</v>
      </c>
      <c r="G1785" s="11">
        <f>IFERROR(__xludf.DUMMYFUNCTION("""COMPUTED_VALUE"""),3.0)</f>
        <v>3</v>
      </c>
      <c r="H1785" s="11">
        <f>IFERROR(__xludf.DUMMYFUNCTION("""COMPUTED_VALUE"""),2.8764)</f>
        <v>2.8764</v>
      </c>
    </row>
    <row r="1786">
      <c r="A1786" s="8" t="str">
        <f>IFERROR(__xludf.DUMMYFUNCTION("""COMPUTED_VALUE"""),"US-2014-138247")</f>
        <v>US-2014-138247</v>
      </c>
      <c r="B1786" s="9">
        <f>IFERROR(__xludf.DUMMYFUNCTION("""COMPUTED_VALUE"""),41997.0)</f>
        <v>41997</v>
      </c>
      <c r="C1786" s="8" t="str">
        <f>IFERROR(__xludf.DUMMYFUNCTION("""COMPUTED_VALUE"""),"Home Office")</f>
        <v>Home Office</v>
      </c>
      <c r="D1786" s="8" t="str">
        <f>IFERROR(__xludf.DUMMYFUNCTION("""COMPUTED_VALUE"""),"California")</f>
        <v>California</v>
      </c>
      <c r="E1786" s="8" t="str">
        <f>IFERROR(__xludf.DUMMYFUNCTION("""COMPUTED_VALUE"""),"West")</f>
        <v>West</v>
      </c>
      <c r="F1786" s="10">
        <f>IFERROR(__xludf.DUMMYFUNCTION("""COMPUTED_VALUE"""),173.656)</f>
        <v>173.656</v>
      </c>
      <c r="G1786" s="11">
        <f>IFERROR(__xludf.DUMMYFUNCTION("""COMPUTED_VALUE"""),7.0)</f>
        <v>7</v>
      </c>
      <c r="H1786" s="11">
        <f>IFERROR(__xludf.DUMMYFUNCTION("""COMPUTED_VALUE"""),17.3656)</f>
        <v>17.3656</v>
      </c>
    </row>
    <row r="1787">
      <c r="A1787" s="8" t="str">
        <f>IFERROR(__xludf.DUMMYFUNCTION("""COMPUTED_VALUE"""),"US-2014-138758")</f>
        <v>US-2014-138758</v>
      </c>
      <c r="B1787" s="9">
        <f>IFERROR(__xludf.DUMMYFUNCTION("""COMPUTED_VALUE"""),41827.0)</f>
        <v>41827</v>
      </c>
      <c r="C1787" s="8" t="str">
        <f>IFERROR(__xludf.DUMMYFUNCTION("""COMPUTED_VALUE"""),"Consumer")</f>
        <v>Consumer</v>
      </c>
      <c r="D1787" s="8" t="str">
        <f>IFERROR(__xludf.DUMMYFUNCTION("""COMPUTED_VALUE"""),"Pennsylvania")</f>
        <v>Pennsylvania</v>
      </c>
      <c r="E1787" s="8" t="str">
        <f>IFERROR(__xludf.DUMMYFUNCTION("""COMPUTED_VALUE"""),"East")</f>
        <v>East</v>
      </c>
      <c r="F1787" s="10">
        <f>IFERROR(__xludf.DUMMYFUNCTION("""COMPUTED_VALUE"""),172.186)</f>
        <v>172.186</v>
      </c>
      <c r="G1787" s="11">
        <f>IFERROR(__xludf.DUMMYFUNCTION("""COMPUTED_VALUE"""),2.0)</f>
        <v>2</v>
      </c>
      <c r="H1787" s="11">
        <f>IFERROR(__xludf.DUMMYFUNCTION("""COMPUTED_VALUE"""),-46.7362)</f>
        <v>-46.7362</v>
      </c>
    </row>
    <row r="1788">
      <c r="A1788" s="8" t="str">
        <f>IFERROR(__xludf.DUMMYFUNCTION("""COMPUTED_VALUE"""),"US-2014-138828")</f>
        <v>US-2014-138828</v>
      </c>
      <c r="B1788" s="9">
        <f>IFERROR(__xludf.DUMMYFUNCTION("""COMPUTED_VALUE"""),41884.0)</f>
        <v>41884</v>
      </c>
      <c r="C1788" s="8" t="str">
        <f>IFERROR(__xludf.DUMMYFUNCTION("""COMPUTED_VALUE"""),"Consumer")</f>
        <v>Consumer</v>
      </c>
      <c r="D1788" s="8" t="str">
        <f>IFERROR(__xludf.DUMMYFUNCTION("""COMPUTED_VALUE"""),"New York")</f>
        <v>New York</v>
      </c>
      <c r="E1788" s="8" t="str">
        <f>IFERROR(__xludf.DUMMYFUNCTION("""COMPUTED_VALUE"""),"East")</f>
        <v>East</v>
      </c>
      <c r="F1788" s="10">
        <f>IFERROR(__xludf.DUMMYFUNCTION("""COMPUTED_VALUE"""),57.75)</f>
        <v>57.75</v>
      </c>
      <c r="G1788" s="11">
        <f>IFERROR(__xludf.DUMMYFUNCTION("""COMPUTED_VALUE"""),5.0)</f>
        <v>5</v>
      </c>
      <c r="H1788" s="11">
        <f>IFERROR(__xludf.DUMMYFUNCTION("""COMPUTED_VALUE"""),16.17)</f>
        <v>16.17</v>
      </c>
    </row>
    <row r="1789">
      <c r="A1789" s="8" t="str">
        <f>IFERROR(__xludf.DUMMYFUNCTION("""COMPUTED_VALUE"""),"US-2014-138835")</f>
        <v>US-2014-138835</v>
      </c>
      <c r="B1789" s="9">
        <f>IFERROR(__xludf.DUMMYFUNCTION("""COMPUTED_VALUE"""),41892.0)</f>
        <v>41892</v>
      </c>
      <c r="C1789" s="8" t="str">
        <f>IFERROR(__xludf.DUMMYFUNCTION("""COMPUTED_VALUE"""),"Home Office")</f>
        <v>Home Office</v>
      </c>
      <c r="D1789" s="8" t="str">
        <f>IFERROR(__xludf.DUMMYFUNCTION("""COMPUTED_VALUE"""),"Virginia")</f>
        <v>Virginia</v>
      </c>
      <c r="E1789" s="8" t="str">
        <f>IFERROR(__xludf.DUMMYFUNCTION("""COMPUTED_VALUE"""),"South")</f>
        <v>South</v>
      </c>
      <c r="F1789" s="10">
        <f>IFERROR(__xludf.DUMMYFUNCTION("""COMPUTED_VALUE"""),9.64)</f>
        <v>9.64</v>
      </c>
      <c r="G1789" s="11">
        <f>IFERROR(__xludf.DUMMYFUNCTION("""COMPUTED_VALUE"""),2.0)</f>
        <v>2</v>
      </c>
      <c r="H1789" s="11">
        <f>IFERROR(__xludf.DUMMYFUNCTION("""COMPUTED_VALUE"""),4.7236)</f>
        <v>4.7236</v>
      </c>
    </row>
    <row r="1790">
      <c r="A1790" s="8" t="str">
        <f>IFERROR(__xludf.DUMMYFUNCTION("""COMPUTED_VALUE"""),"US-2014-139500")</f>
        <v>US-2014-139500</v>
      </c>
      <c r="B1790" s="9">
        <f>IFERROR(__xludf.DUMMYFUNCTION("""COMPUTED_VALUE"""),41959.0)</f>
        <v>41959</v>
      </c>
      <c r="C1790" s="8" t="str">
        <f>IFERROR(__xludf.DUMMYFUNCTION("""COMPUTED_VALUE"""),"Consumer")</f>
        <v>Consumer</v>
      </c>
      <c r="D1790" s="8" t="str">
        <f>IFERROR(__xludf.DUMMYFUNCTION("""COMPUTED_VALUE"""),"Illinois")</f>
        <v>Illinois</v>
      </c>
      <c r="E1790" s="8" t="str">
        <f>IFERROR(__xludf.DUMMYFUNCTION("""COMPUTED_VALUE"""),"Central")</f>
        <v>Central</v>
      </c>
      <c r="F1790" s="10">
        <f>IFERROR(__xludf.DUMMYFUNCTION("""COMPUTED_VALUE"""),37.296)</f>
        <v>37.296</v>
      </c>
      <c r="G1790" s="11">
        <f>IFERROR(__xludf.DUMMYFUNCTION("""COMPUTED_VALUE"""),2.0)</f>
        <v>2</v>
      </c>
      <c r="H1790" s="11">
        <f>IFERROR(__xludf.DUMMYFUNCTION("""COMPUTED_VALUE"""),-1.0656)</f>
        <v>-1.0656</v>
      </c>
    </row>
    <row r="1791">
      <c r="A1791" s="8" t="str">
        <f>IFERROR(__xludf.DUMMYFUNCTION("""COMPUTED_VALUE"""),"US-2014-139640")</f>
        <v>US-2014-139640</v>
      </c>
      <c r="B1791" s="9">
        <f>IFERROR(__xludf.DUMMYFUNCTION("""COMPUTED_VALUE"""),41950.0)</f>
        <v>41950</v>
      </c>
      <c r="C1791" s="8" t="str">
        <f>IFERROR(__xludf.DUMMYFUNCTION("""COMPUTED_VALUE"""),"Consumer")</f>
        <v>Consumer</v>
      </c>
      <c r="D1791" s="8" t="str">
        <f>IFERROR(__xludf.DUMMYFUNCTION("""COMPUTED_VALUE"""),"Oregon")</f>
        <v>Oregon</v>
      </c>
      <c r="E1791" s="8" t="str">
        <f>IFERROR(__xludf.DUMMYFUNCTION("""COMPUTED_VALUE"""),"West")</f>
        <v>West</v>
      </c>
      <c r="F1791" s="10">
        <f>IFERROR(__xludf.DUMMYFUNCTION("""COMPUTED_VALUE"""),25.92)</f>
        <v>25.92</v>
      </c>
      <c r="G1791" s="11">
        <f>IFERROR(__xludf.DUMMYFUNCTION("""COMPUTED_VALUE"""),5.0)</f>
        <v>5</v>
      </c>
      <c r="H1791" s="11">
        <f>IFERROR(__xludf.DUMMYFUNCTION("""COMPUTED_VALUE"""),9.072)</f>
        <v>9.072</v>
      </c>
    </row>
    <row r="1792">
      <c r="A1792" s="8" t="str">
        <f>IFERROR(__xludf.DUMMYFUNCTION("""COMPUTED_VALUE"""),"US-2014-140116")</f>
        <v>US-2014-140116</v>
      </c>
      <c r="B1792" s="9">
        <f>IFERROR(__xludf.DUMMYFUNCTION("""COMPUTED_VALUE"""),41708.0)</f>
        <v>41708</v>
      </c>
      <c r="C1792" s="8" t="str">
        <f>IFERROR(__xludf.DUMMYFUNCTION("""COMPUTED_VALUE"""),"Consumer")</f>
        <v>Consumer</v>
      </c>
      <c r="D1792" s="8" t="str">
        <f>IFERROR(__xludf.DUMMYFUNCTION("""COMPUTED_VALUE"""),"Colorado")</f>
        <v>Colorado</v>
      </c>
      <c r="E1792" s="8" t="str">
        <f>IFERROR(__xludf.DUMMYFUNCTION("""COMPUTED_VALUE"""),"West")</f>
        <v>West</v>
      </c>
      <c r="F1792" s="10">
        <f>IFERROR(__xludf.DUMMYFUNCTION("""COMPUTED_VALUE"""),636.408)</f>
        <v>636.408</v>
      </c>
      <c r="G1792" s="11">
        <f>IFERROR(__xludf.DUMMYFUNCTION("""COMPUTED_VALUE"""),3.0)</f>
        <v>3</v>
      </c>
      <c r="H1792" s="11">
        <f>IFERROR(__xludf.DUMMYFUNCTION("""COMPUTED_VALUE"""),-15.9102)</f>
        <v>-15.9102</v>
      </c>
    </row>
    <row r="1793">
      <c r="A1793" s="8" t="str">
        <f>IFERROR(__xludf.DUMMYFUNCTION("""COMPUTED_VALUE"""),"US-2014-140452")</f>
        <v>US-2014-140452</v>
      </c>
      <c r="B1793" s="9">
        <f>IFERROR(__xludf.DUMMYFUNCTION("""COMPUTED_VALUE"""),41979.0)</f>
        <v>41979</v>
      </c>
      <c r="C1793" s="8" t="str">
        <f>IFERROR(__xludf.DUMMYFUNCTION("""COMPUTED_VALUE"""),"Consumer")</f>
        <v>Consumer</v>
      </c>
      <c r="D1793" s="8" t="str">
        <f>IFERROR(__xludf.DUMMYFUNCTION("""COMPUTED_VALUE"""),"Illinois")</f>
        <v>Illinois</v>
      </c>
      <c r="E1793" s="8" t="str">
        <f>IFERROR(__xludf.DUMMYFUNCTION("""COMPUTED_VALUE"""),"Central")</f>
        <v>Central</v>
      </c>
      <c r="F1793" s="10">
        <f>IFERROR(__xludf.DUMMYFUNCTION("""COMPUTED_VALUE"""),14.016)</f>
        <v>14.016</v>
      </c>
      <c r="G1793" s="11">
        <f>IFERROR(__xludf.DUMMYFUNCTION("""COMPUTED_VALUE"""),4.0)</f>
        <v>4</v>
      </c>
      <c r="H1793" s="11">
        <f>IFERROR(__xludf.DUMMYFUNCTION("""COMPUTED_VALUE"""),-31.536)</f>
        <v>-31.536</v>
      </c>
    </row>
    <row r="1794">
      <c r="A1794" s="8" t="str">
        <f>IFERROR(__xludf.DUMMYFUNCTION("""COMPUTED_VALUE"""),"US-2014-140914")</f>
        <v>US-2014-140914</v>
      </c>
      <c r="B1794" s="9">
        <f>IFERROR(__xludf.DUMMYFUNCTION("""COMPUTED_VALUE"""),41954.0)</f>
        <v>41954</v>
      </c>
      <c r="C1794" s="8" t="str">
        <f>IFERROR(__xludf.DUMMYFUNCTION("""COMPUTED_VALUE"""),"Consumer")</f>
        <v>Consumer</v>
      </c>
      <c r="D1794" s="8" t="str">
        <f>IFERROR(__xludf.DUMMYFUNCTION("""COMPUTED_VALUE"""),"Illinois")</f>
        <v>Illinois</v>
      </c>
      <c r="E1794" s="8" t="str">
        <f>IFERROR(__xludf.DUMMYFUNCTION("""COMPUTED_VALUE"""),"Central")</f>
        <v>Central</v>
      </c>
      <c r="F1794" s="10">
        <f>IFERROR(__xludf.DUMMYFUNCTION("""COMPUTED_VALUE"""),10.984)</f>
        <v>10.984</v>
      </c>
      <c r="G1794" s="11">
        <f>IFERROR(__xludf.DUMMYFUNCTION("""COMPUTED_VALUE"""),2.0)</f>
        <v>2</v>
      </c>
      <c r="H1794" s="11">
        <f>IFERROR(__xludf.DUMMYFUNCTION("""COMPUTED_VALUE"""),-7.9634)</f>
        <v>-7.9634</v>
      </c>
    </row>
    <row r="1795">
      <c r="A1795" s="8" t="str">
        <f>IFERROR(__xludf.DUMMYFUNCTION("""COMPUTED_VALUE"""),"US-2014-141215")</f>
        <v>US-2014-141215</v>
      </c>
      <c r="B1795" s="9">
        <f>IFERROR(__xludf.DUMMYFUNCTION("""COMPUTED_VALUE"""),41805.0)</f>
        <v>41805</v>
      </c>
      <c r="C1795" s="8" t="str">
        <f>IFERROR(__xludf.DUMMYFUNCTION("""COMPUTED_VALUE"""),"Corporate")</f>
        <v>Corporate</v>
      </c>
      <c r="D1795" s="8" t="str">
        <f>IFERROR(__xludf.DUMMYFUNCTION("""COMPUTED_VALUE"""),"Texas")</f>
        <v>Texas</v>
      </c>
      <c r="E1795" s="8" t="str">
        <f>IFERROR(__xludf.DUMMYFUNCTION("""COMPUTED_VALUE"""),"Central")</f>
        <v>Central</v>
      </c>
      <c r="F1795" s="10">
        <f>IFERROR(__xludf.DUMMYFUNCTION("""COMPUTED_VALUE"""),99.918)</f>
        <v>99.918</v>
      </c>
      <c r="G1795" s="11">
        <f>IFERROR(__xludf.DUMMYFUNCTION("""COMPUTED_VALUE"""),2.0)</f>
        <v>2</v>
      </c>
      <c r="H1795" s="11">
        <f>IFERROR(__xludf.DUMMYFUNCTION("""COMPUTED_VALUE"""),-18.5562)</f>
        <v>-18.5562</v>
      </c>
    </row>
    <row r="1796">
      <c r="A1796" s="8" t="str">
        <f>IFERROR(__xludf.DUMMYFUNCTION("""COMPUTED_VALUE"""),"US-2014-141257")</f>
        <v>US-2014-141257</v>
      </c>
      <c r="B1796" s="9">
        <f>IFERROR(__xludf.DUMMYFUNCTION("""COMPUTED_VALUE"""),41798.0)</f>
        <v>41798</v>
      </c>
      <c r="C1796" s="8" t="str">
        <f>IFERROR(__xludf.DUMMYFUNCTION("""COMPUTED_VALUE"""),"Consumer")</f>
        <v>Consumer</v>
      </c>
      <c r="D1796" s="8" t="str">
        <f>IFERROR(__xludf.DUMMYFUNCTION("""COMPUTED_VALUE"""),"Washington")</f>
        <v>Washington</v>
      </c>
      <c r="E1796" s="8" t="str">
        <f>IFERROR(__xludf.DUMMYFUNCTION("""COMPUTED_VALUE"""),"West")</f>
        <v>West</v>
      </c>
      <c r="F1796" s="10">
        <f>IFERROR(__xludf.DUMMYFUNCTION("""COMPUTED_VALUE"""),585.552)</f>
        <v>585.552</v>
      </c>
      <c r="G1796" s="11">
        <f>IFERROR(__xludf.DUMMYFUNCTION("""COMPUTED_VALUE"""),3.0)</f>
        <v>3</v>
      </c>
      <c r="H1796" s="11">
        <f>IFERROR(__xludf.DUMMYFUNCTION("""COMPUTED_VALUE"""),73.194)</f>
        <v>73.194</v>
      </c>
    </row>
    <row r="1797">
      <c r="A1797" s="8" t="str">
        <f>IFERROR(__xludf.DUMMYFUNCTION("""COMPUTED_VALUE"""),"US-2014-143231")</f>
        <v>US-2014-143231</v>
      </c>
      <c r="B1797" s="9">
        <f>IFERROR(__xludf.DUMMYFUNCTION("""COMPUTED_VALUE"""),42004.0)</f>
        <v>42004</v>
      </c>
      <c r="C1797" s="8" t="str">
        <f>IFERROR(__xludf.DUMMYFUNCTION("""COMPUTED_VALUE"""),"Home Office")</f>
        <v>Home Office</v>
      </c>
      <c r="D1797" s="8" t="str">
        <f>IFERROR(__xludf.DUMMYFUNCTION("""COMPUTED_VALUE"""),"Massachusetts")</f>
        <v>Massachusetts</v>
      </c>
      <c r="E1797" s="8" t="str">
        <f>IFERROR(__xludf.DUMMYFUNCTION("""COMPUTED_VALUE"""),"East")</f>
        <v>East</v>
      </c>
      <c r="F1797" s="10">
        <f>IFERROR(__xludf.DUMMYFUNCTION("""COMPUTED_VALUE"""),63.2)</f>
        <v>63.2</v>
      </c>
      <c r="G1797" s="11">
        <f>IFERROR(__xludf.DUMMYFUNCTION("""COMPUTED_VALUE"""),5.0)</f>
        <v>5</v>
      </c>
      <c r="H1797" s="11">
        <f>IFERROR(__xludf.DUMMYFUNCTION("""COMPUTED_VALUE"""),23.384)</f>
        <v>23.384</v>
      </c>
    </row>
    <row r="1798">
      <c r="A1798" s="8" t="str">
        <f>IFERROR(__xludf.DUMMYFUNCTION("""COMPUTED_VALUE"""),"US-2014-143287")</f>
        <v>US-2014-143287</v>
      </c>
      <c r="B1798" s="9">
        <f>IFERROR(__xludf.DUMMYFUNCTION("""COMPUTED_VALUE"""),41954.0)</f>
        <v>41954</v>
      </c>
      <c r="C1798" s="8" t="str">
        <f>IFERROR(__xludf.DUMMYFUNCTION("""COMPUTED_VALUE"""),"Home Office")</f>
        <v>Home Office</v>
      </c>
      <c r="D1798" s="8" t="str">
        <f>IFERROR(__xludf.DUMMYFUNCTION("""COMPUTED_VALUE"""),"New York")</f>
        <v>New York</v>
      </c>
      <c r="E1798" s="8" t="str">
        <f>IFERROR(__xludf.DUMMYFUNCTION("""COMPUTED_VALUE"""),"East")</f>
        <v>East</v>
      </c>
      <c r="F1798" s="10">
        <f>IFERROR(__xludf.DUMMYFUNCTION("""COMPUTED_VALUE"""),46.35)</f>
        <v>46.35</v>
      </c>
      <c r="G1798" s="11">
        <f>IFERROR(__xludf.DUMMYFUNCTION("""COMPUTED_VALUE"""),5.0)</f>
        <v>5</v>
      </c>
      <c r="H1798" s="11">
        <f>IFERROR(__xludf.DUMMYFUNCTION("""COMPUTED_VALUE"""),21.7845)</f>
        <v>21.7845</v>
      </c>
    </row>
    <row r="1799">
      <c r="A1799" s="8" t="str">
        <f>IFERROR(__xludf.DUMMYFUNCTION("""COMPUTED_VALUE"""),"US-2014-143581")</f>
        <v>US-2014-143581</v>
      </c>
      <c r="B1799" s="9">
        <f>IFERROR(__xludf.DUMMYFUNCTION("""COMPUTED_VALUE"""),41870.0)</f>
        <v>41870</v>
      </c>
      <c r="C1799" s="8" t="str">
        <f>IFERROR(__xludf.DUMMYFUNCTION("""COMPUTED_VALUE"""),"Corporate")</f>
        <v>Corporate</v>
      </c>
      <c r="D1799" s="8" t="str">
        <f>IFERROR(__xludf.DUMMYFUNCTION("""COMPUTED_VALUE"""),"Georgia")</f>
        <v>Georgia</v>
      </c>
      <c r="E1799" s="8" t="str">
        <f>IFERROR(__xludf.DUMMYFUNCTION("""COMPUTED_VALUE"""),"South")</f>
        <v>South</v>
      </c>
      <c r="F1799" s="10">
        <f>IFERROR(__xludf.DUMMYFUNCTION("""COMPUTED_VALUE"""),344.91)</f>
        <v>344.91</v>
      </c>
      <c r="G1799" s="11">
        <f>IFERROR(__xludf.DUMMYFUNCTION("""COMPUTED_VALUE"""),3.0)</f>
        <v>3</v>
      </c>
      <c r="H1799" s="11">
        <f>IFERROR(__xludf.DUMMYFUNCTION("""COMPUTED_VALUE"""),10.3473)</f>
        <v>10.3473</v>
      </c>
    </row>
    <row r="1800">
      <c r="A1800" s="8" t="str">
        <f>IFERROR(__xludf.DUMMYFUNCTION("""COMPUTED_VALUE"""),"US-2014-143707")</f>
        <v>US-2014-143707</v>
      </c>
      <c r="B1800" s="9">
        <f>IFERROR(__xludf.DUMMYFUNCTION("""COMPUTED_VALUE"""),41699.0)</f>
        <v>41699</v>
      </c>
      <c r="C1800" s="8" t="str">
        <f>IFERROR(__xludf.DUMMYFUNCTION("""COMPUTED_VALUE"""),"Home Office")</f>
        <v>Home Office</v>
      </c>
      <c r="D1800" s="8" t="str">
        <f>IFERROR(__xludf.DUMMYFUNCTION("""COMPUTED_VALUE"""),"New York")</f>
        <v>New York</v>
      </c>
      <c r="E1800" s="8" t="str">
        <f>IFERROR(__xludf.DUMMYFUNCTION("""COMPUTED_VALUE"""),"East")</f>
        <v>East</v>
      </c>
      <c r="F1800" s="10">
        <f>IFERROR(__xludf.DUMMYFUNCTION("""COMPUTED_VALUE"""),5.94)</f>
        <v>5.94</v>
      </c>
      <c r="G1800" s="11">
        <f>IFERROR(__xludf.DUMMYFUNCTION("""COMPUTED_VALUE"""),3.0)</f>
        <v>3</v>
      </c>
      <c r="H1800" s="11">
        <f>IFERROR(__xludf.DUMMYFUNCTION("""COMPUTED_VALUE"""),1.6038)</f>
        <v>1.6038</v>
      </c>
    </row>
    <row r="1801">
      <c r="A1801" s="8" t="str">
        <f>IFERROR(__xludf.DUMMYFUNCTION("""COMPUTED_VALUE"""),"US-2014-143721")</f>
        <v>US-2014-143721</v>
      </c>
      <c r="B1801" s="9">
        <f>IFERROR(__xludf.DUMMYFUNCTION("""COMPUTED_VALUE"""),41966.0)</f>
        <v>41966</v>
      </c>
      <c r="C1801" s="8" t="str">
        <f>IFERROR(__xludf.DUMMYFUNCTION("""COMPUTED_VALUE"""),"Corporate")</f>
        <v>Corporate</v>
      </c>
      <c r="D1801" s="8" t="str">
        <f>IFERROR(__xludf.DUMMYFUNCTION("""COMPUTED_VALUE"""),"Texas")</f>
        <v>Texas</v>
      </c>
      <c r="E1801" s="8" t="str">
        <f>IFERROR(__xludf.DUMMYFUNCTION("""COMPUTED_VALUE"""),"Central")</f>
        <v>Central</v>
      </c>
      <c r="F1801" s="10">
        <f>IFERROR(__xludf.DUMMYFUNCTION("""COMPUTED_VALUE"""),155.372)</f>
        <v>155.372</v>
      </c>
      <c r="G1801" s="11">
        <f>IFERROR(__xludf.DUMMYFUNCTION("""COMPUTED_VALUE"""),2.0)</f>
        <v>2</v>
      </c>
      <c r="H1801" s="11">
        <f>IFERROR(__xludf.DUMMYFUNCTION("""COMPUTED_VALUE"""),-35.5136)</f>
        <v>-35.5136</v>
      </c>
    </row>
    <row r="1802">
      <c r="A1802" s="8" t="str">
        <f>IFERROR(__xludf.DUMMYFUNCTION("""COMPUTED_VALUE"""),"US-2014-144078")</f>
        <v>US-2014-144078</v>
      </c>
      <c r="B1802" s="9">
        <f>IFERROR(__xludf.DUMMYFUNCTION("""COMPUTED_VALUE"""),41968.0)</f>
        <v>41968</v>
      </c>
      <c r="C1802" s="8" t="str">
        <f>IFERROR(__xludf.DUMMYFUNCTION("""COMPUTED_VALUE"""),"Consumer")</f>
        <v>Consumer</v>
      </c>
      <c r="D1802" s="8" t="str">
        <f>IFERROR(__xludf.DUMMYFUNCTION("""COMPUTED_VALUE"""),"California")</f>
        <v>California</v>
      </c>
      <c r="E1802" s="8" t="str">
        <f>IFERROR(__xludf.DUMMYFUNCTION("""COMPUTED_VALUE"""),"West")</f>
        <v>West</v>
      </c>
      <c r="F1802" s="10">
        <f>IFERROR(__xludf.DUMMYFUNCTION("""COMPUTED_VALUE"""),539.92)</f>
        <v>539.92</v>
      </c>
      <c r="G1802" s="11">
        <f>IFERROR(__xludf.DUMMYFUNCTION("""COMPUTED_VALUE"""),5.0)</f>
        <v>5</v>
      </c>
      <c r="H1802" s="11">
        <f>IFERROR(__xludf.DUMMYFUNCTION("""COMPUTED_VALUE"""),47.243)</f>
        <v>47.243</v>
      </c>
    </row>
    <row r="1803">
      <c r="A1803" s="8" t="str">
        <f>IFERROR(__xludf.DUMMYFUNCTION("""COMPUTED_VALUE"""),"US-2014-146353")</f>
        <v>US-2014-146353</v>
      </c>
      <c r="B1803" s="9">
        <f>IFERROR(__xludf.DUMMYFUNCTION("""COMPUTED_VALUE"""),41926.0)</f>
        <v>41926</v>
      </c>
      <c r="C1803" s="8" t="str">
        <f>IFERROR(__xludf.DUMMYFUNCTION("""COMPUTED_VALUE"""),"Corporate")</f>
        <v>Corporate</v>
      </c>
      <c r="D1803" s="8" t="str">
        <f>IFERROR(__xludf.DUMMYFUNCTION("""COMPUTED_VALUE"""),"New Hampshire")</f>
        <v>New Hampshire</v>
      </c>
      <c r="E1803" s="8" t="str">
        <f>IFERROR(__xludf.DUMMYFUNCTION("""COMPUTED_VALUE"""),"East")</f>
        <v>East</v>
      </c>
      <c r="F1803" s="10">
        <f>IFERROR(__xludf.DUMMYFUNCTION("""COMPUTED_VALUE"""),22.92)</f>
        <v>22.92</v>
      </c>
      <c r="G1803" s="11">
        <f>IFERROR(__xludf.DUMMYFUNCTION("""COMPUTED_VALUE"""),4.0)</f>
        <v>4</v>
      </c>
      <c r="H1803" s="11">
        <f>IFERROR(__xludf.DUMMYFUNCTION("""COMPUTED_VALUE"""),11.0016)</f>
        <v>11.0016</v>
      </c>
    </row>
    <row r="1804">
      <c r="A1804" s="8" t="str">
        <f>IFERROR(__xludf.DUMMYFUNCTION("""COMPUTED_VALUE"""),"US-2014-147606")</f>
        <v>US-2014-147606</v>
      </c>
      <c r="B1804" s="9">
        <f>IFERROR(__xludf.DUMMYFUNCTION("""COMPUTED_VALUE"""),41969.0)</f>
        <v>41969</v>
      </c>
      <c r="C1804" s="8" t="str">
        <f>IFERROR(__xludf.DUMMYFUNCTION("""COMPUTED_VALUE"""),"Consumer")</f>
        <v>Consumer</v>
      </c>
      <c r="D1804" s="8" t="str">
        <f>IFERROR(__xludf.DUMMYFUNCTION("""COMPUTED_VALUE"""),"Texas")</f>
        <v>Texas</v>
      </c>
      <c r="E1804" s="8" t="str">
        <f>IFERROR(__xludf.DUMMYFUNCTION("""COMPUTED_VALUE"""),"Central")</f>
        <v>Central</v>
      </c>
      <c r="F1804" s="10">
        <f>IFERROR(__xludf.DUMMYFUNCTION("""COMPUTED_VALUE"""),19.3)</f>
        <v>19.3</v>
      </c>
      <c r="G1804" s="11">
        <f>IFERROR(__xludf.DUMMYFUNCTION("""COMPUTED_VALUE"""),5.0)</f>
        <v>5</v>
      </c>
      <c r="H1804" s="11">
        <f>IFERROR(__xludf.DUMMYFUNCTION("""COMPUTED_VALUE"""),-14.475)</f>
        <v>-14.475</v>
      </c>
    </row>
    <row r="1805">
      <c r="A1805" s="8" t="str">
        <f>IFERROR(__xludf.DUMMYFUNCTION("""COMPUTED_VALUE"""),"US-2014-147627")</f>
        <v>US-2014-147627</v>
      </c>
      <c r="B1805" s="9">
        <f>IFERROR(__xludf.DUMMYFUNCTION("""COMPUTED_VALUE"""),41659.0)</f>
        <v>41659</v>
      </c>
      <c r="C1805" s="8" t="str">
        <f>IFERROR(__xludf.DUMMYFUNCTION("""COMPUTED_VALUE"""),"Consumer")</f>
        <v>Consumer</v>
      </c>
      <c r="D1805" s="8" t="str">
        <f>IFERROR(__xludf.DUMMYFUNCTION("""COMPUTED_VALUE"""),"Arkansas")</f>
        <v>Arkansas</v>
      </c>
      <c r="E1805" s="8" t="str">
        <f>IFERROR(__xludf.DUMMYFUNCTION("""COMPUTED_VALUE"""),"South")</f>
        <v>South</v>
      </c>
      <c r="F1805" s="10">
        <f>IFERROR(__xludf.DUMMYFUNCTION("""COMPUTED_VALUE"""),699.93)</f>
        <v>699.93</v>
      </c>
      <c r="G1805" s="11">
        <f>IFERROR(__xludf.DUMMYFUNCTION("""COMPUTED_VALUE"""),7.0)</f>
        <v>7</v>
      </c>
      <c r="H1805" s="11">
        <f>IFERROR(__xludf.DUMMYFUNCTION("""COMPUTED_VALUE"""),181.9818)</f>
        <v>181.9818</v>
      </c>
    </row>
    <row r="1806">
      <c r="A1806" s="8" t="str">
        <f>IFERROR(__xludf.DUMMYFUNCTION("""COMPUTED_VALUE"""),"US-2014-147648")</f>
        <v>US-2014-147648</v>
      </c>
      <c r="B1806" s="9">
        <f>IFERROR(__xludf.DUMMYFUNCTION("""COMPUTED_VALUE"""),41969.0)</f>
        <v>41969</v>
      </c>
      <c r="C1806" s="8" t="str">
        <f>IFERROR(__xludf.DUMMYFUNCTION("""COMPUTED_VALUE"""),"Home Office")</f>
        <v>Home Office</v>
      </c>
      <c r="D1806" s="8" t="str">
        <f>IFERROR(__xludf.DUMMYFUNCTION("""COMPUTED_VALUE"""),"California")</f>
        <v>California</v>
      </c>
      <c r="E1806" s="8" t="str">
        <f>IFERROR(__xludf.DUMMYFUNCTION("""COMPUTED_VALUE"""),"West")</f>
        <v>West</v>
      </c>
      <c r="F1806" s="10">
        <f>IFERROR(__xludf.DUMMYFUNCTION("""COMPUTED_VALUE"""),81.98)</f>
        <v>81.98</v>
      </c>
      <c r="G1806" s="11">
        <f>IFERROR(__xludf.DUMMYFUNCTION("""COMPUTED_VALUE"""),2.0)</f>
        <v>2</v>
      </c>
      <c r="H1806" s="11">
        <f>IFERROR(__xludf.DUMMYFUNCTION("""COMPUTED_VALUE"""),40.1702)</f>
        <v>40.1702</v>
      </c>
    </row>
    <row r="1807">
      <c r="A1807" s="8" t="str">
        <f>IFERROR(__xludf.DUMMYFUNCTION("""COMPUTED_VALUE"""),"US-2014-147704")</f>
        <v>US-2014-147704</v>
      </c>
      <c r="B1807" s="9">
        <f>IFERROR(__xludf.DUMMYFUNCTION("""COMPUTED_VALUE"""),41959.0)</f>
        <v>41959</v>
      </c>
      <c r="C1807" s="8" t="str">
        <f>IFERROR(__xludf.DUMMYFUNCTION("""COMPUTED_VALUE"""),"Home Office")</f>
        <v>Home Office</v>
      </c>
      <c r="D1807" s="8" t="str">
        <f>IFERROR(__xludf.DUMMYFUNCTION("""COMPUTED_VALUE"""),"Indiana")</f>
        <v>Indiana</v>
      </c>
      <c r="E1807" s="8" t="str">
        <f>IFERROR(__xludf.DUMMYFUNCTION("""COMPUTED_VALUE"""),"Central")</f>
        <v>Central</v>
      </c>
      <c r="F1807" s="10">
        <f>IFERROR(__xludf.DUMMYFUNCTION("""COMPUTED_VALUE"""),78.35)</f>
        <v>78.35</v>
      </c>
      <c r="G1807" s="11">
        <f>IFERROR(__xludf.DUMMYFUNCTION("""COMPUTED_VALUE"""),5.0)</f>
        <v>5</v>
      </c>
      <c r="H1807" s="11">
        <f>IFERROR(__xludf.DUMMYFUNCTION("""COMPUTED_VALUE"""),36.8245)</f>
        <v>36.8245</v>
      </c>
    </row>
    <row r="1808">
      <c r="A1808" s="8" t="str">
        <f>IFERROR(__xludf.DUMMYFUNCTION("""COMPUTED_VALUE"""),"US-2014-147774")</f>
        <v>US-2014-147774</v>
      </c>
      <c r="B1808" s="9">
        <f>IFERROR(__xludf.DUMMYFUNCTION("""COMPUTED_VALUE"""),41659.0)</f>
        <v>41659</v>
      </c>
      <c r="C1808" s="8" t="str">
        <f>IFERROR(__xludf.DUMMYFUNCTION("""COMPUTED_VALUE"""),"Corporate")</f>
        <v>Corporate</v>
      </c>
      <c r="D1808" s="8" t="str">
        <f>IFERROR(__xludf.DUMMYFUNCTION("""COMPUTED_VALUE"""),"Tennessee")</f>
        <v>Tennessee</v>
      </c>
      <c r="E1808" s="8" t="str">
        <f>IFERROR(__xludf.DUMMYFUNCTION("""COMPUTED_VALUE"""),"South")</f>
        <v>South</v>
      </c>
      <c r="F1808" s="10">
        <f>IFERROR(__xludf.DUMMYFUNCTION("""COMPUTED_VALUE"""),67.194)</f>
        <v>67.194</v>
      </c>
      <c r="G1808" s="11">
        <f>IFERROR(__xludf.DUMMYFUNCTION("""COMPUTED_VALUE"""),1.0)</f>
        <v>1</v>
      </c>
      <c r="H1808" s="11">
        <f>IFERROR(__xludf.DUMMYFUNCTION("""COMPUTED_VALUE"""),-51.5154)</f>
        <v>-51.5154</v>
      </c>
    </row>
    <row r="1809">
      <c r="A1809" s="8" t="str">
        <f>IFERROR(__xludf.DUMMYFUNCTION("""COMPUTED_VALUE"""),"US-2014-148194")</f>
        <v>US-2014-148194</v>
      </c>
      <c r="B1809" s="9">
        <f>IFERROR(__xludf.DUMMYFUNCTION("""COMPUTED_VALUE"""),41763.0)</f>
        <v>41763</v>
      </c>
      <c r="C1809" s="8" t="str">
        <f>IFERROR(__xludf.DUMMYFUNCTION("""COMPUTED_VALUE"""),"Corporate")</f>
        <v>Corporate</v>
      </c>
      <c r="D1809" s="8" t="str">
        <f>IFERROR(__xludf.DUMMYFUNCTION("""COMPUTED_VALUE"""),"Washington")</f>
        <v>Washington</v>
      </c>
      <c r="E1809" s="8" t="str">
        <f>IFERROR(__xludf.DUMMYFUNCTION("""COMPUTED_VALUE"""),"West")</f>
        <v>West</v>
      </c>
      <c r="F1809" s="10">
        <f>IFERROR(__xludf.DUMMYFUNCTION("""COMPUTED_VALUE"""),12.18)</f>
        <v>12.18</v>
      </c>
      <c r="G1809" s="11">
        <f>IFERROR(__xludf.DUMMYFUNCTION("""COMPUTED_VALUE"""),7.0)</f>
        <v>7</v>
      </c>
      <c r="H1809" s="11">
        <f>IFERROR(__xludf.DUMMYFUNCTION("""COMPUTED_VALUE"""),3.8976)</f>
        <v>3.8976</v>
      </c>
    </row>
    <row r="1810">
      <c r="A1810" s="8" t="str">
        <f>IFERROR(__xludf.DUMMYFUNCTION("""COMPUTED_VALUE"""),"US-2014-148838")</f>
        <v>US-2014-148838</v>
      </c>
      <c r="B1810" s="9">
        <f>IFERROR(__xludf.DUMMYFUNCTION("""COMPUTED_VALUE"""),41715.0)</f>
        <v>41715</v>
      </c>
      <c r="C1810" s="8" t="str">
        <f>IFERROR(__xludf.DUMMYFUNCTION("""COMPUTED_VALUE"""),"Corporate")</f>
        <v>Corporate</v>
      </c>
      <c r="D1810" s="8" t="str">
        <f>IFERROR(__xludf.DUMMYFUNCTION("""COMPUTED_VALUE"""),"New York")</f>
        <v>New York</v>
      </c>
      <c r="E1810" s="8" t="str">
        <f>IFERROR(__xludf.DUMMYFUNCTION("""COMPUTED_VALUE"""),"East")</f>
        <v>East</v>
      </c>
      <c r="F1810" s="10">
        <f>IFERROR(__xludf.DUMMYFUNCTION("""COMPUTED_VALUE"""),1579.746)</f>
        <v>1579.746</v>
      </c>
      <c r="G1810" s="11">
        <f>IFERROR(__xludf.DUMMYFUNCTION("""COMPUTED_VALUE"""),7.0)</f>
        <v>7</v>
      </c>
      <c r="H1810" s="11">
        <f>IFERROR(__xludf.DUMMYFUNCTION("""COMPUTED_VALUE"""),-447.5947)</f>
        <v>-447.5947</v>
      </c>
    </row>
    <row r="1811">
      <c r="A1811" s="8" t="str">
        <f>IFERROR(__xludf.DUMMYFUNCTION("""COMPUTED_VALUE"""),"US-2014-149034")</f>
        <v>US-2014-149034</v>
      </c>
      <c r="B1811" s="9">
        <f>IFERROR(__xludf.DUMMYFUNCTION("""COMPUTED_VALUE"""),41962.0)</f>
        <v>41962</v>
      </c>
      <c r="C1811" s="8" t="str">
        <f>IFERROR(__xludf.DUMMYFUNCTION("""COMPUTED_VALUE"""),"Consumer")</f>
        <v>Consumer</v>
      </c>
      <c r="D1811" s="8" t="str">
        <f>IFERROR(__xludf.DUMMYFUNCTION("""COMPUTED_VALUE"""),"Pennsylvania")</f>
        <v>Pennsylvania</v>
      </c>
      <c r="E1811" s="8" t="str">
        <f>IFERROR(__xludf.DUMMYFUNCTION("""COMPUTED_VALUE"""),"East")</f>
        <v>East</v>
      </c>
      <c r="F1811" s="10">
        <f>IFERROR(__xludf.DUMMYFUNCTION("""COMPUTED_VALUE"""),47.496)</f>
        <v>47.496</v>
      </c>
      <c r="G1811" s="11">
        <f>IFERROR(__xludf.DUMMYFUNCTION("""COMPUTED_VALUE"""),1.0)</f>
        <v>1</v>
      </c>
      <c r="H1811" s="11">
        <f>IFERROR(__xludf.DUMMYFUNCTION("""COMPUTED_VALUE"""),-1.1874)</f>
        <v>-1.1874</v>
      </c>
    </row>
    <row r="1812">
      <c r="A1812" s="8" t="str">
        <f>IFERROR(__xludf.DUMMYFUNCTION("""COMPUTED_VALUE"""),"US-2014-150119")</f>
        <v>US-2014-150119</v>
      </c>
      <c r="B1812" s="9">
        <f>IFERROR(__xludf.DUMMYFUNCTION("""COMPUTED_VALUE"""),41752.0)</f>
        <v>41752</v>
      </c>
      <c r="C1812" s="8" t="str">
        <f>IFERROR(__xludf.DUMMYFUNCTION("""COMPUTED_VALUE"""),"Home Office")</f>
        <v>Home Office</v>
      </c>
      <c r="D1812" s="8" t="str">
        <f>IFERROR(__xludf.DUMMYFUNCTION("""COMPUTED_VALUE"""),"Ohio")</f>
        <v>Ohio</v>
      </c>
      <c r="E1812" s="8" t="str">
        <f>IFERROR(__xludf.DUMMYFUNCTION("""COMPUTED_VALUE"""),"East")</f>
        <v>East</v>
      </c>
      <c r="F1812" s="10">
        <f>IFERROR(__xludf.DUMMYFUNCTION("""COMPUTED_VALUE"""),281.372)</f>
        <v>281.372</v>
      </c>
      <c r="G1812" s="11">
        <f>IFERROR(__xludf.DUMMYFUNCTION("""COMPUTED_VALUE"""),2.0)</f>
        <v>2</v>
      </c>
      <c r="H1812" s="11">
        <f>IFERROR(__xludf.DUMMYFUNCTION("""COMPUTED_VALUE"""),-12.0588)</f>
        <v>-12.0588</v>
      </c>
    </row>
    <row r="1813">
      <c r="A1813" s="8" t="str">
        <f>IFERROR(__xludf.DUMMYFUNCTION("""COMPUTED_VALUE"""),"US-2014-150126")</f>
        <v>US-2014-150126</v>
      </c>
      <c r="B1813" s="9">
        <f>IFERROR(__xludf.DUMMYFUNCTION("""COMPUTED_VALUE"""),41847.0)</f>
        <v>41847</v>
      </c>
      <c r="C1813" s="8" t="str">
        <f>IFERROR(__xludf.DUMMYFUNCTION("""COMPUTED_VALUE"""),"Corporate")</f>
        <v>Corporate</v>
      </c>
      <c r="D1813" s="8" t="str">
        <f>IFERROR(__xludf.DUMMYFUNCTION("""COMPUTED_VALUE"""),"New York")</f>
        <v>New York</v>
      </c>
      <c r="E1813" s="8" t="str">
        <f>IFERROR(__xludf.DUMMYFUNCTION("""COMPUTED_VALUE"""),"East")</f>
        <v>East</v>
      </c>
      <c r="F1813" s="10">
        <f>IFERROR(__xludf.DUMMYFUNCTION("""COMPUTED_VALUE"""),65.78)</f>
        <v>65.78</v>
      </c>
      <c r="G1813" s="11">
        <f>IFERROR(__xludf.DUMMYFUNCTION("""COMPUTED_VALUE"""),11.0)</f>
        <v>11</v>
      </c>
      <c r="H1813" s="11">
        <f>IFERROR(__xludf.DUMMYFUNCTION("""COMPUTED_VALUE"""),32.2322)</f>
        <v>32.2322</v>
      </c>
    </row>
    <row r="1814">
      <c r="A1814" s="8" t="str">
        <f>IFERROR(__xludf.DUMMYFUNCTION("""COMPUTED_VALUE"""),"US-2014-150434")</f>
        <v>US-2014-150434</v>
      </c>
      <c r="B1814" s="9">
        <f>IFERROR(__xludf.DUMMYFUNCTION("""COMPUTED_VALUE"""),41839.0)</f>
        <v>41839</v>
      </c>
      <c r="C1814" s="8" t="str">
        <f>IFERROR(__xludf.DUMMYFUNCTION("""COMPUTED_VALUE"""),"Corporate")</f>
        <v>Corporate</v>
      </c>
      <c r="D1814" s="8" t="str">
        <f>IFERROR(__xludf.DUMMYFUNCTION("""COMPUTED_VALUE"""),"Connecticut")</f>
        <v>Connecticut</v>
      </c>
      <c r="E1814" s="8" t="str">
        <f>IFERROR(__xludf.DUMMYFUNCTION("""COMPUTED_VALUE"""),"East")</f>
        <v>East</v>
      </c>
      <c r="F1814" s="10">
        <f>IFERROR(__xludf.DUMMYFUNCTION("""COMPUTED_VALUE"""),359.98)</f>
        <v>359.98</v>
      </c>
      <c r="G1814" s="11">
        <f>IFERROR(__xludf.DUMMYFUNCTION("""COMPUTED_VALUE"""),2.0)</f>
        <v>2</v>
      </c>
      <c r="H1814" s="11">
        <f>IFERROR(__xludf.DUMMYFUNCTION("""COMPUTED_VALUE"""),93.5948)</f>
        <v>93.5948</v>
      </c>
    </row>
    <row r="1815">
      <c r="A1815" s="8" t="str">
        <f>IFERROR(__xludf.DUMMYFUNCTION("""COMPUTED_VALUE"""),"US-2014-150532")</f>
        <v>US-2014-150532</v>
      </c>
      <c r="B1815" s="9">
        <f>IFERROR(__xludf.DUMMYFUNCTION("""COMPUTED_VALUE"""),41834.0)</f>
        <v>41834</v>
      </c>
      <c r="C1815" s="8" t="str">
        <f>IFERROR(__xludf.DUMMYFUNCTION("""COMPUTED_VALUE"""),"Consumer")</f>
        <v>Consumer</v>
      </c>
      <c r="D1815" s="8" t="str">
        <f>IFERROR(__xludf.DUMMYFUNCTION("""COMPUTED_VALUE"""),"Arizona")</f>
        <v>Arizona</v>
      </c>
      <c r="E1815" s="8" t="str">
        <f>IFERROR(__xludf.DUMMYFUNCTION("""COMPUTED_VALUE"""),"West")</f>
        <v>West</v>
      </c>
      <c r="F1815" s="10">
        <f>IFERROR(__xludf.DUMMYFUNCTION("""COMPUTED_VALUE"""),55.92)</f>
        <v>55.92</v>
      </c>
      <c r="G1815" s="11">
        <f>IFERROR(__xludf.DUMMYFUNCTION("""COMPUTED_VALUE"""),5.0)</f>
        <v>5</v>
      </c>
      <c r="H1815" s="11">
        <f>IFERROR(__xludf.DUMMYFUNCTION("""COMPUTED_VALUE"""),6.291)</f>
        <v>6.291</v>
      </c>
    </row>
    <row r="1816">
      <c r="A1816" s="8" t="str">
        <f>IFERROR(__xludf.DUMMYFUNCTION("""COMPUTED_VALUE"""),"US-2014-150574")</f>
        <v>US-2014-150574</v>
      </c>
      <c r="B1816" s="9">
        <f>IFERROR(__xludf.DUMMYFUNCTION("""COMPUTED_VALUE"""),41992.0)</f>
        <v>41992</v>
      </c>
      <c r="C1816" s="8" t="str">
        <f>IFERROR(__xludf.DUMMYFUNCTION("""COMPUTED_VALUE"""),"Consumer")</f>
        <v>Consumer</v>
      </c>
      <c r="D1816" s="8" t="str">
        <f>IFERROR(__xludf.DUMMYFUNCTION("""COMPUTED_VALUE"""),"Florida")</f>
        <v>Florida</v>
      </c>
      <c r="E1816" s="8" t="str">
        <f>IFERROR(__xludf.DUMMYFUNCTION("""COMPUTED_VALUE"""),"South")</f>
        <v>South</v>
      </c>
      <c r="F1816" s="10">
        <f>IFERROR(__xludf.DUMMYFUNCTION("""COMPUTED_VALUE"""),4.812)</f>
        <v>4.812</v>
      </c>
      <c r="G1816" s="11">
        <f>IFERROR(__xludf.DUMMYFUNCTION("""COMPUTED_VALUE"""),2.0)</f>
        <v>2</v>
      </c>
      <c r="H1816" s="11">
        <f>IFERROR(__xludf.DUMMYFUNCTION("""COMPUTED_VALUE"""),-3.6892)</f>
        <v>-3.6892</v>
      </c>
    </row>
    <row r="1817">
      <c r="A1817" s="8" t="str">
        <f>IFERROR(__xludf.DUMMYFUNCTION("""COMPUTED_VALUE"""),"US-2014-150924")</f>
        <v>US-2014-150924</v>
      </c>
      <c r="B1817" s="9">
        <f>IFERROR(__xludf.DUMMYFUNCTION("""COMPUTED_VALUE"""),41894.0)</f>
        <v>41894</v>
      </c>
      <c r="C1817" s="8" t="str">
        <f>IFERROR(__xludf.DUMMYFUNCTION("""COMPUTED_VALUE"""),"Consumer")</f>
        <v>Consumer</v>
      </c>
      <c r="D1817" s="8" t="str">
        <f>IFERROR(__xludf.DUMMYFUNCTION("""COMPUTED_VALUE"""),"Texas")</f>
        <v>Texas</v>
      </c>
      <c r="E1817" s="8" t="str">
        <f>IFERROR(__xludf.DUMMYFUNCTION("""COMPUTED_VALUE"""),"Central")</f>
        <v>Central</v>
      </c>
      <c r="F1817" s="10">
        <f>IFERROR(__xludf.DUMMYFUNCTION("""COMPUTED_VALUE"""),5.18)</f>
        <v>5.18</v>
      </c>
      <c r="G1817" s="11">
        <f>IFERROR(__xludf.DUMMYFUNCTION("""COMPUTED_VALUE"""),5.0)</f>
        <v>5</v>
      </c>
      <c r="H1817" s="11">
        <f>IFERROR(__xludf.DUMMYFUNCTION("""COMPUTED_VALUE"""),-8.029)</f>
        <v>-8.029</v>
      </c>
    </row>
    <row r="1818">
      <c r="A1818" s="8" t="str">
        <f>IFERROR(__xludf.DUMMYFUNCTION("""COMPUTED_VALUE"""),"US-2014-151015")</f>
        <v>US-2014-151015</v>
      </c>
      <c r="B1818" s="9">
        <f>IFERROR(__xludf.DUMMYFUNCTION("""COMPUTED_VALUE"""),41926.0)</f>
        <v>41926</v>
      </c>
      <c r="C1818" s="8" t="str">
        <f>IFERROR(__xludf.DUMMYFUNCTION("""COMPUTED_VALUE"""),"Consumer")</f>
        <v>Consumer</v>
      </c>
      <c r="D1818" s="8" t="str">
        <f>IFERROR(__xludf.DUMMYFUNCTION("""COMPUTED_VALUE"""),"Illinois")</f>
        <v>Illinois</v>
      </c>
      <c r="E1818" s="8" t="str">
        <f>IFERROR(__xludf.DUMMYFUNCTION("""COMPUTED_VALUE"""),"Central")</f>
        <v>Central</v>
      </c>
      <c r="F1818" s="10">
        <f>IFERROR(__xludf.DUMMYFUNCTION("""COMPUTED_VALUE"""),322.192)</f>
        <v>322.192</v>
      </c>
      <c r="G1818" s="11">
        <f>IFERROR(__xludf.DUMMYFUNCTION("""COMPUTED_VALUE"""),13.0)</f>
        <v>13</v>
      </c>
      <c r="H1818" s="11">
        <f>IFERROR(__xludf.DUMMYFUNCTION("""COMPUTED_VALUE"""),100.685)</f>
        <v>100.685</v>
      </c>
    </row>
    <row r="1819">
      <c r="A1819" s="8" t="str">
        <f>IFERROR(__xludf.DUMMYFUNCTION("""COMPUTED_VALUE"""),"US-2014-151925")</f>
        <v>US-2014-151925</v>
      </c>
      <c r="B1819" s="9">
        <f>IFERROR(__xludf.DUMMYFUNCTION("""COMPUTED_VALUE"""),41908.0)</f>
        <v>41908</v>
      </c>
      <c r="C1819" s="8" t="str">
        <f>IFERROR(__xludf.DUMMYFUNCTION("""COMPUTED_VALUE"""),"Consumer")</f>
        <v>Consumer</v>
      </c>
      <c r="D1819" s="8" t="str">
        <f>IFERROR(__xludf.DUMMYFUNCTION("""COMPUTED_VALUE"""),"California")</f>
        <v>California</v>
      </c>
      <c r="E1819" s="8" t="str">
        <f>IFERROR(__xludf.DUMMYFUNCTION("""COMPUTED_VALUE"""),"West")</f>
        <v>West</v>
      </c>
      <c r="F1819" s="10">
        <f>IFERROR(__xludf.DUMMYFUNCTION("""COMPUTED_VALUE"""),145.568)</f>
        <v>145.568</v>
      </c>
      <c r="G1819" s="11">
        <f>IFERROR(__xludf.DUMMYFUNCTION("""COMPUTED_VALUE"""),2.0)</f>
        <v>2</v>
      </c>
      <c r="H1819" s="11">
        <f>IFERROR(__xludf.DUMMYFUNCTION("""COMPUTED_VALUE"""),0.0)</f>
        <v>0</v>
      </c>
    </row>
    <row r="1820">
      <c r="A1820" s="8" t="str">
        <f>IFERROR(__xludf.DUMMYFUNCTION("""COMPUTED_VALUE"""),"US-2014-152030")</f>
        <v>US-2014-152030</v>
      </c>
      <c r="B1820" s="9">
        <f>IFERROR(__xludf.DUMMYFUNCTION("""COMPUTED_VALUE"""),41999.0)</f>
        <v>41999</v>
      </c>
      <c r="C1820" s="8" t="str">
        <f>IFERROR(__xludf.DUMMYFUNCTION("""COMPUTED_VALUE"""),"Home Office")</f>
        <v>Home Office</v>
      </c>
      <c r="D1820" s="8" t="str">
        <f>IFERROR(__xludf.DUMMYFUNCTION("""COMPUTED_VALUE"""),"Texas")</f>
        <v>Texas</v>
      </c>
      <c r="E1820" s="8" t="str">
        <f>IFERROR(__xludf.DUMMYFUNCTION("""COMPUTED_VALUE"""),"Central")</f>
        <v>Central</v>
      </c>
      <c r="F1820" s="10">
        <f>IFERROR(__xludf.DUMMYFUNCTION("""COMPUTED_VALUE"""),600.558)</f>
        <v>600.558</v>
      </c>
      <c r="G1820" s="11">
        <f>IFERROR(__xludf.DUMMYFUNCTION("""COMPUTED_VALUE"""),3.0)</f>
        <v>3</v>
      </c>
      <c r="H1820" s="11">
        <f>IFERROR(__xludf.DUMMYFUNCTION("""COMPUTED_VALUE"""),-8.5794)</f>
        <v>-8.5794</v>
      </c>
    </row>
    <row r="1821">
      <c r="A1821" s="8" t="str">
        <f>IFERROR(__xludf.DUMMYFUNCTION("""COMPUTED_VALUE"""),"US-2014-152723")</f>
        <v>US-2014-152723</v>
      </c>
      <c r="B1821" s="9">
        <f>IFERROR(__xludf.DUMMYFUNCTION("""COMPUTED_VALUE"""),41908.0)</f>
        <v>41908</v>
      </c>
      <c r="C1821" s="8" t="str">
        <f>IFERROR(__xludf.DUMMYFUNCTION("""COMPUTED_VALUE"""),"Corporate")</f>
        <v>Corporate</v>
      </c>
      <c r="D1821" s="8" t="str">
        <f>IFERROR(__xludf.DUMMYFUNCTION("""COMPUTED_VALUE"""),"Texas")</f>
        <v>Texas</v>
      </c>
      <c r="E1821" s="8" t="str">
        <f>IFERROR(__xludf.DUMMYFUNCTION("""COMPUTED_VALUE"""),"Central")</f>
        <v>Central</v>
      </c>
      <c r="F1821" s="10">
        <f>IFERROR(__xludf.DUMMYFUNCTION("""COMPUTED_VALUE"""),0.876)</f>
        <v>0.876</v>
      </c>
      <c r="G1821" s="11">
        <f>IFERROR(__xludf.DUMMYFUNCTION("""COMPUTED_VALUE"""),1.0)</f>
        <v>1</v>
      </c>
      <c r="H1821" s="11">
        <f>IFERROR(__xludf.DUMMYFUNCTION("""COMPUTED_VALUE"""),-1.4016)</f>
        <v>-1.4016</v>
      </c>
    </row>
    <row r="1822">
      <c r="A1822" s="8" t="str">
        <f>IFERROR(__xludf.DUMMYFUNCTION("""COMPUTED_VALUE"""),"US-2014-154655")</f>
        <v>US-2014-154655</v>
      </c>
      <c r="B1822" s="9">
        <f>IFERROR(__xludf.DUMMYFUNCTION("""COMPUTED_VALUE"""),41924.0)</f>
        <v>41924</v>
      </c>
      <c r="C1822" s="8" t="str">
        <f>IFERROR(__xludf.DUMMYFUNCTION("""COMPUTED_VALUE"""),"Corporate")</f>
        <v>Corporate</v>
      </c>
      <c r="D1822" s="8" t="str">
        <f>IFERROR(__xludf.DUMMYFUNCTION("""COMPUTED_VALUE"""),"Illinois")</f>
        <v>Illinois</v>
      </c>
      <c r="E1822" s="8" t="str">
        <f>IFERROR(__xludf.DUMMYFUNCTION("""COMPUTED_VALUE"""),"Central")</f>
        <v>Central</v>
      </c>
      <c r="F1822" s="10">
        <f>IFERROR(__xludf.DUMMYFUNCTION("""COMPUTED_VALUE"""),22.24)</f>
        <v>22.24</v>
      </c>
      <c r="G1822" s="11">
        <f>IFERROR(__xludf.DUMMYFUNCTION("""COMPUTED_VALUE"""),2.0)</f>
        <v>2</v>
      </c>
      <c r="H1822" s="11">
        <f>IFERROR(__xludf.DUMMYFUNCTION("""COMPUTED_VALUE"""),2.502)</f>
        <v>2.502</v>
      </c>
    </row>
    <row r="1823">
      <c r="A1823" s="8" t="str">
        <f>IFERROR(__xludf.DUMMYFUNCTION("""COMPUTED_VALUE"""),"US-2014-154879")</f>
        <v>US-2014-154879</v>
      </c>
      <c r="B1823" s="9">
        <f>IFERROR(__xludf.DUMMYFUNCTION("""COMPUTED_VALUE"""),41765.0)</f>
        <v>41765</v>
      </c>
      <c r="C1823" s="8" t="str">
        <f>IFERROR(__xludf.DUMMYFUNCTION("""COMPUTED_VALUE"""),"Home Office")</f>
        <v>Home Office</v>
      </c>
      <c r="D1823" s="8" t="str">
        <f>IFERROR(__xludf.DUMMYFUNCTION("""COMPUTED_VALUE"""),"California")</f>
        <v>California</v>
      </c>
      <c r="E1823" s="8" t="str">
        <f>IFERROR(__xludf.DUMMYFUNCTION("""COMPUTED_VALUE"""),"West")</f>
        <v>West</v>
      </c>
      <c r="F1823" s="10">
        <f>IFERROR(__xludf.DUMMYFUNCTION("""COMPUTED_VALUE"""),5.78)</f>
        <v>5.78</v>
      </c>
      <c r="G1823" s="11">
        <f>IFERROR(__xludf.DUMMYFUNCTION("""COMPUTED_VALUE"""),2.0)</f>
        <v>2</v>
      </c>
      <c r="H1823" s="11">
        <f>IFERROR(__xludf.DUMMYFUNCTION("""COMPUTED_VALUE"""),2.7166)</f>
        <v>2.7166</v>
      </c>
    </row>
    <row r="1824">
      <c r="A1824" s="8" t="str">
        <f>IFERROR(__xludf.DUMMYFUNCTION("""COMPUTED_VALUE"""),"US-2014-155502")</f>
        <v>US-2014-155502</v>
      </c>
      <c r="B1824" s="9">
        <f>IFERROR(__xludf.DUMMYFUNCTION("""COMPUTED_VALUE"""),41665.0)</f>
        <v>41665</v>
      </c>
      <c r="C1824" s="8" t="str">
        <f>IFERROR(__xludf.DUMMYFUNCTION("""COMPUTED_VALUE"""),"Home Office")</f>
        <v>Home Office</v>
      </c>
      <c r="D1824" s="8" t="str">
        <f>IFERROR(__xludf.DUMMYFUNCTION("""COMPUTED_VALUE"""),"Virginia")</f>
        <v>Virginia</v>
      </c>
      <c r="E1824" s="8" t="str">
        <f>IFERROR(__xludf.DUMMYFUNCTION("""COMPUTED_VALUE"""),"South")</f>
        <v>South</v>
      </c>
      <c r="F1824" s="10">
        <f>IFERROR(__xludf.DUMMYFUNCTION("""COMPUTED_VALUE"""),62.82)</f>
        <v>62.82</v>
      </c>
      <c r="G1824" s="11">
        <f>IFERROR(__xludf.DUMMYFUNCTION("""COMPUTED_VALUE"""),3.0)</f>
        <v>3</v>
      </c>
      <c r="H1824" s="11">
        <f>IFERROR(__xludf.DUMMYFUNCTION("""COMPUTED_VALUE"""),30.7818)</f>
        <v>30.7818</v>
      </c>
    </row>
    <row r="1825">
      <c r="A1825" s="8" t="str">
        <f>IFERROR(__xludf.DUMMYFUNCTION("""COMPUTED_VALUE"""),"US-2014-155544")</f>
        <v>US-2014-155544</v>
      </c>
      <c r="B1825" s="9">
        <f>IFERROR(__xludf.DUMMYFUNCTION("""COMPUTED_VALUE"""),41719.0)</f>
        <v>41719</v>
      </c>
      <c r="C1825" s="8" t="str">
        <f>IFERROR(__xludf.DUMMYFUNCTION("""COMPUTED_VALUE"""),"Consumer")</f>
        <v>Consumer</v>
      </c>
      <c r="D1825" s="8" t="str">
        <f>IFERROR(__xludf.DUMMYFUNCTION("""COMPUTED_VALUE"""),"Tennessee")</f>
        <v>Tennessee</v>
      </c>
      <c r="E1825" s="8" t="str">
        <f>IFERROR(__xludf.DUMMYFUNCTION("""COMPUTED_VALUE"""),"South")</f>
        <v>South</v>
      </c>
      <c r="F1825" s="10">
        <f>IFERROR(__xludf.DUMMYFUNCTION("""COMPUTED_VALUE"""),59.2)</f>
        <v>59.2</v>
      </c>
      <c r="G1825" s="11">
        <f>IFERROR(__xludf.DUMMYFUNCTION("""COMPUTED_VALUE"""),5.0)</f>
        <v>5</v>
      </c>
      <c r="H1825" s="11">
        <f>IFERROR(__xludf.DUMMYFUNCTION("""COMPUTED_VALUE"""),22.2)</f>
        <v>22.2</v>
      </c>
    </row>
    <row r="1826">
      <c r="A1826" s="8" t="str">
        <f>IFERROR(__xludf.DUMMYFUNCTION("""COMPUTED_VALUE"""),"US-2014-155817")</f>
        <v>US-2014-155817</v>
      </c>
      <c r="B1826" s="9">
        <f>IFERROR(__xludf.DUMMYFUNCTION("""COMPUTED_VALUE"""),41915.0)</f>
        <v>41915</v>
      </c>
      <c r="C1826" s="8" t="str">
        <f>IFERROR(__xludf.DUMMYFUNCTION("""COMPUTED_VALUE"""),"Home Office")</f>
        <v>Home Office</v>
      </c>
      <c r="D1826" s="8" t="str">
        <f>IFERROR(__xludf.DUMMYFUNCTION("""COMPUTED_VALUE"""),"North Carolina")</f>
        <v>North Carolina</v>
      </c>
      <c r="E1826" s="8" t="str">
        <f>IFERROR(__xludf.DUMMYFUNCTION("""COMPUTED_VALUE"""),"South")</f>
        <v>South</v>
      </c>
      <c r="F1826" s="10">
        <f>IFERROR(__xludf.DUMMYFUNCTION("""COMPUTED_VALUE"""),61.568)</f>
        <v>61.568</v>
      </c>
      <c r="G1826" s="11">
        <f>IFERROR(__xludf.DUMMYFUNCTION("""COMPUTED_VALUE"""),2.0)</f>
        <v>2</v>
      </c>
      <c r="H1826" s="11">
        <f>IFERROR(__xludf.DUMMYFUNCTION("""COMPUTED_VALUE"""),4.6176)</f>
        <v>4.6176</v>
      </c>
    </row>
    <row r="1827">
      <c r="A1827" s="8" t="str">
        <f>IFERROR(__xludf.DUMMYFUNCTION("""COMPUTED_VALUE"""),"US-2014-155894")</f>
        <v>US-2014-155894</v>
      </c>
      <c r="B1827" s="9">
        <f>IFERROR(__xludf.DUMMYFUNCTION("""COMPUTED_VALUE"""),41846.0)</f>
        <v>41846</v>
      </c>
      <c r="C1827" s="8" t="str">
        <f>IFERROR(__xludf.DUMMYFUNCTION("""COMPUTED_VALUE"""),"Consumer")</f>
        <v>Consumer</v>
      </c>
      <c r="D1827" s="8" t="str">
        <f>IFERROR(__xludf.DUMMYFUNCTION("""COMPUTED_VALUE"""),"Illinois")</f>
        <v>Illinois</v>
      </c>
      <c r="E1827" s="8" t="str">
        <f>IFERROR(__xludf.DUMMYFUNCTION("""COMPUTED_VALUE"""),"Central")</f>
        <v>Central</v>
      </c>
      <c r="F1827" s="10">
        <f>IFERROR(__xludf.DUMMYFUNCTION("""COMPUTED_VALUE"""),123.552)</f>
        <v>123.552</v>
      </c>
      <c r="G1827" s="11">
        <f>IFERROR(__xludf.DUMMYFUNCTION("""COMPUTED_VALUE"""),3.0)</f>
        <v>3</v>
      </c>
      <c r="H1827" s="11">
        <f>IFERROR(__xludf.DUMMYFUNCTION("""COMPUTED_VALUE"""),-29.3436)</f>
        <v>-29.3436</v>
      </c>
    </row>
    <row r="1828">
      <c r="A1828" s="8" t="str">
        <f>IFERROR(__xludf.DUMMYFUNCTION("""COMPUTED_VALUE"""),"US-2014-156216")</f>
        <v>US-2014-156216</v>
      </c>
      <c r="B1828" s="9">
        <f>IFERROR(__xludf.DUMMYFUNCTION("""COMPUTED_VALUE"""),41895.0)</f>
        <v>41895</v>
      </c>
      <c r="C1828" s="8" t="str">
        <f>IFERROR(__xludf.DUMMYFUNCTION("""COMPUTED_VALUE"""),"Corporate")</f>
        <v>Corporate</v>
      </c>
      <c r="D1828" s="8" t="str">
        <f>IFERROR(__xludf.DUMMYFUNCTION("""COMPUTED_VALUE"""),"North Carolina")</f>
        <v>North Carolina</v>
      </c>
      <c r="E1828" s="8" t="str">
        <f>IFERROR(__xludf.DUMMYFUNCTION("""COMPUTED_VALUE"""),"South")</f>
        <v>South</v>
      </c>
      <c r="F1828" s="10">
        <f>IFERROR(__xludf.DUMMYFUNCTION("""COMPUTED_VALUE"""),18.648)</f>
        <v>18.648</v>
      </c>
      <c r="G1828" s="11">
        <f>IFERROR(__xludf.DUMMYFUNCTION("""COMPUTED_VALUE"""),7.0)</f>
        <v>7</v>
      </c>
      <c r="H1828" s="11">
        <f>IFERROR(__xludf.DUMMYFUNCTION("""COMPUTED_VALUE"""),-12.432)</f>
        <v>-12.432</v>
      </c>
    </row>
    <row r="1829">
      <c r="A1829" s="8" t="str">
        <f>IFERROR(__xludf.DUMMYFUNCTION("""COMPUTED_VALUE"""),"US-2014-156559")</f>
        <v>US-2014-156559</v>
      </c>
      <c r="B1829" s="9">
        <f>IFERROR(__xludf.DUMMYFUNCTION("""COMPUTED_VALUE"""),41870.0)</f>
        <v>41870</v>
      </c>
      <c r="C1829" s="8" t="str">
        <f>IFERROR(__xludf.DUMMYFUNCTION("""COMPUTED_VALUE"""),"Consumer")</f>
        <v>Consumer</v>
      </c>
      <c r="D1829" s="8" t="str">
        <f>IFERROR(__xludf.DUMMYFUNCTION("""COMPUTED_VALUE"""),"Arkansas")</f>
        <v>Arkansas</v>
      </c>
      <c r="E1829" s="8" t="str">
        <f>IFERROR(__xludf.DUMMYFUNCTION("""COMPUTED_VALUE"""),"South")</f>
        <v>South</v>
      </c>
      <c r="F1829" s="10">
        <f>IFERROR(__xludf.DUMMYFUNCTION("""COMPUTED_VALUE"""),638.82)</f>
        <v>638.82</v>
      </c>
      <c r="G1829" s="11">
        <f>IFERROR(__xludf.DUMMYFUNCTION("""COMPUTED_VALUE"""),9.0)</f>
        <v>9</v>
      </c>
      <c r="H1829" s="11">
        <f>IFERROR(__xludf.DUMMYFUNCTION("""COMPUTED_VALUE"""),172.4814)</f>
        <v>172.4814</v>
      </c>
    </row>
    <row r="1830">
      <c r="A1830" s="8" t="str">
        <f>IFERROR(__xludf.DUMMYFUNCTION("""COMPUTED_VALUE"""),"US-2014-157021")</f>
        <v>US-2014-157021</v>
      </c>
      <c r="B1830" s="9">
        <f>IFERROR(__xludf.DUMMYFUNCTION("""COMPUTED_VALUE"""),41730.0)</f>
        <v>41730</v>
      </c>
      <c r="C1830" s="8" t="str">
        <f>IFERROR(__xludf.DUMMYFUNCTION("""COMPUTED_VALUE"""),"Consumer")</f>
        <v>Consumer</v>
      </c>
      <c r="D1830" s="8" t="str">
        <f>IFERROR(__xludf.DUMMYFUNCTION("""COMPUTED_VALUE"""),"California")</f>
        <v>California</v>
      </c>
      <c r="E1830" s="8" t="str">
        <f>IFERROR(__xludf.DUMMYFUNCTION("""COMPUTED_VALUE"""),"West")</f>
        <v>West</v>
      </c>
      <c r="F1830" s="10">
        <f>IFERROR(__xludf.DUMMYFUNCTION("""COMPUTED_VALUE"""),29.6)</f>
        <v>29.6</v>
      </c>
      <c r="G1830" s="11">
        <f>IFERROR(__xludf.DUMMYFUNCTION("""COMPUTED_VALUE"""),2.0)</f>
        <v>2</v>
      </c>
      <c r="H1830" s="11">
        <f>IFERROR(__xludf.DUMMYFUNCTION("""COMPUTED_VALUE"""),14.8)</f>
        <v>14.8</v>
      </c>
    </row>
    <row r="1831">
      <c r="A1831" s="8" t="str">
        <f>IFERROR(__xludf.DUMMYFUNCTION("""COMPUTED_VALUE"""),"US-2014-157070")</f>
        <v>US-2014-157070</v>
      </c>
      <c r="B1831" s="9">
        <f>IFERROR(__xludf.DUMMYFUNCTION("""COMPUTED_VALUE"""),41791.0)</f>
        <v>41791</v>
      </c>
      <c r="C1831" s="8" t="str">
        <f>IFERROR(__xludf.DUMMYFUNCTION("""COMPUTED_VALUE"""),"Corporate")</f>
        <v>Corporate</v>
      </c>
      <c r="D1831" s="8" t="str">
        <f>IFERROR(__xludf.DUMMYFUNCTION("""COMPUTED_VALUE"""),"Michigan")</f>
        <v>Michigan</v>
      </c>
      <c r="E1831" s="8" t="str">
        <f>IFERROR(__xludf.DUMMYFUNCTION("""COMPUTED_VALUE"""),"Central")</f>
        <v>Central</v>
      </c>
      <c r="F1831" s="10">
        <f>IFERROR(__xludf.DUMMYFUNCTION("""COMPUTED_VALUE"""),138.56)</f>
        <v>138.56</v>
      </c>
      <c r="G1831" s="11">
        <f>IFERROR(__xludf.DUMMYFUNCTION("""COMPUTED_VALUE"""),4.0)</f>
        <v>4</v>
      </c>
      <c r="H1831" s="11">
        <f>IFERROR(__xludf.DUMMYFUNCTION("""COMPUTED_VALUE"""),66.5088)</f>
        <v>66.5088</v>
      </c>
    </row>
    <row r="1832">
      <c r="A1832" s="8" t="str">
        <f>IFERROR(__xludf.DUMMYFUNCTION("""COMPUTED_VALUE"""),"US-2014-157231")</f>
        <v>US-2014-157231</v>
      </c>
      <c r="B1832" s="9">
        <f>IFERROR(__xludf.DUMMYFUNCTION("""COMPUTED_VALUE"""),41734.0)</f>
        <v>41734</v>
      </c>
      <c r="C1832" s="8" t="str">
        <f>IFERROR(__xludf.DUMMYFUNCTION("""COMPUTED_VALUE"""),"Corporate")</f>
        <v>Corporate</v>
      </c>
      <c r="D1832" s="8" t="str">
        <f>IFERROR(__xludf.DUMMYFUNCTION("""COMPUTED_VALUE"""),"Kentucky")</f>
        <v>Kentucky</v>
      </c>
      <c r="E1832" s="8" t="str">
        <f>IFERROR(__xludf.DUMMYFUNCTION("""COMPUTED_VALUE"""),"South")</f>
        <v>South</v>
      </c>
      <c r="F1832" s="10">
        <f>IFERROR(__xludf.DUMMYFUNCTION("""COMPUTED_VALUE"""),115.36)</f>
        <v>115.36</v>
      </c>
      <c r="G1832" s="11">
        <f>IFERROR(__xludf.DUMMYFUNCTION("""COMPUTED_VALUE"""),7.0)</f>
        <v>7</v>
      </c>
      <c r="H1832" s="11">
        <f>IFERROR(__xludf.DUMMYFUNCTION("""COMPUTED_VALUE"""),56.5264)</f>
        <v>56.5264</v>
      </c>
    </row>
    <row r="1833">
      <c r="A1833" s="8" t="str">
        <f>IFERROR(__xludf.DUMMYFUNCTION("""COMPUTED_VALUE"""),"US-2014-157385")</f>
        <v>US-2014-157385</v>
      </c>
      <c r="B1833" s="9">
        <f>IFERROR(__xludf.DUMMYFUNCTION("""COMPUTED_VALUE"""),41966.0)</f>
        <v>41966</v>
      </c>
      <c r="C1833" s="8" t="str">
        <f>IFERROR(__xludf.DUMMYFUNCTION("""COMPUTED_VALUE"""),"Consumer")</f>
        <v>Consumer</v>
      </c>
      <c r="D1833" s="8" t="str">
        <f>IFERROR(__xludf.DUMMYFUNCTION("""COMPUTED_VALUE"""),"California")</f>
        <v>California</v>
      </c>
      <c r="E1833" s="8" t="str">
        <f>IFERROR(__xludf.DUMMYFUNCTION("""COMPUTED_VALUE"""),"West")</f>
        <v>West</v>
      </c>
      <c r="F1833" s="10">
        <f>IFERROR(__xludf.DUMMYFUNCTION("""COMPUTED_VALUE"""),603.92)</f>
        <v>603.92</v>
      </c>
      <c r="G1833" s="11">
        <f>IFERROR(__xludf.DUMMYFUNCTION("""COMPUTED_VALUE"""),5.0)</f>
        <v>5</v>
      </c>
      <c r="H1833" s="11">
        <f>IFERROR(__xludf.DUMMYFUNCTION("""COMPUTED_VALUE"""),-67.941)</f>
        <v>-67.941</v>
      </c>
    </row>
    <row r="1834">
      <c r="A1834" s="8" t="str">
        <f>IFERROR(__xludf.DUMMYFUNCTION("""COMPUTED_VALUE"""),"US-2014-157406")</f>
        <v>US-2014-157406</v>
      </c>
      <c r="B1834" s="9">
        <f>IFERROR(__xludf.DUMMYFUNCTION("""COMPUTED_VALUE"""),41754.0)</f>
        <v>41754</v>
      </c>
      <c r="C1834" s="8" t="str">
        <f>IFERROR(__xludf.DUMMYFUNCTION("""COMPUTED_VALUE"""),"Home Office")</f>
        <v>Home Office</v>
      </c>
      <c r="D1834" s="8" t="str">
        <f>IFERROR(__xludf.DUMMYFUNCTION("""COMPUTED_VALUE"""),"Texas")</f>
        <v>Texas</v>
      </c>
      <c r="E1834" s="8" t="str">
        <f>IFERROR(__xludf.DUMMYFUNCTION("""COMPUTED_VALUE"""),"Central")</f>
        <v>Central</v>
      </c>
      <c r="F1834" s="10">
        <f>IFERROR(__xludf.DUMMYFUNCTION("""COMPUTED_VALUE"""),10.368)</f>
        <v>10.368</v>
      </c>
      <c r="G1834" s="11">
        <f>IFERROR(__xludf.DUMMYFUNCTION("""COMPUTED_VALUE"""),2.0)</f>
        <v>2</v>
      </c>
      <c r="H1834" s="11">
        <f>IFERROR(__xludf.DUMMYFUNCTION("""COMPUTED_VALUE"""),3.6288)</f>
        <v>3.6288</v>
      </c>
    </row>
    <row r="1835">
      <c r="A1835" s="8" t="str">
        <f>IFERROR(__xludf.DUMMYFUNCTION("""COMPUTED_VALUE"""),"US-2014-157847")</f>
        <v>US-2014-157847</v>
      </c>
      <c r="B1835" s="9">
        <f>IFERROR(__xludf.DUMMYFUNCTION("""COMPUTED_VALUE"""),41731.0)</f>
        <v>41731</v>
      </c>
      <c r="C1835" s="8" t="str">
        <f>IFERROR(__xludf.DUMMYFUNCTION("""COMPUTED_VALUE"""),"Consumer")</f>
        <v>Consumer</v>
      </c>
      <c r="D1835" s="8" t="str">
        <f>IFERROR(__xludf.DUMMYFUNCTION("""COMPUTED_VALUE"""),"Texas")</f>
        <v>Texas</v>
      </c>
      <c r="E1835" s="8" t="str">
        <f>IFERROR(__xludf.DUMMYFUNCTION("""COMPUTED_VALUE"""),"Central")</f>
        <v>Central</v>
      </c>
      <c r="F1835" s="10">
        <f>IFERROR(__xludf.DUMMYFUNCTION("""COMPUTED_VALUE"""),26.72)</f>
        <v>26.72</v>
      </c>
      <c r="G1835" s="11">
        <f>IFERROR(__xludf.DUMMYFUNCTION("""COMPUTED_VALUE"""),5.0)</f>
        <v>5</v>
      </c>
      <c r="H1835" s="11">
        <f>IFERROR(__xludf.DUMMYFUNCTION("""COMPUTED_VALUE"""),9.352)</f>
        <v>9.352</v>
      </c>
    </row>
    <row r="1836">
      <c r="A1836" s="8" t="str">
        <f>IFERROR(__xludf.DUMMYFUNCTION("""COMPUTED_VALUE"""),"US-2014-158057")</f>
        <v>US-2014-158057</v>
      </c>
      <c r="B1836" s="9">
        <f>IFERROR(__xludf.DUMMYFUNCTION("""COMPUTED_VALUE"""),41720.0)</f>
        <v>41720</v>
      </c>
      <c r="C1836" s="8" t="str">
        <f>IFERROR(__xludf.DUMMYFUNCTION("""COMPUTED_VALUE"""),"Consumer")</f>
        <v>Consumer</v>
      </c>
      <c r="D1836" s="8" t="str">
        <f>IFERROR(__xludf.DUMMYFUNCTION("""COMPUTED_VALUE"""),"North Carolina")</f>
        <v>North Carolina</v>
      </c>
      <c r="E1836" s="8" t="str">
        <f>IFERROR(__xludf.DUMMYFUNCTION("""COMPUTED_VALUE"""),"South")</f>
        <v>South</v>
      </c>
      <c r="F1836" s="10">
        <f>IFERROR(__xludf.DUMMYFUNCTION("""COMPUTED_VALUE"""),7.644)</f>
        <v>7.644</v>
      </c>
      <c r="G1836" s="11">
        <f>IFERROR(__xludf.DUMMYFUNCTION("""COMPUTED_VALUE"""),4.0)</f>
        <v>4</v>
      </c>
      <c r="H1836" s="11">
        <f>IFERROR(__xludf.DUMMYFUNCTION("""COMPUTED_VALUE"""),-5.8604)</f>
        <v>-5.8604</v>
      </c>
    </row>
    <row r="1837">
      <c r="A1837" s="8" t="str">
        <f>IFERROR(__xludf.DUMMYFUNCTION("""COMPUTED_VALUE"""),"US-2014-158365")</f>
        <v>US-2014-158365</v>
      </c>
      <c r="B1837" s="9">
        <f>IFERROR(__xludf.DUMMYFUNCTION("""COMPUTED_VALUE"""),41741.0)</f>
        <v>41741</v>
      </c>
      <c r="C1837" s="8" t="str">
        <f>IFERROR(__xludf.DUMMYFUNCTION("""COMPUTED_VALUE"""),"Consumer")</f>
        <v>Consumer</v>
      </c>
      <c r="D1837" s="8" t="str">
        <f>IFERROR(__xludf.DUMMYFUNCTION("""COMPUTED_VALUE"""),"Indiana")</f>
        <v>Indiana</v>
      </c>
      <c r="E1837" s="8" t="str">
        <f>IFERROR(__xludf.DUMMYFUNCTION("""COMPUTED_VALUE"""),"Central")</f>
        <v>Central</v>
      </c>
      <c r="F1837" s="10">
        <f>IFERROR(__xludf.DUMMYFUNCTION("""COMPUTED_VALUE"""),32.4)</f>
        <v>32.4</v>
      </c>
      <c r="G1837" s="11">
        <f>IFERROR(__xludf.DUMMYFUNCTION("""COMPUTED_VALUE"""),5.0)</f>
        <v>5</v>
      </c>
      <c r="H1837" s="11">
        <f>IFERROR(__xludf.DUMMYFUNCTION("""COMPUTED_VALUE"""),15.552)</f>
        <v>15.552</v>
      </c>
    </row>
    <row r="1838">
      <c r="A1838" s="8" t="str">
        <f>IFERROR(__xludf.DUMMYFUNCTION("""COMPUTED_VALUE"""),"US-2014-158400")</f>
        <v>US-2014-158400</v>
      </c>
      <c r="B1838" s="9">
        <f>IFERROR(__xludf.DUMMYFUNCTION("""COMPUTED_VALUE"""),41937.0)</f>
        <v>41937</v>
      </c>
      <c r="C1838" s="8" t="str">
        <f>IFERROR(__xludf.DUMMYFUNCTION("""COMPUTED_VALUE"""),"Corporate")</f>
        <v>Corporate</v>
      </c>
      <c r="D1838" s="8" t="str">
        <f>IFERROR(__xludf.DUMMYFUNCTION("""COMPUTED_VALUE"""),"California")</f>
        <v>California</v>
      </c>
      <c r="E1838" s="8" t="str">
        <f>IFERROR(__xludf.DUMMYFUNCTION("""COMPUTED_VALUE"""),"West")</f>
        <v>West</v>
      </c>
      <c r="F1838" s="10">
        <f>IFERROR(__xludf.DUMMYFUNCTION("""COMPUTED_VALUE"""),49.408)</f>
        <v>49.408</v>
      </c>
      <c r="G1838" s="11">
        <f>IFERROR(__xludf.DUMMYFUNCTION("""COMPUTED_VALUE"""),4.0)</f>
        <v>4</v>
      </c>
      <c r="H1838" s="11">
        <f>IFERROR(__xludf.DUMMYFUNCTION("""COMPUTED_VALUE"""),18.528)</f>
        <v>18.528</v>
      </c>
    </row>
    <row r="1839">
      <c r="A1839" s="8" t="str">
        <f>IFERROR(__xludf.DUMMYFUNCTION("""COMPUTED_VALUE"""),"US-2014-158638")</f>
        <v>US-2014-158638</v>
      </c>
      <c r="B1839" s="9">
        <f>IFERROR(__xludf.DUMMYFUNCTION("""COMPUTED_VALUE"""),41899.0)</f>
        <v>41899</v>
      </c>
      <c r="C1839" s="8" t="str">
        <f>IFERROR(__xludf.DUMMYFUNCTION("""COMPUTED_VALUE"""),"Home Office")</f>
        <v>Home Office</v>
      </c>
      <c r="D1839" s="8" t="str">
        <f>IFERROR(__xludf.DUMMYFUNCTION("""COMPUTED_VALUE"""),"Pennsylvania")</f>
        <v>Pennsylvania</v>
      </c>
      <c r="E1839" s="8" t="str">
        <f>IFERROR(__xludf.DUMMYFUNCTION("""COMPUTED_VALUE"""),"East")</f>
        <v>East</v>
      </c>
      <c r="F1839" s="10">
        <f>IFERROR(__xludf.DUMMYFUNCTION("""COMPUTED_VALUE"""),5.892)</f>
        <v>5.892</v>
      </c>
      <c r="G1839" s="11">
        <f>IFERROR(__xludf.DUMMYFUNCTION("""COMPUTED_VALUE"""),4.0)</f>
        <v>4</v>
      </c>
      <c r="H1839" s="11">
        <f>IFERROR(__xludf.DUMMYFUNCTION("""COMPUTED_VALUE"""),-4.1244)</f>
        <v>-4.1244</v>
      </c>
    </row>
    <row r="1840">
      <c r="A1840" s="8" t="str">
        <f>IFERROR(__xludf.DUMMYFUNCTION("""COMPUTED_VALUE"""),"US-2014-159611")</f>
        <v>US-2014-159611</v>
      </c>
      <c r="B1840" s="9">
        <f>IFERROR(__xludf.DUMMYFUNCTION("""COMPUTED_VALUE"""),42000.0)</f>
        <v>42000</v>
      </c>
      <c r="C1840" s="8" t="str">
        <f>IFERROR(__xludf.DUMMYFUNCTION("""COMPUTED_VALUE"""),"Consumer")</f>
        <v>Consumer</v>
      </c>
      <c r="D1840" s="8" t="str">
        <f>IFERROR(__xludf.DUMMYFUNCTION("""COMPUTED_VALUE"""),"Ohio")</f>
        <v>Ohio</v>
      </c>
      <c r="E1840" s="8" t="str">
        <f>IFERROR(__xludf.DUMMYFUNCTION("""COMPUTED_VALUE"""),"East")</f>
        <v>East</v>
      </c>
      <c r="F1840" s="10">
        <f>IFERROR(__xludf.DUMMYFUNCTION("""COMPUTED_VALUE"""),182.352)</f>
        <v>182.352</v>
      </c>
      <c r="G1840" s="11">
        <f>IFERROR(__xludf.DUMMYFUNCTION("""COMPUTED_VALUE"""),3.0)</f>
        <v>3</v>
      </c>
      <c r="H1840" s="11">
        <f>IFERROR(__xludf.DUMMYFUNCTION("""COMPUTED_VALUE"""),-18.2352)</f>
        <v>-18.2352</v>
      </c>
    </row>
    <row r="1841">
      <c r="A1841" s="8" t="str">
        <f>IFERROR(__xludf.DUMMYFUNCTION("""COMPUTED_VALUE"""),"US-2014-159618")</f>
        <v>US-2014-159618</v>
      </c>
      <c r="B1841" s="9">
        <f>IFERROR(__xludf.DUMMYFUNCTION("""COMPUTED_VALUE"""),41955.0)</f>
        <v>41955</v>
      </c>
      <c r="C1841" s="8" t="str">
        <f>IFERROR(__xludf.DUMMYFUNCTION("""COMPUTED_VALUE"""),"Corporate")</f>
        <v>Corporate</v>
      </c>
      <c r="D1841" s="8" t="str">
        <f>IFERROR(__xludf.DUMMYFUNCTION("""COMPUTED_VALUE"""),"Texas")</f>
        <v>Texas</v>
      </c>
      <c r="E1841" s="8" t="str">
        <f>IFERROR(__xludf.DUMMYFUNCTION("""COMPUTED_VALUE"""),"Central")</f>
        <v>Central</v>
      </c>
      <c r="F1841" s="10">
        <f>IFERROR(__xludf.DUMMYFUNCTION("""COMPUTED_VALUE"""),2.672)</f>
        <v>2.672</v>
      </c>
      <c r="G1841" s="11">
        <f>IFERROR(__xludf.DUMMYFUNCTION("""COMPUTED_VALUE"""),1.0)</f>
        <v>1</v>
      </c>
      <c r="H1841" s="11">
        <f>IFERROR(__xludf.DUMMYFUNCTION("""COMPUTED_VALUE"""),0.334)</f>
        <v>0.334</v>
      </c>
    </row>
    <row r="1842">
      <c r="A1842" s="8" t="str">
        <f>IFERROR(__xludf.DUMMYFUNCTION("""COMPUTED_VALUE"""),"US-2014-159926")</f>
        <v>US-2014-159926</v>
      </c>
      <c r="B1842" s="9">
        <f>IFERROR(__xludf.DUMMYFUNCTION("""COMPUTED_VALUE"""),41961.0)</f>
        <v>41961</v>
      </c>
      <c r="C1842" s="8" t="str">
        <f>IFERROR(__xludf.DUMMYFUNCTION("""COMPUTED_VALUE"""),"Consumer")</f>
        <v>Consumer</v>
      </c>
      <c r="D1842" s="8" t="str">
        <f>IFERROR(__xludf.DUMMYFUNCTION("""COMPUTED_VALUE"""),"Pennsylvania")</f>
        <v>Pennsylvania</v>
      </c>
      <c r="E1842" s="8" t="str">
        <f>IFERROR(__xludf.DUMMYFUNCTION("""COMPUTED_VALUE"""),"East")</f>
        <v>East</v>
      </c>
      <c r="F1842" s="10">
        <f>IFERROR(__xludf.DUMMYFUNCTION("""COMPUTED_VALUE"""),50.997)</f>
        <v>50.997</v>
      </c>
      <c r="G1842" s="11">
        <f>IFERROR(__xludf.DUMMYFUNCTION("""COMPUTED_VALUE"""),1.0)</f>
        <v>1</v>
      </c>
      <c r="H1842" s="11">
        <f>IFERROR(__xludf.DUMMYFUNCTION("""COMPUTED_VALUE"""),-40.7976)</f>
        <v>-40.7976</v>
      </c>
    </row>
    <row r="1843">
      <c r="A1843" s="8" t="str">
        <f>IFERROR(__xludf.DUMMYFUNCTION("""COMPUTED_VALUE"""),"US-2014-160444")</f>
        <v>US-2014-160444</v>
      </c>
      <c r="B1843" s="9">
        <f>IFERROR(__xludf.DUMMYFUNCTION("""COMPUTED_VALUE"""),41825.0)</f>
        <v>41825</v>
      </c>
      <c r="C1843" s="8" t="str">
        <f>IFERROR(__xludf.DUMMYFUNCTION("""COMPUTED_VALUE"""),"Consumer")</f>
        <v>Consumer</v>
      </c>
      <c r="D1843" s="8" t="str">
        <f>IFERROR(__xludf.DUMMYFUNCTION("""COMPUTED_VALUE"""),"Texas")</f>
        <v>Texas</v>
      </c>
      <c r="E1843" s="8" t="str">
        <f>IFERROR(__xludf.DUMMYFUNCTION("""COMPUTED_VALUE"""),"Central")</f>
        <v>Central</v>
      </c>
      <c r="F1843" s="10">
        <f>IFERROR(__xludf.DUMMYFUNCTION("""COMPUTED_VALUE"""),220.776)</f>
        <v>220.776</v>
      </c>
      <c r="G1843" s="11">
        <f>IFERROR(__xludf.DUMMYFUNCTION("""COMPUTED_VALUE"""),3.0)</f>
        <v>3</v>
      </c>
      <c r="H1843" s="11">
        <f>IFERROR(__xludf.DUMMYFUNCTION("""COMPUTED_VALUE"""),-44.1552)</f>
        <v>-44.1552</v>
      </c>
    </row>
    <row r="1844">
      <c r="A1844" s="8" t="str">
        <f>IFERROR(__xludf.DUMMYFUNCTION("""COMPUTED_VALUE"""),"US-2014-160780")</f>
        <v>US-2014-160780</v>
      </c>
      <c r="B1844" s="9">
        <f>IFERROR(__xludf.DUMMYFUNCTION("""COMPUTED_VALUE"""),41811.0)</f>
        <v>41811</v>
      </c>
      <c r="C1844" s="8" t="str">
        <f>IFERROR(__xludf.DUMMYFUNCTION("""COMPUTED_VALUE"""),"Consumer")</f>
        <v>Consumer</v>
      </c>
      <c r="D1844" s="8" t="str">
        <f>IFERROR(__xludf.DUMMYFUNCTION("""COMPUTED_VALUE"""),"Colorado")</f>
        <v>Colorado</v>
      </c>
      <c r="E1844" s="8" t="str">
        <f>IFERROR(__xludf.DUMMYFUNCTION("""COMPUTED_VALUE"""),"West")</f>
        <v>West</v>
      </c>
      <c r="F1844" s="10">
        <f>IFERROR(__xludf.DUMMYFUNCTION("""COMPUTED_VALUE"""),11.088)</f>
        <v>11.088</v>
      </c>
      <c r="G1844" s="11">
        <f>IFERROR(__xludf.DUMMYFUNCTION("""COMPUTED_VALUE"""),7.0)</f>
        <v>7</v>
      </c>
      <c r="H1844" s="11">
        <f>IFERROR(__xludf.DUMMYFUNCTION("""COMPUTED_VALUE"""),-8.1312)</f>
        <v>-8.1312</v>
      </c>
    </row>
    <row r="1845">
      <c r="A1845" s="8" t="str">
        <f>IFERROR(__xludf.DUMMYFUNCTION("""COMPUTED_VALUE"""),"US-2014-161305")</f>
        <v>US-2014-161305</v>
      </c>
      <c r="B1845" s="9">
        <f>IFERROR(__xludf.DUMMYFUNCTION("""COMPUTED_VALUE"""),41796.0)</f>
        <v>41796</v>
      </c>
      <c r="C1845" s="8" t="str">
        <f>IFERROR(__xludf.DUMMYFUNCTION("""COMPUTED_VALUE"""),"Consumer")</f>
        <v>Consumer</v>
      </c>
      <c r="D1845" s="8" t="str">
        <f>IFERROR(__xludf.DUMMYFUNCTION("""COMPUTED_VALUE"""),"Illinois")</f>
        <v>Illinois</v>
      </c>
      <c r="E1845" s="8" t="str">
        <f>IFERROR(__xludf.DUMMYFUNCTION("""COMPUTED_VALUE"""),"Central")</f>
        <v>Central</v>
      </c>
      <c r="F1845" s="10">
        <f>IFERROR(__xludf.DUMMYFUNCTION("""COMPUTED_VALUE"""),24.588)</f>
        <v>24.588</v>
      </c>
      <c r="G1845" s="11">
        <f>IFERROR(__xludf.DUMMYFUNCTION("""COMPUTED_VALUE"""),3.0)</f>
        <v>3</v>
      </c>
      <c r="H1845" s="11">
        <f>IFERROR(__xludf.DUMMYFUNCTION("""COMPUTED_VALUE"""),-38.1114)</f>
        <v>-38.1114</v>
      </c>
    </row>
    <row r="1846">
      <c r="A1846" s="8" t="str">
        <f>IFERROR(__xludf.DUMMYFUNCTION("""COMPUTED_VALUE"""),"US-2014-161613")</f>
        <v>US-2014-161613</v>
      </c>
      <c r="B1846" s="9">
        <f>IFERROR(__xludf.DUMMYFUNCTION("""COMPUTED_VALUE"""),41974.0)</f>
        <v>41974</v>
      </c>
      <c r="C1846" s="8" t="str">
        <f>IFERROR(__xludf.DUMMYFUNCTION("""COMPUTED_VALUE"""),"Corporate")</f>
        <v>Corporate</v>
      </c>
      <c r="D1846" s="8" t="str">
        <f>IFERROR(__xludf.DUMMYFUNCTION("""COMPUTED_VALUE"""),"Texas")</f>
        <v>Texas</v>
      </c>
      <c r="E1846" s="8" t="str">
        <f>IFERROR(__xludf.DUMMYFUNCTION("""COMPUTED_VALUE"""),"Central")</f>
        <v>Central</v>
      </c>
      <c r="F1846" s="10">
        <f>IFERROR(__xludf.DUMMYFUNCTION("""COMPUTED_VALUE"""),674.058)</f>
        <v>674.058</v>
      </c>
      <c r="G1846" s="11">
        <f>IFERROR(__xludf.DUMMYFUNCTION("""COMPUTED_VALUE"""),3.0)</f>
        <v>3</v>
      </c>
      <c r="H1846" s="11">
        <f>IFERROR(__xludf.DUMMYFUNCTION("""COMPUTED_VALUE"""),-19.2588)</f>
        <v>-19.2588</v>
      </c>
    </row>
    <row r="1847">
      <c r="A1847" s="8" t="str">
        <f>IFERROR(__xludf.DUMMYFUNCTION("""COMPUTED_VALUE"""),"US-2014-163146")</f>
        <v>US-2014-163146</v>
      </c>
      <c r="B1847" s="9">
        <f>IFERROR(__xludf.DUMMYFUNCTION("""COMPUTED_VALUE"""),41775.0)</f>
        <v>41775</v>
      </c>
      <c r="C1847" s="8" t="str">
        <f>IFERROR(__xludf.DUMMYFUNCTION("""COMPUTED_VALUE"""),"Consumer")</f>
        <v>Consumer</v>
      </c>
      <c r="D1847" s="8" t="str">
        <f>IFERROR(__xludf.DUMMYFUNCTION("""COMPUTED_VALUE"""),"California")</f>
        <v>California</v>
      </c>
      <c r="E1847" s="8" t="str">
        <f>IFERROR(__xludf.DUMMYFUNCTION("""COMPUTED_VALUE"""),"West")</f>
        <v>West</v>
      </c>
      <c r="F1847" s="10">
        <f>IFERROR(__xludf.DUMMYFUNCTION("""COMPUTED_VALUE"""),56.4)</f>
        <v>56.4</v>
      </c>
      <c r="G1847" s="11">
        <f>IFERROR(__xludf.DUMMYFUNCTION("""COMPUTED_VALUE"""),3.0)</f>
        <v>3</v>
      </c>
      <c r="H1847" s="11">
        <f>IFERROR(__xludf.DUMMYFUNCTION("""COMPUTED_VALUE"""),3.384)</f>
        <v>3.384</v>
      </c>
    </row>
    <row r="1848">
      <c r="A1848" s="8" t="str">
        <f>IFERROR(__xludf.DUMMYFUNCTION("""COMPUTED_VALUE"""),"US-2014-163797")</f>
        <v>US-2014-163797</v>
      </c>
      <c r="B1848" s="9">
        <f>IFERROR(__xludf.DUMMYFUNCTION("""COMPUTED_VALUE"""),41737.0)</f>
        <v>41737</v>
      </c>
      <c r="C1848" s="8" t="str">
        <f>IFERROR(__xludf.DUMMYFUNCTION("""COMPUTED_VALUE"""),"Home Office")</f>
        <v>Home Office</v>
      </c>
      <c r="D1848" s="8" t="str">
        <f>IFERROR(__xludf.DUMMYFUNCTION("""COMPUTED_VALUE"""),"Arizona")</f>
        <v>Arizona</v>
      </c>
      <c r="E1848" s="8" t="str">
        <f>IFERROR(__xludf.DUMMYFUNCTION("""COMPUTED_VALUE"""),"West")</f>
        <v>West</v>
      </c>
      <c r="F1848" s="10">
        <f>IFERROR(__xludf.DUMMYFUNCTION("""COMPUTED_VALUE"""),49.792)</f>
        <v>49.792</v>
      </c>
      <c r="G1848" s="11">
        <f>IFERROR(__xludf.DUMMYFUNCTION("""COMPUTED_VALUE"""),8.0)</f>
        <v>8</v>
      </c>
      <c r="H1848" s="11">
        <f>IFERROR(__xludf.DUMMYFUNCTION("""COMPUTED_VALUE"""),-11.8256)</f>
        <v>-11.8256</v>
      </c>
    </row>
    <row r="1849">
      <c r="A1849" s="8" t="str">
        <f>IFERROR(__xludf.DUMMYFUNCTION("""COMPUTED_VALUE"""),"US-2014-164406")</f>
        <v>US-2014-164406</v>
      </c>
      <c r="B1849" s="9">
        <f>IFERROR(__xludf.DUMMYFUNCTION("""COMPUTED_VALUE"""),41866.0)</f>
        <v>41866</v>
      </c>
      <c r="C1849" s="8" t="str">
        <f>IFERROR(__xludf.DUMMYFUNCTION("""COMPUTED_VALUE"""),"Consumer")</f>
        <v>Consumer</v>
      </c>
      <c r="D1849" s="8" t="str">
        <f>IFERROR(__xludf.DUMMYFUNCTION("""COMPUTED_VALUE"""),"California")</f>
        <v>California</v>
      </c>
      <c r="E1849" s="8" t="str">
        <f>IFERROR(__xludf.DUMMYFUNCTION("""COMPUTED_VALUE"""),"West")</f>
        <v>West</v>
      </c>
      <c r="F1849" s="10">
        <f>IFERROR(__xludf.DUMMYFUNCTION("""COMPUTED_VALUE"""),152.91)</f>
        <v>152.91</v>
      </c>
      <c r="G1849" s="11">
        <f>IFERROR(__xludf.DUMMYFUNCTION("""COMPUTED_VALUE"""),3.0)</f>
        <v>3</v>
      </c>
      <c r="H1849" s="11">
        <f>IFERROR(__xludf.DUMMYFUNCTION("""COMPUTED_VALUE"""),42.8148)</f>
        <v>42.8148</v>
      </c>
    </row>
    <row r="1850">
      <c r="A1850" s="8" t="str">
        <f>IFERROR(__xludf.DUMMYFUNCTION("""COMPUTED_VALUE"""),"US-2014-164616")</f>
        <v>US-2014-164616</v>
      </c>
      <c r="B1850" s="9">
        <f>IFERROR(__xludf.DUMMYFUNCTION("""COMPUTED_VALUE"""),41870.0)</f>
        <v>41870</v>
      </c>
      <c r="C1850" s="8" t="str">
        <f>IFERROR(__xludf.DUMMYFUNCTION("""COMPUTED_VALUE"""),"Consumer")</f>
        <v>Consumer</v>
      </c>
      <c r="D1850" s="8" t="str">
        <f>IFERROR(__xludf.DUMMYFUNCTION("""COMPUTED_VALUE"""),"Ohio")</f>
        <v>Ohio</v>
      </c>
      <c r="E1850" s="8" t="str">
        <f>IFERROR(__xludf.DUMMYFUNCTION("""COMPUTED_VALUE"""),"East")</f>
        <v>East</v>
      </c>
      <c r="F1850" s="10">
        <f>IFERROR(__xludf.DUMMYFUNCTION("""COMPUTED_VALUE"""),76.776)</f>
        <v>76.776</v>
      </c>
      <c r="G1850" s="11">
        <f>IFERROR(__xludf.DUMMYFUNCTION("""COMPUTED_VALUE"""),4.0)</f>
        <v>4</v>
      </c>
      <c r="H1850" s="11">
        <f>IFERROR(__xludf.DUMMYFUNCTION("""COMPUTED_VALUE"""),-58.8616)</f>
        <v>-58.8616</v>
      </c>
    </row>
    <row r="1851">
      <c r="A1851" s="8" t="str">
        <f>IFERROR(__xludf.DUMMYFUNCTION("""COMPUTED_VALUE"""),"US-2014-164644")</f>
        <v>US-2014-164644</v>
      </c>
      <c r="B1851" s="9">
        <f>IFERROR(__xludf.DUMMYFUNCTION("""COMPUTED_VALUE"""),41842.0)</f>
        <v>41842</v>
      </c>
      <c r="C1851" s="8" t="str">
        <f>IFERROR(__xludf.DUMMYFUNCTION("""COMPUTED_VALUE"""),"Consumer")</f>
        <v>Consumer</v>
      </c>
      <c r="D1851" s="8" t="str">
        <f>IFERROR(__xludf.DUMMYFUNCTION("""COMPUTED_VALUE"""),"Texas")</f>
        <v>Texas</v>
      </c>
      <c r="E1851" s="8" t="str">
        <f>IFERROR(__xludf.DUMMYFUNCTION("""COMPUTED_VALUE"""),"Central")</f>
        <v>Central</v>
      </c>
      <c r="F1851" s="10">
        <f>IFERROR(__xludf.DUMMYFUNCTION("""COMPUTED_VALUE"""),26.632)</f>
        <v>26.632</v>
      </c>
      <c r="G1851" s="11">
        <f>IFERROR(__xludf.DUMMYFUNCTION("""COMPUTED_VALUE"""),1.0)</f>
        <v>1</v>
      </c>
      <c r="H1851" s="11">
        <f>IFERROR(__xludf.DUMMYFUNCTION("""COMPUTED_VALUE"""),1.3316)</f>
        <v>1.3316</v>
      </c>
    </row>
    <row r="1852">
      <c r="A1852" s="8" t="str">
        <f>IFERROR(__xludf.DUMMYFUNCTION("""COMPUTED_VALUE"""),"US-2014-164763")</f>
        <v>US-2014-164763</v>
      </c>
      <c r="B1852" s="9">
        <f>IFERROR(__xludf.DUMMYFUNCTION("""COMPUTED_VALUE"""),41715.0)</f>
        <v>41715</v>
      </c>
      <c r="C1852" s="8" t="str">
        <f>IFERROR(__xludf.DUMMYFUNCTION("""COMPUTED_VALUE"""),"Corporate")</f>
        <v>Corporate</v>
      </c>
      <c r="D1852" s="8" t="str">
        <f>IFERROR(__xludf.DUMMYFUNCTION("""COMPUTED_VALUE"""),"Mississippi")</f>
        <v>Mississippi</v>
      </c>
      <c r="E1852" s="8" t="str">
        <f>IFERROR(__xludf.DUMMYFUNCTION("""COMPUTED_VALUE"""),"South")</f>
        <v>South</v>
      </c>
      <c r="F1852" s="10">
        <f>IFERROR(__xludf.DUMMYFUNCTION("""COMPUTED_VALUE"""),11.43)</f>
        <v>11.43</v>
      </c>
      <c r="G1852" s="11">
        <f>IFERROR(__xludf.DUMMYFUNCTION("""COMPUTED_VALUE"""),3.0)</f>
        <v>3</v>
      </c>
      <c r="H1852" s="11">
        <f>IFERROR(__xludf.DUMMYFUNCTION("""COMPUTED_VALUE"""),5.3721)</f>
        <v>5.3721</v>
      </c>
    </row>
    <row r="1853">
      <c r="A1853" s="8" t="str">
        <f>IFERROR(__xludf.DUMMYFUNCTION("""COMPUTED_VALUE"""),"US-2014-165589")</f>
        <v>US-2014-165589</v>
      </c>
      <c r="B1853" s="9">
        <f>IFERROR(__xludf.DUMMYFUNCTION("""COMPUTED_VALUE"""),41688.0)</f>
        <v>41688</v>
      </c>
      <c r="C1853" s="8" t="str">
        <f>IFERROR(__xludf.DUMMYFUNCTION("""COMPUTED_VALUE"""),"Consumer")</f>
        <v>Consumer</v>
      </c>
      <c r="D1853" s="8" t="str">
        <f>IFERROR(__xludf.DUMMYFUNCTION("""COMPUTED_VALUE"""),"Texas")</f>
        <v>Texas</v>
      </c>
      <c r="E1853" s="8" t="str">
        <f>IFERROR(__xludf.DUMMYFUNCTION("""COMPUTED_VALUE"""),"Central")</f>
        <v>Central</v>
      </c>
      <c r="F1853" s="10">
        <f>IFERROR(__xludf.DUMMYFUNCTION("""COMPUTED_VALUE"""),25.16)</f>
        <v>25.16</v>
      </c>
      <c r="G1853" s="11">
        <f>IFERROR(__xludf.DUMMYFUNCTION("""COMPUTED_VALUE"""),5.0)</f>
        <v>5</v>
      </c>
      <c r="H1853" s="11">
        <f>IFERROR(__xludf.DUMMYFUNCTION("""COMPUTED_VALUE"""),-11.322)</f>
        <v>-11.322</v>
      </c>
    </row>
    <row r="1854">
      <c r="A1854" s="8" t="str">
        <f>IFERROR(__xludf.DUMMYFUNCTION("""COMPUTED_VALUE"""),"US-2014-165659")</f>
        <v>US-2014-165659</v>
      </c>
      <c r="B1854" s="9">
        <f>IFERROR(__xludf.DUMMYFUNCTION("""COMPUTED_VALUE"""),41791.0)</f>
        <v>41791</v>
      </c>
      <c r="C1854" s="8" t="str">
        <f>IFERROR(__xludf.DUMMYFUNCTION("""COMPUTED_VALUE"""),"Consumer")</f>
        <v>Consumer</v>
      </c>
      <c r="D1854" s="8" t="str">
        <f>IFERROR(__xludf.DUMMYFUNCTION("""COMPUTED_VALUE"""),"Arkansas")</f>
        <v>Arkansas</v>
      </c>
      <c r="E1854" s="8" t="str">
        <f>IFERROR(__xludf.DUMMYFUNCTION("""COMPUTED_VALUE"""),"South")</f>
        <v>South</v>
      </c>
      <c r="F1854" s="10">
        <f>IFERROR(__xludf.DUMMYFUNCTION("""COMPUTED_VALUE"""),22.2)</f>
        <v>22.2</v>
      </c>
      <c r="G1854" s="11">
        <f>IFERROR(__xludf.DUMMYFUNCTION("""COMPUTED_VALUE"""),6.0)</f>
        <v>6</v>
      </c>
      <c r="H1854" s="11">
        <f>IFERROR(__xludf.DUMMYFUNCTION("""COMPUTED_VALUE"""),9.102)</f>
        <v>9.102</v>
      </c>
    </row>
    <row r="1855">
      <c r="A1855" s="8" t="str">
        <f>IFERROR(__xludf.DUMMYFUNCTION("""COMPUTED_VALUE"""),"US-2014-165862")</f>
        <v>US-2014-165862</v>
      </c>
      <c r="B1855" s="9">
        <f>IFERROR(__xludf.DUMMYFUNCTION("""COMPUTED_VALUE"""),41833.0)</f>
        <v>41833</v>
      </c>
      <c r="C1855" s="8" t="str">
        <f>IFERROR(__xludf.DUMMYFUNCTION("""COMPUTED_VALUE"""),"Corporate")</f>
        <v>Corporate</v>
      </c>
      <c r="D1855" s="8" t="str">
        <f>IFERROR(__xludf.DUMMYFUNCTION("""COMPUTED_VALUE"""),"California")</f>
        <v>California</v>
      </c>
      <c r="E1855" s="8" t="str">
        <f>IFERROR(__xludf.DUMMYFUNCTION("""COMPUTED_VALUE"""),"West")</f>
        <v>West</v>
      </c>
      <c r="F1855" s="10">
        <f>IFERROR(__xludf.DUMMYFUNCTION("""COMPUTED_VALUE"""),351.216)</f>
        <v>351.216</v>
      </c>
      <c r="G1855" s="11">
        <f>IFERROR(__xludf.DUMMYFUNCTION("""COMPUTED_VALUE"""),3.0)</f>
        <v>3</v>
      </c>
      <c r="H1855" s="11">
        <f>IFERROR(__xludf.DUMMYFUNCTION("""COMPUTED_VALUE"""),4.3902)</f>
        <v>4.3902</v>
      </c>
    </row>
    <row r="1856">
      <c r="A1856" s="8" t="str">
        <f>IFERROR(__xludf.DUMMYFUNCTION("""COMPUTED_VALUE"""),"US-2014-166310")</f>
        <v>US-2014-166310</v>
      </c>
      <c r="B1856" s="9">
        <f>IFERROR(__xludf.DUMMYFUNCTION("""COMPUTED_VALUE"""),41903.0)</f>
        <v>41903</v>
      </c>
      <c r="C1856" s="8" t="str">
        <f>IFERROR(__xludf.DUMMYFUNCTION("""COMPUTED_VALUE"""),"Home Office")</f>
        <v>Home Office</v>
      </c>
      <c r="D1856" s="8" t="str">
        <f>IFERROR(__xludf.DUMMYFUNCTION("""COMPUTED_VALUE"""),"Texas")</f>
        <v>Texas</v>
      </c>
      <c r="E1856" s="8" t="str">
        <f>IFERROR(__xludf.DUMMYFUNCTION("""COMPUTED_VALUE"""),"Central")</f>
        <v>Central</v>
      </c>
      <c r="F1856" s="10">
        <f>IFERROR(__xludf.DUMMYFUNCTION("""COMPUTED_VALUE"""),8.544)</f>
        <v>8.544</v>
      </c>
      <c r="G1856" s="11">
        <f>IFERROR(__xludf.DUMMYFUNCTION("""COMPUTED_VALUE"""),2.0)</f>
        <v>2</v>
      </c>
      <c r="H1856" s="11">
        <f>IFERROR(__xludf.DUMMYFUNCTION("""COMPUTED_VALUE"""),-7.476)</f>
        <v>-7.476</v>
      </c>
    </row>
    <row r="1857">
      <c r="A1857" s="8" t="str">
        <f>IFERROR(__xludf.DUMMYFUNCTION("""COMPUTED_VALUE"""),"US-2014-166828")</f>
        <v>US-2014-166828</v>
      </c>
      <c r="B1857" s="9">
        <f>IFERROR(__xludf.DUMMYFUNCTION("""COMPUTED_VALUE"""),41873.0)</f>
        <v>41873</v>
      </c>
      <c r="C1857" s="8" t="str">
        <f>IFERROR(__xludf.DUMMYFUNCTION("""COMPUTED_VALUE"""),"Consumer")</f>
        <v>Consumer</v>
      </c>
      <c r="D1857" s="8" t="str">
        <f>IFERROR(__xludf.DUMMYFUNCTION("""COMPUTED_VALUE"""),"Missouri")</f>
        <v>Missouri</v>
      </c>
      <c r="E1857" s="8" t="str">
        <f>IFERROR(__xludf.DUMMYFUNCTION("""COMPUTED_VALUE"""),"Central")</f>
        <v>Central</v>
      </c>
      <c r="F1857" s="10">
        <f>IFERROR(__xludf.DUMMYFUNCTION("""COMPUTED_VALUE"""),11.56)</f>
        <v>11.56</v>
      </c>
      <c r="G1857" s="11">
        <f>IFERROR(__xludf.DUMMYFUNCTION("""COMPUTED_VALUE"""),2.0)</f>
        <v>2</v>
      </c>
      <c r="H1857" s="11">
        <f>IFERROR(__xludf.DUMMYFUNCTION("""COMPUTED_VALUE"""),5.6644)</f>
        <v>5.6644</v>
      </c>
    </row>
    <row r="1858">
      <c r="A1858" s="8" t="str">
        <f>IFERROR(__xludf.DUMMYFUNCTION("""COMPUTED_VALUE"""),"US-2014-167262")</f>
        <v>US-2014-167262</v>
      </c>
      <c r="B1858" s="9">
        <f>IFERROR(__xludf.DUMMYFUNCTION("""COMPUTED_VALUE"""),41943.0)</f>
        <v>41943</v>
      </c>
      <c r="C1858" s="8" t="str">
        <f>IFERROR(__xludf.DUMMYFUNCTION("""COMPUTED_VALUE"""),"Consumer")</f>
        <v>Consumer</v>
      </c>
      <c r="D1858" s="8" t="str">
        <f>IFERROR(__xludf.DUMMYFUNCTION("""COMPUTED_VALUE"""),"Arizona")</f>
        <v>Arizona</v>
      </c>
      <c r="E1858" s="8" t="str">
        <f>IFERROR(__xludf.DUMMYFUNCTION("""COMPUTED_VALUE"""),"West")</f>
        <v>West</v>
      </c>
      <c r="F1858" s="10">
        <f>IFERROR(__xludf.DUMMYFUNCTION("""COMPUTED_VALUE"""),742.336)</f>
        <v>742.336</v>
      </c>
      <c r="G1858" s="11">
        <f>IFERROR(__xludf.DUMMYFUNCTION("""COMPUTED_VALUE"""),8.0)</f>
        <v>8</v>
      </c>
      <c r="H1858" s="11">
        <f>IFERROR(__xludf.DUMMYFUNCTION("""COMPUTED_VALUE"""),83.5128)</f>
        <v>83.5128</v>
      </c>
    </row>
    <row r="1859">
      <c r="A1859" s="8" t="str">
        <f>IFERROR(__xludf.DUMMYFUNCTION("""COMPUTED_VALUE"""),"US-2014-167633")</f>
        <v>US-2014-167633</v>
      </c>
      <c r="B1859" s="9">
        <f>IFERROR(__xludf.DUMMYFUNCTION("""COMPUTED_VALUE"""),41912.0)</f>
        <v>41912</v>
      </c>
      <c r="C1859" s="8" t="str">
        <f>IFERROR(__xludf.DUMMYFUNCTION("""COMPUTED_VALUE"""),"Consumer")</f>
        <v>Consumer</v>
      </c>
      <c r="D1859" s="8" t="str">
        <f>IFERROR(__xludf.DUMMYFUNCTION("""COMPUTED_VALUE"""),"Florida")</f>
        <v>Florida</v>
      </c>
      <c r="E1859" s="8" t="str">
        <f>IFERROR(__xludf.DUMMYFUNCTION("""COMPUTED_VALUE"""),"South")</f>
        <v>South</v>
      </c>
      <c r="F1859" s="10">
        <f>IFERROR(__xludf.DUMMYFUNCTION("""COMPUTED_VALUE"""),15.552)</f>
        <v>15.552</v>
      </c>
      <c r="G1859" s="11">
        <f>IFERROR(__xludf.DUMMYFUNCTION("""COMPUTED_VALUE"""),3.0)</f>
        <v>3</v>
      </c>
      <c r="H1859" s="11">
        <f>IFERROR(__xludf.DUMMYFUNCTION("""COMPUTED_VALUE"""),5.4432)</f>
        <v>5.4432</v>
      </c>
    </row>
    <row r="1860">
      <c r="A1860" s="8" t="str">
        <f>IFERROR(__xludf.DUMMYFUNCTION("""COMPUTED_VALUE"""),"US-2014-167738")</f>
        <v>US-2014-167738</v>
      </c>
      <c r="B1860" s="9">
        <f>IFERROR(__xludf.DUMMYFUNCTION("""COMPUTED_VALUE"""),41997.0)</f>
        <v>41997</v>
      </c>
      <c r="C1860" s="8" t="str">
        <f>IFERROR(__xludf.DUMMYFUNCTION("""COMPUTED_VALUE"""),"Corporate")</f>
        <v>Corporate</v>
      </c>
      <c r="D1860" s="8" t="str">
        <f>IFERROR(__xludf.DUMMYFUNCTION("""COMPUTED_VALUE"""),"California")</f>
        <v>California</v>
      </c>
      <c r="E1860" s="8" t="str">
        <f>IFERROR(__xludf.DUMMYFUNCTION("""COMPUTED_VALUE"""),"West")</f>
        <v>West</v>
      </c>
      <c r="F1860" s="10">
        <f>IFERROR(__xludf.DUMMYFUNCTION("""COMPUTED_VALUE"""),142.86)</f>
        <v>142.86</v>
      </c>
      <c r="G1860" s="11">
        <f>IFERROR(__xludf.DUMMYFUNCTION("""COMPUTED_VALUE"""),1.0)</f>
        <v>1</v>
      </c>
      <c r="H1860" s="11">
        <f>IFERROR(__xludf.DUMMYFUNCTION("""COMPUTED_VALUE"""),41.4294)</f>
        <v>41.4294</v>
      </c>
    </row>
    <row r="1861">
      <c r="A1861" s="8" t="str">
        <f>IFERROR(__xludf.DUMMYFUNCTION("""COMPUTED_VALUE"""),"US-2014-168501")</f>
        <v>US-2014-168501</v>
      </c>
      <c r="B1861" s="9">
        <f>IFERROR(__xludf.DUMMYFUNCTION("""COMPUTED_VALUE"""),41964.0)</f>
        <v>41964</v>
      </c>
      <c r="C1861" s="8" t="str">
        <f>IFERROR(__xludf.DUMMYFUNCTION("""COMPUTED_VALUE"""),"Corporate")</f>
        <v>Corporate</v>
      </c>
      <c r="D1861" s="8" t="str">
        <f>IFERROR(__xludf.DUMMYFUNCTION("""COMPUTED_VALUE"""),"Texas")</f>
        <v>Texas</v>
      </c>
      <c r="E1861" s="8" t="str">
        <f>IFERROR(__xludf.DUMMYFUNCTION("""COMPUTED_VALUE"""),"Central")</f>
        <v>Central</v>
      </c>
      <c r="F1861" s="10">
        <f>IFERROR(__xludf.DUMMYFUNCTION("""COMPUTED_VALUE"""),1.632)</f>
        <v>1.632</v>
      </c>
      <c r="G1861" s="11">
        <f>IFERROR(__xludf.DUMMYFUNCTION("""COMPUTED_VALUE"""),1.0)</f>
        <v>1</v>
      </c>
      <c r="H1861" s="11">
        <f>IFERROR(__xludf.DUMMYFUNCTION("""COMPUTED_VALUE"""),0.5508)</f>
        <v>0.5508</v>
      </c>
    </row>
    <row r="1862">
      <c r="A1862" s="8" t="str">
        <f>IFERROR(__xludf.DUMMYFUNCTION("""COMPUTED_VALUE"""),"US-2014-169390")</f>
        <v>US-2014-169390</v>
      </c>
      <c r="B1862" s="9">
        <f>IFERROR(__xludf.DUMMYFUNCTION("""COMPUTED_VALUE"""),41677.0)</f>
        <v>41677</v>
      </c>
      <c r="C1862" s="8" t="str">
        <f>IFERROR(__xludf.DUMMYFUNCTION("""COMPUTED_VALUE"""),"Corporate")</f>
        <v>Corporate</v>
      </c>
      <c r="D1862" s="8" t="str">
        <f>IFERROR(__xludf.DUMMYFUNCTION("""COMPUTED_VALUE"""),"New York")</f>
        <v>New York</v>
      </c>
      <c r="E1862" s="8" t="str">
        <f>IFERROR(__xludf.DUMMYFUNCTION("""COMPUTED_VALUE"""),"East")</f>
        <v>East</v>
      </c>
      <c r="F1862" s="10">
        <f>IFERROR(__xludf.DUMMYFUNCTION("""COMPUTED_VALUE"""),64.96)</f>
        <v>64.96</v>
      </c>
      <c r="G1862" s="11">
        <f>IFERROR(__xludf.DUMMYFUNCTION("""COMPUTED_VALUE"""),4.0)</f>
        <v>4</v>
      </c>
      <c r="H1862" s="11">
        <f>IFERROR(__xludf.DUMMYFUNCTION("""COMPUTED_VALUE"""),9.744)</f>
        <v>9.744</v>
      </c>
    </row>
    <row r="1863">
      <c r="A1863" s="8" t="str">
        <f>IFERROR(__xludf.DUMMYFUNCTION("""COMPUTED_VALUE"""),"US-2014-169789")</f>
        <v>US-2014-169789</v>
      </c>
      <c r="B1863" s="9">
        <f>IFERROR(__xludf.DUMMYFUNCTION("""COMPUTED_VALUE"""),42003.0)</f>
        <v>42003</v>
      </c>
      <c r="C1863" s="8" t="str">
        <f>IFERROR(__xludf.DUMMYFUNCTION("""COMPUTED_VALUE"""),"Corporate")</f>
        <v>Corporate</v>
      </c>
      <c r="D1863" s="8" t="str">
        <f>IFERROR(__xludf.DUMMYFUNCTION("""COMPUTED_VALUE"""),"Arizona")</f>
        <v>Arizona</v>
      </c>
      <c r="E1863" s="8" t="str">
        <f>IFERROR(__xludf.DUMMYFUNCTION("""COMPUTED_VALUE"""),"West")</f>
        <v>West</v>
      </c>
      <c r="F1863" s="10">
        <f>IFERROR(__xludf.DUMMYFUNCTION("""COMPUTED_VALUE"""),551.985)</f>
        <v>551.985</v>
      </c>
      <c r="G1863" s="11">
        <f>IFERROR(__xludf.DUMMYFUNCTION("""COMPUTED_VALUE"""),5.0)</f>
        <v>5</v>
      </c>
      <c r="H1863" s="11">
        <f>IFERROR(__xludf.DUMMYFUNCTION("""COMPUTED_VALUE"""),-459.9875)</f>
        <v>-459.9875</v>
      </c>
    </row>
    <row r="1864">
      <c r="A1864" s="8" t="str">
        <f>IFERROR(__xludf.DUMMYFUNCTION("""COMPUTED_VALUE"""),"US-2015-100069")</f>
        <v>US-2015-100069</v>
      </c>
      <c r="B1864" s="9">
        <f>IFERROR(__xludf.DUMMYFUNCTION("""COMPUTED_VALUE"""),42184.0)</f>
        <v>42184</v>
      </c>
      <c r="C1864" s="8" t="str">
        <f>IFERROR(__xludf.DUMMYFUNCTION("""COMPUTED_VALUE"""),"Neil Französisch")</f>
        <v>Neil Französisch</v>
      </c>
      <c r="D1864" s="8" t="str">
        <f>IFERROR(__xludf.DUMMYFUNCTION("""COMPUTED_VALUE"""),"Home Office")</f>
        <v>Home Office</v>
      </c>
      <c r="E1864" s="8" t="str">
        <f>IFERROR(__xludf.DUMMYFUNCTION("""COMPUTED_VALUE"""),"Central")</f>
        <v>Central</v>
      </c>
      <c r="F1864" s="10">
        <f>IFERROR(__xludf.DUMMYFUNCTION("""COMPUTED_VALUE"""),269.98)</f>
        <v>269.98</v>
      </c>
      <c r="G1864" s="11">
        <f>IFERROR(__xludf.DUMMYFUNCTION("""COMPUTED_VALUE"""),2.0)</f>
        <v>2</v>
      </c>
      <c r="H1864" s="11">
        <f>IFERROR(__xludf.DUMMYFUNCTION("""COMPUTED_VALUE"""),72.8946)</f>
        <v>72.8946</v>
      </c>
    </row>
    <row r="1865">
      <c r="A1865" s="8" t="str">
        <f>IFERROR(__xludf.DUMMYFUNCTION("""COMPUTED_VALUE"""),"US-2015-100377")</f>
        <v>US-2015-100377</v>
      </c>
      <c r="B1865" s="9">
        <f>IFERROR(__xludf.DUMMYFUNCTION("""COMPUTED_VALUE"""),42244.0)</f>
        <v>42244</v>
      </c>
      <c r="C1865" s="8" t="str">
        <f>IFERROR(__xludf.DUMMYFUNCTION("""COMPUTED_VALUE"""),"Todd Sumrall")</f>
        <v>Todd Sumrall</v>
      </c>
      <c r="D1865" s="8" t="str">
        <f>IFERROR(__xludf.DUMMYFUNCTION("""COMPUTED_VALUE"""),"Corporate")</f>
        <v>Corporate</v>
      </c>
      <c r="E1865" s="8" t="str">
        <f>IFERROR(__xludf.DUMMYFUNCTION("""COMPUTED_VALUE"""),"Central")</f>
        <v>Central</v>
      </c>
      <c r="F1865" s="10">
        <f>IFERROR(__xludf.DUMMYFUNCTION("""COMPUTED_VALUE"""),2799.96)</f>
        <v>2799.96</v>
      </c>
      <c r="G1865" s="11">
        <f>IFERROR(__xludf.DUMMYFUNCTION("""COMPUTED_VALUE"""),5.0)</f>
        <v>5</v>
      </c>
      <c r="H1865" s="11">
        <f>IFERROR(__xludf.DUMMYFUNCTION("""COMPUTED_VALUE"""),874.9875)</f>
        <v>874.9875</v>
      </c>
    </row>
    <row r="1866">
      <c r="A1866" s="8" t="str">
        <f>IFERROR(__xludf.DUMMYFUNCTION("""COMPUTED_VALUE"""),"US-2015-100531")</f>
        <v>US-2015-100531</v>
      </c>
      <c r="B1866" s="9">
        <f>IFERROR(__xludf.DUMMYFUNCTION("""COMPUTED_VALUE"""),42274.0)</f>
        <v>42274</v>
      </c>
      <c r="C1866" s="8" t="str">
        <f>IFERROR(__xludf.DUMMYFUNCTION("""COMPUTED_VALUE"""),"Neoma Murray")</f>
        <v>Neoma Murray</v>
      </c>
      <c r="D1866" s="8" t="str">
        <f>IFERROR(__xludf.DUMMYFUNCTION("""COMPUTED_VALUE"""),"Consumer")</f>
        <v>Consumer</v>
      </c>
      <c r="E1866" s="8" t="str">
        <f>IFERROR(__xludf.DUMMYFUNCTION("""COMPUTED_VALUE"""),"Central")</f>
        <v>Central</v>
      </c>
      <c r="F1866" s="10">
        <f>IFERROR(__xludf.DUMMYFUNCTION("""COMPUTED_VALUE"""),15.08)</f>
        <v>15.08</v>
      </c>
      <c r="G1866" s="11">
        <f>IFERROR(__xludf.DUMMYFUNCTION("""COMPUTED_VALUE"""),2.0)</f>
        <v>2</v>
      </c>
      <c r="H1866" s="11">
        <f>IFERROR(__xludf.DUMMYFUNCTION("""COMPUTED_VALUE"""),-22.62)</f>
        <v>-22.62</v>
      </c>
    </row>
    <row r="1867">
      <c r="A1867" s="8" t="str">
        <f>IFERROR(__xludf.DUMMYFUNCTION("""COMPUTED_VALUE"""),"US-2015-101399")</f>
        <v>US-2015-101399</v>
      </c>
      <c r="B1867" s="9">
        <f>IFERROR(__xludf.DUMMYFUNCTION("""COMPUTED_VALUE"""),42021.0)</f>
        <v>42021</v>
      </c>
      <c r="C1867" s="8" t="str">
        <f>IFERROR(__xludf.DUMMYFUNCTION("""COMPUTED_VALUE"""),"Joni Sundaresam")</f>
        <v>Joni Sundaresam</v>
      </c>
      <c r="D1867" s="8" t="str">
        <f>IFERROR(__xludf.DUMMYFUNCTION("""COMPUTED_VALUE"""),"Home Office")</f>
        <v>Home Office</v>
      </c>
      <c r="E1867" s="8" t="str">
        <f>IFERROR(__xludf.DUMMYFUNCTION("""COMPUTED_VALUE"""),"Central")</f>
        <v>Central</v>
      </c>
      <c r="F1867" s="10">
        <f>IFERROR(__xludf.DUMMYFUNCTION("""COMPUTED_VALUE"""),254.744)</f>
        <v>254.744</v>
      </c>
      <c r="G1867" s="11">
        <f>IFERROR(__xludf.DUMMYFUNCTION("""COMPUTED_VALUE"""),7.0)</f>
        <v>7</v>
      </c>
      <c r="H1867" s="11">
        <f>IFERROR(__xludf.DUMMYFUNCTION("""COMPUTED_VALUE"""),-312.0614)</f>
        <v>-312.0614</v>
      </c>
    </row>
    <row r="1868">
      <c r="A1868" s="8" t="str">
        <f>IFERROR(__xludf.DUMMYFUNCTION("""COMPUTED_VALUE"""),"US-2015-101511")</f>
        <v>US-2015-101511</v>
      </c>
      <c r="B1868" s="9">
        <f>IFERROR(__xludf.DUMMYFUNCTION("""COMPUTED_VALUE"""),42329.0)</f>
        <v>42329</v>
      </c>
      <c r="C1868" s="8" t="str">
        <f>IFERROR(__xludf.DUMMYFUNCTION("""COMPUTED_VALUE"""),"Joel Eaton")</f>
        <v>Joel Eaton</v>
      </c>
      <c r="D1868" s="8" t="str">
        <f>IFERROR(__xludf.DUMMYFUNCTION("""COMPUTED_VALUE"""),"Consumer")</f>
        <v>Consumer</v>
      </c>
      <c r="E1868" s="8" t="str">
        <f>IFERROR(__xludf.DUMMYFUNCTION("""COMPUTED_VALUE"""),"East")</f>
        <v>East</v>
      </c>
      <c r="F1868" s="10">
        <f>IFERROR(__xludf.DUMMYFUNCTION("""COMPUTED_VALUE"""),396.802)</f>
        <v>396.802</v>
      </c>
      <c r="G1868" s="11">
        <f>IFERROR(__xludf.DUMMYFUNCTION("""COMPUTED_VALUE"""),7.0)</f>
        <v>7</v>
      </c>
      <c r="H1868" s="11">
        <f>IFERROR(__xludf.DUMMYFUNCTION("""COMPUTED_VALUE"""),-11.3372)</f>
        <v>-11.3372</v>
      </c>
    </row>
    <row r="1869">
      <c r="A1869" s="8" t="str">
        <f>IFERROR(__xludf.DUMMYFUNCTION("""COMPUTED_VALUE"""),"US-2015-103471")</f>
        <v>US-2015-103471</v>
      </c>
      <c r="B1869" s="9">
        <f>IFERROR(__xludf.DUMMYFUNCTION("""COMPUTED_VALUE"""),42362.0)</f>
        <v>42362</v>
      </c>
      <c r="C1869" s="8" t="str">
        <f>IFERROR(__xludf.DUMMYFUNCTION("""COMPUTED_VALUE"""),"Jim Radford")</f>
        <v>Jim Radford</v>
      </c>
      <c r="D1869" s="8" t="str">
        <f>IFERROR(__xludf.DUMMYFUNCTION("""COMPUTED_VALUE"""),"Consumer")</f>
        <v>Consumer</v>
      </c>
      <c r="E1869" s="8" t="str">
        <f>IFERROR(__xludf.DUMMYFUNCTION("""COMPUTED_VALUE"""),"West")</f>
        <v>West</v>
      </c>
      <c r="F1869" s="10">
        <f>IFERROR(__xludf.DUMMYFUNCTION("""COMPUTED_VALUE"""),590.058)</f>
        <v>590.058</v>
      </c>
      <c r="G1869" s="11">
        <f>IFERROR(__xludf.DUMMYFUNCTION("""COMPUTED_VALUE"""),7.0)</f>
        <v>7</v>
      </c>
      <c r="H1869" s="11">
        <f>IFERROR(__xludf.DUMMYFUNCTION("""COMPUTED_VALUE"""),-786.744)</f>
        <v>-786.744</v>
      </c>
    </row>
    <row r="1870">
      <c r="A1870" s="8" t="str">
        <f>IFERROR(__xludf.DUMMYFUNCTION("""COMPUTED_VALUE"""),"US-2015-103996")</f>
        <v>US-2015-103996</v>
      </c>
      <c r="B1870" s="9">
        <f>IFERROR(__xludf.DUMMYFUNCTION("""COMPUTED_VALUE"""),42092.0)</f>
        <v>42092</v>
      </c>
      <c r="C1870" s="8" t="str">
        <f>IFERROR(__xludf.DUMMYFUNCTION("""COMPUTED_VALUE"""),"Richard Bierner")</f>
        <v>Richard Bierner</v>
      </c>
      <c r="D1870" s="8" t="str">
        <f>IFERROR(__xludf.DUMMYFUNCTION("""COMPUTED_VALUE"""),"Consumer")</f>
        <v>Consumer</v>
      </c>
      <c r="E1870" s="8" t="str">
        <f>IFERROR(__xludf.DUMMYFUNCTION("""COMPUTED_VALUE"""),"West")</f>
        <v>West</v>
      </c>
      <c r="F1870" s="10">
        <f>IFERROR(__xludf.DUMMYFUNCTION("""COMPUTED_VALUE"""),212.64)</f>
        <v>212.64</v>
      </c>
      <c r="G1870" s="11">
        <f>IFERROR(__xludf.DUMMYFUNCTION("""COMPUTED_VALUE"""),6.0)</f>
        <v>6</v>
      </c>
      <c r="H1870" s="11">
        <f>IFERROR(__xludf.DUMMYFUNCTION("""COMPUTED_VALUE"""),99.9408)</f>
        <v>99.9408</v>
      </c>
    </row>
    <row r="1871">
      <c r="A1871" s="8" t="str">
        <f>IFERROR(__xludf.DUMMYFUNCTION("""COMPUTED_VALUE"""),"US-2015-104185")</f>
        <v>US-2015-104185</v>
      </c>
      <c r="B1871" s="9">
        <f>IFERROR(__xludf.DUMMYFUNCTION("""COMPUTED_VALUE"""),42250.0)</f>
        <v>42250</v>
      </c>
      <c r="C1871" s="8" t="str">
        <f>IFERROR(__xludf.DUMMYFUNCTION("""COMPUTED_VALUE"""),"Jennifer Braxton")</f>
        <v>Jennifer Braxton</v>
      </c>
      <c r="D1871" s="8" t="str">
        <f>IFERROR(__xludf.DUMMYFUNCTION("""COMPUTED_VALUE"""),"Corporate")</f>
        <v>Corporate</v>
      </c>
      <c r="E1871" s="8" t="str">
        <f>IFERROR(__xludf.DUMMYFUNCTION("""COMPUTED_VALUE"""),"East")</f>
        <v>East</v>
      </c>
      <c r="F1871" s="10">
        <f>IFERROR(__xludf.DUMMYFUNCTION("""COMPUTED_VALUE"""),120.33)</f>
        <v>120.33</v>
      </c>
      <c r="G1871" s="11">
        <f>IFERROR(__xludf.DUMMYFUNCTION("""COMPUTED_VALUE"""),1.0)</f>
        <v>1</v>
      </c>
      <c r="H1871" s="11">
        <f>IFERROR(__xludf.DUMMYFUNCTION("""COMPUTED_VALUE"""),31.2858)</f>
        <v>31.2858</v>
      </c>
    </row>
    <row r="1872">
      <c r="A1872" s="8" t="str">
        <f>IFERROR(__xludf.DUMMYFUNCTION("""COMPUTED_VALUE"""),"US-2015-104430")</f>
        <v>US-2015-104430</v>
      </c>
      <c r="B1872" s="9">
        <f>IFERROR(__xludf.DUMMYFUNCTION("""COMPUTED_VALUE"""),42299.0)</f>
        <v>42299</v>
      </c>
      <c r="C1872" s="8" t="str">
        <f>IFERROR(__xludf.DUMMYFUNCTION("""COMPUTED_VALUE"""),"Liz Thompson")</f>
        <v>Liz Thompson</v>
      </c>
      <c r="D1872" s="8" t="str">
        <f>IFERROR(__xludf.DUMMYFUNCTION("""COMPUTED_VALUE"""),"Consumer")</f>
        <v>Consumer</v>
      </c>
      <c r="E1872" s="8" t="str">
        <f>IFERROR(__xludf.DUMMYFUNCTION("""COMPUTED_VALUE"""),"Central")</f>
        <v>Central</v>
      </c>
      <c r="F1872" s="10">
        <f>IFERROR(__xludf.DUMMYFUNCTION("""COMPUTED_VALUE"""),5.176)</f>
        <v>5.176</v>
      </c>
      <c r="G1872" s="11">
        <f>IFERROR(__xludf.DUMMYFUNCTION("""COMPUTED_VALUE"""),4.0)</f>
        <v>4</v>
      </c>
      <c r="H1872" s="11">
        <f>IFERROR(__xludf.DUMMYFUNCTION("""COMPUTED_VALUE"""),-7.764)</f>
        <v>-7.764</v>
      </c>
    </row>
    <row r="1873">
      <c r="A1873" s="8" t="str">
        <f>IFERROR(__xludf.DUMMYFUNCTION("""COMPUTED_VALUE"""),"US-2015-105676")</f>
        <v>US-2015-105676</v>
      </c>
      <c r="B1873" s="9">
        <f>IFERROR(__xludf.DUMMYFUNCTION("""COMPUTED_VALUE"""),42339.0)</f>
        <v>42339</v>
      </c>
      <c r="C1873" s="8" t="str">
        <f>IFERROR(__xludf.DUMMYFUNCTION("""COMPUTED_VALUE"""),"Neoma Murray")</f>
        <v>Neoma Murray</v>
      </c>
      <c r="D1873" s="8" t="str">
        <f>IFERROR(__xludf.DUMMYFUNCTION("""COMPUTED_VALUE"""),"Consumer")</f>
        <v>Consumer</v>
      </c>
      <c r="E1873" s="8" t="str">
        <f>IFERROR(__xludf.DUMMYFUNCTION("""COMPUTED_VALUE"""),"Central")</f>
        <v>Central</v>
      </c>
      <c r="F1873" s="10">
        <f>IFERROR(__xludf.DUMMYFUNCTION("""COMPUTED_VALUE"""),6.688)</f>
        <v>6.688</v>
      </c>
      <c r="G1873" s="11">
        <f>IFERROR(__xludf.DUMMYFUNCTION("""COMPUTED_VALUE"""),4.0)</f>
        <v>4</v>
      </c>
      <c r="H1873" s="11">
        <f>IFERROR(__xludf.DUMMYFUNCTION("""COMPUTED_VALUE"""),-4.0128)</f>
        <v>-4.0128</v>
      </c>
    </row>
    <row r="1874">
      <c r="A1874" s="8" t="str">
        <f>IFERROR(__xludf.DUMMYFUNCTION("""COMPUTED_VALUE"""),"US-2015-106495")</f>
        <v>US-2015-106495</v>
      </c>
      <c r="B1874" s="9">
        <f>IFERROR(__xludf.DUMMYFUNCTION("""COMPUTED_VALUE"""),42170.0)</f>
        <v>42170</v>
      </c>
      <c r="C1874" s="8" t="str">
        <f>IFERROR(__xludf.DUMMYFUNCTION("""COMPUTED_VALUE"""),"Amy Cox")</f>
        <v>Amy Cox</v>
      </c>
      <c r="D1874" s="8" t="str">
        <f>IFERROR(__xludf.DUMMYFUNCTION("""COMPUTED_VALUE"""),"Consumer")</f>
        <v>Consumer</v>
      </c>
      <c r="E1874" s="8" t="str">
        <f>IFERROR(__xludf.DUMMYFUNCTION("""COMPUTED_VALUE"""),"South")</f>
        <v>South</v>
      </c>
      <c r="F1874" s="10">
        <f>IFERROR(__xludf.DUMMYFUNCTION("""COMPUTED_VALUE"""),11.672)</f>
        <v>11.672</v>
      </c>
      <c r="G1874" s="11">
        <f>IFERROR(__xludf.DUMMYFUNCTION("""COMPUTED_VALUE"""),1.0)</f>
        <v>1</v>
      </c>
      <c r="H1874" s="11">
        <f>IFERROR(__xludf.DUMMYFUNCTION("""COMPUTED_VALUE"""),-0.7295)</f>
        <v>-0.7295</v>
      </c>
    </row>
    <row r="1875">
      <c r="A1875" s="8" t="str">
        <f>IFERROR(__xludf.DUMMYFUNCTION("""COMPUTED_VALUE"""),"US-2015-106873")</f>
        <v>US-2015-106873</v>
      </c>
      <c r="B1875" s="9">
        <f>IFERROR(__xludf.DUMMYFUNCTION("""COMPUTED_VALUE"""),42271.0)</f>
        <v>42271</v>
      </c>
      <c r="C1875" s="8" t="str">
        <f>IFERROR(__xludf.DUMMYFUNCTION("""COMPUTED_VALUE"""),"Kunst Miller")</f>
        <v>Kunst Miller</v>
      </c>
      <c r="D1875" s="8" t="str">
        <f>IFERROR(__xludf.DUMMYFUNCTION("""COMPUTED_VALUE"""),"Consumer")</f>
        <v>Consumer</v>
      </c>
      <c r="E1875" s="8" t="str">
        <f>IFERROR(__xludf.DUMMYFUNCTION("""COMPUTED_VALUE"""),"West")</f>
        <v>West</v>
      </c>
      <c r="F1875" s="10">
        <f>IFERROR(__xludf.DUMMYFUNCTION("""COMPUTED_VALUE"""),14.576)</f>
        <v>14.576</v>
      </c>
      <c r="G1875" s="11">
        <f>IFERROR(__xludf.DUMMYFUNCTION("""COMPUTED_VALUE"""),2.0)</f>
        <v>2</v>
      </c>
      <c r="H1875" s="11">
        <f>IFERROR(__xludf.DUMMYFUNCTION("""COMPUTED_VALUE"""),2.3686)</f>
        <v>2.3686</v>
      </c>
    </row>
    <row r="1876">
      <c r="A1876" s="8" t="str">
        <f>IFERROR(__xludf.DUMMYFUNCTION("""COMPUTED_VALUE"""),"US-2015-107349")</f>
        <v>US-2015-107349</v>
      </c>
      <c r="B1876" s="9">
        <f>IFERROR(__xludf.DUMMYFUNCTION("""COMPUTED_VALUE"""),42198.0)</f>
        <v>42198</v>
      </c>
      <c r="C1876" s="8" t="str">
        <f>IFERROR(__xludf.DUMMYFUNCTION("""COMPUTED_VALUE"""),"Sara Luxemburg")</f>
        <v>Sara Luxemburg</v>
      </c>
      <c r="D1876" s="8" t="str">
        <f>IFERROR(__xludf.DUMMYFUNCTION("""COMPUTED_VALUE"""),"Home Office")</f>
        <v>Home Office</v>
      </c>
      <c r="E1876" s="8" t="str">
        <f>IFERROR(__xludf.DUMMYFUNCTION("""COMPUTED_VALUE"""),"Central")</f>
        <v>Central</v>
      </c>
      <c r="F1876" s="10">
        <f>IFERROR(__xludf.DUMMYFUNCTION("""COMPUTED_VALUE"""),41.568)</f>
        <v>41.568</v>
      </c>
      <c r="G1876" s="11">
        <f>IFERROR(__xludf.DUMMYFUNCTION("""COMPUTED_VALUE"""),6.0)</f>
        <v>6</v>
      </c>
      <c r="H1876" s="11">
        <f>IFERROR(__xludf.DUMMYFUNCTION("""COMPUTED_VALUE"""),-66.5088)</f>
        <v>-66.5088</v>
      </c>
    </row>
    <row r="1877">
      <c r="A1877" s="8" t="str">
        <f>IFERROR(__xludf.DUMMYFUNCTION("""COMPUTED_VALUE"""),"US-2015-107944")</f>
        <v>US-2015-107944</v>
      </c>
      <c r="B1877" s="9">
        <f>IFERROR(__xludf.DUMMYFUNCTION("""COMPUTED_VALUE"""),42086.0)</f>
        <v>42086</v>
      </c>
      <c r="C1877" s="8" t="str">
        <f>IFERROR(__xludf.DUMMYFUNCTION("""COMPUTED_VALUE"""),"Alice McCarthy")</f>
        <v>Alice McCarthy</v>
      </c>
      <c r="D1877" s="8" t="str">
        <f>IFERROR(__xludf.DUMMYFUNCTION("""COMPUTED_VALUE"""),"Corporate")</f>
        <v>Corporate</v>
      </c>
      <c r="E1877" s="8" t="str">
        <f>IFERROR(__xludf.DUMMYFUNCTION("""COMPUTED_VALUE"""),"West")</f>
        <v>West</v>
      </c>
      <c r="F1877" s="10">
        <f>IFERROR(__xludf.DUMMYFUNCTION("""COMPUTED_VALUE"""),192.72)</f>
        <v>192.72</v>
      </c>
      <c r="G1877" s="11">
        <f>IFERROR(__xludf.DUMMYFUNCTION("""COMPUTED_VALUE"""),11.0)</f>
        <v>11</v>
      </c>
      <c r="H1877" s="11">
        <f>IFERROR(__xludf.DUMMYFUNCTION("""COMPUTED_VALUE"""),92.5056)</f>
        <v>92.5056</v>
      </c>
    </row>
    <row r="1878">
      <c r="A1878" s="8" t="str">
        <f>IFERROR(__xludf.DUMMYFUNCTION("""COMPUTED_VALUE"""),"US-2015-108966")</f>
        <v>US-2015-108966</v>
      </c>
      <c r="B1878" s="9">
        <f>IFERROR(__xludf.DUMMYFUNCTION("""COMPUTED_VALUE"""),42288.0)</f>
        <v>42288</v>
      </c>
      <c r="C1878" s="8" t="str">
        <f>IFERROR(__xludf.DUMMYFUNCTION("""COMPUTED_VALUE"""),"Sean O'Donnell")</f>
        <v>Sean O'Donnell</v>
      </c>
      <c r="D1878" s="8" t="str">
        <f>IFERROR(__xludf.DUMMYFUNCTION("""COMPUTED_VALUE"""),"Consumer")</f>
        <v>Consumer</v>
      </c>
      <c r="E1878" s="8" t="str">
        <f>IFERROR(__xludf.DUMMYFUNCTION("""COMPUTED_VALUE"""),"South")</f>
        <v>South</v>
      </c>
      <c r="F1878" s="10">
        <f>IFERROR(__xludf.DUMMYFUNCTION("""COMPUTED_VALUE"""),957.5775)</f>
        <v>957.5775</v>
      </c>
      <c r="G1878" s="11">
        <f>IFERROR(__xludf.DUMMYFUNCTION("""COMPUTED_VALUE"""),5.0)</f>
        <v>5</v>
      </c>
      <c r="H1878" s="11">
        <f>IFERROR(__xludf.DUMMYFUNCTION("""COMPUTED_VALUE"""),-383.031)</f>
        <v>-383.031</v>
      </c>
    </row>
    <row r="1879">
      <c r="A1879" s="8" t="str">
        <f>IFERROR(__xludf.DUMMYFUNCTION("""COMPUTED_VALUE"""),"US-2015-109015")</f>
        <v>US-2015-109015</v>
      </c>
      <c r="B1879" s="9">
        <f>IFERROR(__xludf.DUMMYFUNCTION("""COMPUTED_VALUE"""),42253.0)</f>
        <v>42253</v>
      </c>
      <c r="C1879" s="8" t="str">
        <f>IFERROR(__xludf.DUMMYFUNCTION("""COMPUTED_VALUE"""),"Brendan Sweed")</f>
        <v>Brendan Sweed</v>
      </c>
      <c r="D1879" s="8" t="str">
        <f>IFERROR(__xludf.DUMMYFUNCTION("""COMPUTED_VALUE"""),"Corporate")</f>
        <v>Corporate</v>
      </c>
      <c r="E1879" s="8" t="str">
        <f>IFERROR(__xludf.DUMMYFUNCTION("""COMPUTED_VALUE"""),"East")</f>
        <v>East</v>
      </c>
      <c r="F1879" s="10">
        <f>IFERROR(__xludf.DUMMYFUNCTION("""COMPUTED_VALUE"""),8.39)</f>
        <v>8.39</v>
      </c>
      <c r="G1879" s="11">
        <f>IFERROR(__xludf.DUMMYFUNCTION("""COMPUTED_VALUE"""),1.0)</f>
        <v>1</v>
      </c>
      <c r="H1879" s="11">
        <f>IFERROR(__xludf.DUMMYFUNCTION("""COMPUTED_VALUE"""),2.0975)</f>
        <v>2.0975</v>
      </c>
    </row>
    <row r="1880">
      <c r="A1880" s="8" t="str">
        <f>IFERROR(__xludf.DUMMYFUNCTION("""COMPUTED_VALUE"""),"US-2015-110163")</f>
        <v>US-2015-110163</v>
      </c>
      <c r="B1880" s="9">
        <f>IFERROR(__xludf.DUMMYFUNCTION("""COMPUTED_VALUE"""),42309.0)</f>
        <v>42309</v>
      </c>
      <c r="C1880" s="8" t="str">
        <f>IFERROR(__xludf.DUMMYFUNCTION("""COMPUTED_VALUE"""),"Guy Armstrong")</f>
        <v>Guy Armstrong</v>
      </c>
      <c r="D1880" s="8" t="str">
        <f>IFERROR(__xludf.DUMMYFUNCTION("""COMPUTED_VALUE"""),"Consumer")</f>
        <v>Consumer</v>
      </c>
      <c r="E1880" s="8" t="str">
        <f>IFERROR(__xludf.DUMMYFUNCTION("""COMPUTED_VALUE"""),"West")</f>
        <v>West</v>
      </c>
      <c r="F1880" s="10">
        <f>IFERROR(__xludf.DUMMYFUNCTION("""COMPUTED_VALUE"""),7.88)</f>
        <v>7.88</v>
      </c>
      <c r="G1880" s="11">
        <f>IFERROR(__xludf.DUMMYFUNCTION("""COMPUTED_VALUE"""),1.0)</f>
        <v>1</v>
      </c>
      <c r="H1880" s="11">
        <f>IFERROR(__xludf.DUMMYFUNCTION("""COMPUTED_VALUE"""),1.773)</f>
        <v>1.773</v>
      </c>
    </row>
    <row r="1881">
      <c r="A1881" s="8" t="str">
        <f>IFERROR(__xludf.DUMMYFUNCTION("""COMPUTED_VALUE"""),"US-2015-110261")</f>
        <v>US-2015-110261</v>
      </c>
      <c r="B1881" s="9">
        <f>IFERROR(__xludf.DUMMYFUNCTION("""COMPUTED_VALUE"""),42357.0)</f>
        <v>42357</v>
      </c>
      <c r="C1881" s="8" t="str">
        <f>IFERROR(__xludf.DUMMYFUNCTION("""COMPUTED_VALUE"""),"Patrick Ryan")</f>
        <v>Patrick Ryan</v>
      </c>
      <c r="D1881" s="8" t="str">
        <f>IFERROR(__xludf.DUMMYFUNCTION("""COMPUTED_VALUE"""),"Consumer")</f>
        <v>Consumer</v>
      </c>
      <c r="E1881" s="8" t="str">
        <f>IFERROR(__xludf.DUMMYFUNCTION("""COMPUTED_VALUE"""),"Central")</f>
        <v>Central</v>
      </c>
      <c r="F1881" s="10">
        <f>IFERROR(__xludf.DUMMYFUNCTION("""COMPUTED_VALUE"""),158.376)</f>
        <v>158.376</v>
      </c>
      <c r="G1881" s="11">
        <f>IFERROR(__xludf.DUMMYFUNCTION("""COMPUTED_VALUE"""),3.0)</f>
        <v>3</v>
      </c>
      <c r="H1881" s="11">
        <f>IFERROR(__xludf.DUMMYFUNCTION("""COMPUTED_VALUE"""),13.8579)</f>
        <v>13.8579</v>
      </c>
    </row>
    <row r="1882">
      <c r="A1882" s="8" t="str">
        <f>IFERROR(__xludf.DUMMYFUNCTION("""COMPUTED_VALUE"""),"US-2015-110569")</f>
        <v>US-2015-110569</v>
      </c>
      <c r="B1882" s="9">
        <f>IFERROR(__xludf.DUMMYFUNCTION("""COMPUTED_VALUE"""),42147.0)</f>
        <v>42147</v>
      </c>
      <c r="C1882" s="8" t="str">
        <f>IFERROR(__xludf.DUMMYFUNCTION("""COMPUTED_VALUE"""),"Emily Burns")</f>
        <v>Emily Burns</v>
      </c>
      <c r="D1882" s="8" t="str">
        <f>IFERROR(__xludf.DUMMYFUNCTION("""COMPUTED_VALUE"""),"Consumer")</f>
        <v>Consumer</v>
      </c>
      <c r="E1882" s="8" t="str">
        <f>IFERROR(__xludf.DUMMYFUNCTION("""COMPUTED_VALUE"""),"West")</f>
        <v>West</v>
      </c>
      <c r="F1882" s="10">
        <f>IFERROR(__xludf.DUMMYFUNCTION("""COMPUTED_VALUE"""),19.194)</f>
        <v>19.194</v>
      </c>
      <c r="G1882" s="11">
        <f>IFERROR(__xludf.DUMMYFUNCTION("""COMPUTED_VALUE"""),7.0)</f>
        <v>7</v>
      </c>
      <c r="H1882" s="11">
        <f>IFERROR(__xludf.DUMMYFUNCTION("""COMPUTED_VALUE"""),-12.796)</f>
        <v>-12.796</v>
      </c>
    </row>
    <row r="1883">
      <c r="A1883" s="8" t="str">
        <f>IFERROR(__xludf.DUMMYFUNCTION("""COMPUTED_VALUE"""),"US-2015-111927")</f>
        <v>US-2015-111927</v>
      </c>
      <c r="B1883" s="9">
        <f>IFERROR(__xludf.DUMMYFUNCTION("""COMPUTED_VALUE"""),42322.0)</f>
        <v>42322</v>
      </c>
      <c r="C1883" s="8" t="str">
        <f>IFERROR(__xludf.DUMMYFUNCTION("""COMPUTED_VALUE"""),"Lycoris Saunders")</f>
        <v>Lycoris Saunders</v>
      </c>
      <c r="D1883" s="8" t="str">
        <f>IFERROR(__xludf.DUMMYFUNCTION("""COMPUTED_VALUE"""),"Consumer")</f>
        <v>Consumer</v>
      </c>
      <c r="E1883" s="8" t="str">
        <f>IFERROR(__xludf.DUMMYFUNCTION("""COMPUTED_VALUE"""),"East")</f>
        <v>East</v>
      </c>
      <c r="F1883" s="10">
        <f>IFERROR(__xludf.DUMMYFUNCTION("""COMPUTED_VALUE"""),76.14)</f>
        <v>76.14</v>
      </c>
      <c r="G1883" s="11">
        <f>IFERROR(__xludf.DUMMYFUNCTION("""COMPUTED_VALUE"""),3.0)</f>
        <v>3</v>
      </c>
      <c r="H1883" s="11">
        <f>IFERROR(__xludf.DUMMYFUNCTION("""COMPUTED_VALUE"""),26.649)</f>
        <v>26.649</v>
      </c>
    </row>
    <row r="1884">
      <c r="A1884" s="8" t="str">
        <f>IFERROR(__xludf.DUMMYFUNCTION("""COMPUTED_VALUE"""),"US-2015-112508")</f>
        <v>US-2015-112508</v>
      </c>
      <c r="B1884" s="9">
        <f>IFERROR(__xludf.DUMMYFUNCTION("""COMPUTED_VALUE"""),42087.0)</f>
        <v>42087</v>
      </c>
      <c r="C1884" s="8" t="str">
        <f>IFERROR(__xludf.DUMMYFUNCTION("""COMPUTED_VALUE"""),"Ben Peterman")</f>
        <v>Ben Peterman</v>
      </c>
      <c r="D1884" s="8" t="str">
        <f>IFERROR(__xludf.DUMMYFUNCTION("""COMPUTED_VALUE"""),"Corporate")</f>
        <v>Corporate</v>
      </c>
      <c r="E1884" s="8" t="str">
        <f>IFERROR(__xludf.DUMMYFUNCTION("""COMPUTED_VALUE"""),"South")</f>
        <v>South</v>
      </c>
      <c r="F1884" s="10">
        <f>IFERROR(__xludf.DUMMYFUNCTION("""COMPUTED_VALUE"""),6.992)</f>
        <v>6.992</v>
      </c>
      <c r="G1884" s="11">
        <f>IFERROR(__xludf.DUMMYFUNCTION("""COMPUTED_VALUE"""),2.0)</f>
        <v>2</v>
      </c>
      <c r="H1884" s="11">
        <f>IFERROR(__xludf.DUMMYFUNCTION("""COMPUTED_VALUE"""),0.5244)</f>
        <v>0.5244</v>
      </c>
    </row>
    <row r="1885">
      <c r="A1885" s="8" t="str">
        <f>IFERROR(__xludf.DUMMYFUNCTION("""COMPUTED_VALUE"""),"US-2015-113327")</f>
        <v>US-2015-113327</v>
      </c>
      <c r="B1885" s="9">
        <f>IFERROR(__xludf.DUMMYFUNCTION("""COMPUTED_VALUE"""),42150.0)</f>
        <v>42150</v>
      </c>
      <c r="C1885" s="8" t="str">
        <f>IFERROR(__xludf.DUMMYFUNCTION("""COMPUTED_VALUE"""),"Ben Ferrer")</f>
        <v>Ben Ferrer</v>
      </c>
      <c r="D1885" s="8" t="str">
        <f>IFERROR(__xludf.DUMMYFUNCTION("""COMPUTED_VALUE"""),"Home Office")</f>
        <v>Home Office</v>
      </c>
      <c r="E1885" s="8" t="str">
        <f>IFERROR(__xludf.DUMMYFUNCTION("""COMPUTED_VALUE"""),"South")</f>
        <v>South</v>
      </c>
      <c r="F1885" s="10">
        <f>IFERROR(__xludf.DUMMYFUNCTION("""COMPUTED_VALUE"""),18.272)</f>
        <v>18.272</v>
      </c>
      <c r="G1885" s="11">
        <f>IFERROR(__xludf.DUMMYFUNCTION("""COMPUTED_VALUE"""),1.0)</f>
        <v>1</v>
      </c>
      <c r="H1885" s="11">
        <f>IFERROR(__xludf.DUMMYFUNCTION("""COMPUTED_VALUE"""),5.9384)</f>
        <v>5.9384</v>
      </c>
    </row>
    <row r="1886">
      <c r="A1886" s="8" t="str">
        <f>IFERROR(__xludf.DUMMYFUNCTION("""COMPUTED_VALUE"""),"US-2015-113593")</f>
        <v>US-2015-113593</v>
      </c>
      <c r="B1886" s="9">
        <f>IFERROR(__xludf.DUMMYFUNCTION("""COMPUTED_VALUE"""),42112.0)</f>
        <v>42112</v>
      </c>
      <c r="C1886" s="8" t="str">
        <f>IFERROR(__xludf.DUMMYFUNCTION("""COMPUTED_VALUE"""),"Nathan Cano")</f>
        <v>Nathan Cano</v>
      </c>
      <c r="D1886" s="8" t="str">
        <f>IFERROR(__xludf.DUMMYFUNCTION("""COMPUTED_VALUE"""),"Consumer")</f>
        <v>Consumer</v>
      </c>
      <c r="E1886" s="8" t="str">
        <f>IFERROR(__xludf.DUMMYFUNCTION("""COMPUTED_VALUE"""),"West")</f>
        <v>West</v>
      </c>
      <c r="F1886" s="10">
        <f>IFERROR(__xludf.DUMMYFUNCTION("""COMPUTED_VALUE"""),115.44)</f>
        <v>115.44</v>
      </c>
      <c r="G1886" s="11">
        <f>IFERROR(__xludf.DUMMYFUNCTION("""COMPUTED_VALUE"""),3.0)</f>
        <v>3</v>
      </c>
      <c r="H1886" s="11">
        <f>IFERROR(__xludf.DUMMYFUNCTION("""COMPUTED_VALUE"""),30.0144)</f>
        <v>30.0144</v>
      </c>
    </row>
    <row r="1887">
      <c r="A1887" s="8" t="str">
        <f>IFERROR(__xludf.DUMMYFUNCTION("""COMPUTED_VALUE"""),"US-2015-114741")</f>
        <v>US-2015-114741</v>
      </c>
      <c r="B1887" s="9">
        <f>IFERROR(__xludf.DUMMYFUNCTION("""COMPUTED_VALUE"""),42344.0)</f>
        <v>42344</v>
      </c>
      <c r="C1887" s="8" t="str">
        <f>IFERROR(__xludf.DUMMYFUNCTION("""COMPUTED_VALUE"""),"Ivan Liston")</f>
        <v>Ivan Liston</v>
      </c>
      <c r="D1887" s="8" t="str">
        <f>IFERROR(__xludf.DUMMYFUNCTION("""COMPUTED_VALUE"""),"Consumer")</f>
        <v>Consumer</v>
      </c>
      <c r="E1887" s="8" t="str">
        <f>IFERROR(__xludf.DUMMYFUNCTION("""COMPUTED_VALUE"""),"West")</f>
        <v>West</v>
      </c>
      <c r="F1887" s="10">
        <f>IFERROR(__xludf.DUMMYFUNCTION("""COMPUTED_VALUE"""),6.48)</f>
        <v>6.48</v>
      </c>
      <c r="G1887" s="11">
        <f>IFERROR(__xludf.DUMMYFUNCTION("""COMPUTED_VALUE"""),1.0)</f>
        <v>1</v>
      </c>
      <c r="H1887" s="11">
        <f>IFERROR(__xludf.DUMMYFUNCTION("""COMPUTED_VALUE"""),3.1104)</f>
        <v>3.1104</v>
      </c>
    </row>
    <row r="1888">
      <c r="A1888" s="8" t="str">
        <f>IFERROR(__xludf.DUMMYFUNCTION("""COMPUTED_VALUE"""),"US-2015-114839")</f>
        <v>US-2015-114839</v>
      </c>
      <c r="B1888" s="9">
        <f>IFERROR(__xludf.DUMMYFUNCTION("""COMPUTED_VALUE"""),42120.0)</f>
        <v>42120</v>
      </c>
      <c r="C1888" s="8" t="str">
        <f>IFERROR(__xludf.DUMMYFUNCTION("""COMPUTED_VALUE"""),"Pierre Wener")</f>
        <v>Pierre Wener</v>
      </c>
      <c r="D1888" s="8" t="str">
        <f>IFERROR(__xludf.DUMMYFUNCTION("""COMPUTED_VALUE"""),"Consumer")</f>
        <v>Consumer</v>
      </c>
      <c r="E1888" s="8" t="str">
        <f>IFERROR(__xludf.DUMMYFUNCTION("""COMPUTED_VALUE"""),"Central")</f>
        <v>Central</v>
      </c>
      <c r="F1888" s="10">
        <f>IFERROR(__xludf.DUMMYFUNCTION("""COMPUTED_VALUE"""),408.422)</f>
        <v>408.422</v>
      </c>
      <c r="G1888" s="11">
        <f>IFERROR(__xludf.DUMMYFUNCTION("""COMPUTED_VALUE"""),2.0)</f>
        <v>2</v>
      </c>
      <c r="H1888" s="11">
        <f>IFERROR(__xludf.DUMMYFUNCTION("""COMPUTED_VALUE"""),-5.8346)</f>
        <v>-5.8346</v>
      </c>
    </row>
    <row r="1889">
      <c r="A1889" s="8" t="str">
        <f>IFERROR(__xludf.DUMMYFUNCTION("""COMPUTED_VALUE"""),"US-2015-115238")</f>
        <v>US-2015-115238</v>
      </c>
      <c r="B1889" s="9">
        <f>IFERROR(__xludf.DUMMYFUNCTION("""COMPUTED_VALUE"""),42124.0)</f>
        <v>42124</v>
      </c>
      <c r="C1889" s="8" t="str">
        <f>IFERROR(__xludf.DUMMYFUNCTION("""COMPUTED_VALUE"""),"Jane Waco")</f>
        <v>Jane Waco</v>
      </c>
      <c r="D1889" s="8" t="str">
        <f>IFERROR(__xludf.DUMMYFUNCTION("""COMPUTED_VALUE"""),"Corporate")</f>
        <v>Corporate</v>
      </c>
      <c r="E1889" s="8" t="str">
        <f>IFERROR(__xludf.DUMMYFUNCTION("""COMPUTED_VALUE"""),"East")</f>
        <v>East</v>
      </c>
      <c r="F1889" s="10">
        <f>IFERROR(__xludf.DUMMYFUNCTION("""COMPUTED_VALUE"""),31.4)</f>
        <v>31.4</v>
      </c>
      <c r="G1889" s="11">
        <f>IFERROR(__xludf.DUMMYFUNCTION("""COMPUTED_VALUE"""),5.0)</f>
        <v>5</v>
      </c>
      <c r="H1889" s="11">
        <f>IFERROR(__xludf.DUMMYFUNCTION("""COMPUTED_VALUE"""),13.188)</f>
        <v>13.188</v>
      </c>
    </row>
    <row r="1890">
      <c r="A1890" s="8" t="str">
        <f>IFERROR(__xludf.DUMMYFUNCTION("""COMPUTED_VALUE"""),"US-2015-115343")</f>
        <v>US-2015-115343</v>
      </c>
      <c r="B1890" s="9">
        <f>IFERROR(__xludf.DUMMYFUNCTION("""COMPUTED_VALUE"""),42269.0)</f>
        <v>42269</v>
      </c>
      <c r="C1890" s="8" t="str">
        <f>IFERROR(__xludf.DUMMYFUNCTION("""COMPUTED_VALUE"""),"Frank Olsen")</f>
        <v>Frank Olsen</v>
      </c>
      <c r="D1890" s="8" t="str">
        <f>IFERROR(__xludf.DUMMYFUNCTION("""COMPUTED_VALUE"""),"Consumer")</f>
        <v>Consumer</v>
      </c>
      <c r="E1890" s="8" t="str">
        <f>IFERROR(__xludf.DUMMYFUNCTION("""COMPUTED_VALUE"""),"East")</f>
        <v>East</v>
      </c>
      <c r="F1890" s="10">
        <f>IFERROR(__xludf.DUMMYFUNCTION("""COMPUTED_VALUE"""),55.6)</f>
        <v>55.6</v>
      </c>
      <c r="G1890" s="11">
        <f>IFERROR(__xludf.DUMMYFUNCTION("""COMPUTED_VALUE"""),5.0)</f>
        <v>5</v>
      </c>
      <c r="H1890" s="11">
        <f>IFERROR(__xludf.DUMMYFUNCTION("""COMPUTED_VALUE"""),6.255)</f>
        <v>6.255</v>
      </c>
    </row>
    <row r="1891">
      <c r="A1891" s="8" t="str">
        <f>IFERROR(__xludf.DUMMYFUNCTION("""COMPUTED_VALUE"""),"US-2015-116981")</f>
        <v>US-2015-116981</v>
      </c>
      <c r="B1891" s="9">
        <f>IFERROR(__xludf.DUMMYFUNCTION("""COMPUTED_VALUE"""),42089.0)</f>
        <v>42089</v>
      </c>
      <c r="C1891" s="8" t="str">
        <f>IFERROR(__xludf.DUMMYFUNCTION("""COMPUTED_VALUE"""),"Suzanne McNair")</f>
        <v>Suzanne McNair</v>
      </c>
      <c r="D1891" s="8" t="str">
        <f>IFERROR(__xludf.DUMMYFUNCTION("""COMPUTED_VALUE"""),"Corporate")</f>
        <v>Corporate</v>
      </c>
      <c r="E1891" s="8" t="str">
        <f>IFERROR(__xludf.DUMMYFUNCTION("""COMPUTED_VALUE"""),"East")</f>
        <v>East</v>
      </c>
      <c r="F1891" s="10">
        <f>IFERROR(__xludf.DUMMYFUNCTION("""COMPUTED_VALUE"""),1085.42)</f>
        <v>1085.42</v>
      </c>
      <c r="G1891" s="11">
        <f>IFERROR(__xludf.DUMMYFUNCTION("""COMPUTED_VALUE"""),7.0)</f>
        <v>7</v>
      </c>
      <c r="H1891" s="11">
        <f>IFERROR(__xludf.DUMMYFUNCTION("""COMPUTED_VALUE"""),282.2092)</f>
        <v>282.2092</v>
      </c>
    </row>
    <row r="1892">
      <c r="A1892" s="8" t="str">
        <f>IFERROR(__xludf.DUMMYFUNCTION("""COMPUTED_VALUE"""),"US-2015-117184")</f>
        <v>US-2015-117184</v>
      </c>
      <c r="B1892" s="9">
        <f>IFERROR(__xludf.DUMMYFUNCTION("""COMPUTED_VALUE"""),42141.0)</f>
        <v>42141</v>
      </c>
      <c r="C1892" s="8" t="str">
        <f>IFERROR(__xludf.DUMMYFUNCTION("""COMPUTED_VALUE"""),"Odella Nelson")</f>
        <v>Odella Nelson</v>
      </c>
      <c r="D1892" s="8" t="str">
        <f>IFERROR(__xludf.DUMMYFUNCTION("""COMPUTED_VALUE"""),"Corporate")</f>
        <v>Corporate</v>
      </c>
      <c r="E1892" s="8" t="str">
        <f>IFERROR(__xludf.DUMMYFUNCTION("""COMPUTED_VALUE"""),"Central")</f>
        <v>Central</v>
      </c>
      <c r="F1892" s="10">
        <f>IFERROR(__xludf.DUMMYFUNCTION("""COMPUTED_VALUE"""),33.28)</f>
        <v>33.28</v>
      </c>
      <c r="G1892" s="11">
        <f>IFERROR(__xludf.DUMMYFUNCTION("""COMPUTED_VALUE"""),5.0)</f>
        <v>5</v>
      </c>
      <c r="H1892" s="11">
        <f>IFERROR(__xludf.DUMMYFUNCTION("""COMPUTED_VALUE"""),-49.92)</f>
        <v>-49.92</v>
      </c>
    </row>
    <row r="1893">
      <c r="A1893" s="8" t="str">
        <f>IFERROR(__xludf.DUMMYFUNCTION("""COMPUTED_VALUE"""),"US-2015-117492")</f>
        <v>US-2015-117492</v>
      </c>
      <c r="B1893" s="9">
        <f>IFERROR(__xludf.DUMMYFUNCTION("""COMPUTED_VALUE"""),42223.0)</f>
        <v>42223</v>
      </c>
      <c r="C1893" s="8" t="str">
        <f>IFERROR(__xludf.DUMMYFUNCTION("""COMPUTED_VALUE"""),"Noel Staavos")</f>
        <v>Noel Staavos</v>
      </c>
      <c r="D1893" s="8" t="str">
        <f>IFERROR(__xludf.DUMMYFUNCTION("""COMPUTED_VALUE"""),"Corporate")</f>
        <v>Corporate</v>
      </c>
      <c r="E1893" s="8" t="str">
        <f>IFERROR(__xludf.DUMMYFUNCTION("""COMPUTED_VALUE"""),"East")</f>
        <v>East</v>
      </c>
      <c r="F1893" s="10">
        <f>IFERROR(__xludf.DUMMYFUNCTION("""COMPUTED_VALUE"""),77.58)</f>
        <v>77.58</v>
      </c>
      <c r="G1893" s="11">
        <f>IFERROR(__xludf.DUMMYFUNCTION("""COMPUTED_VALUE"""),9.0)</f>
        <v>9</v>
      </c>
      <c r="H1893" s="11">
        <f>IFERROR(__xludf.DUMMYFUNCTION("""COMPUTED_VALUE"""),20.1708)</f>
        <v>20.1708</v>
      </c>
    </row>
    <row r="1894">
      <c r="A1894" s="8" t="str">
        <f>IFERROR(__xludf.DUMMYFUNCTION("""COMPUTED_VALUE"""),"US-2015-118766")</f>
        <v>US-2015-118766</v>
      </c>
      <c r="B1894" s="9">
        <f>IFERROR(__xludf.DUMMYFUNCTION("""COMPUTED_VALUE"""),42292.0)</f>
        <v>42292</v>
      </c>
      <c r="C1894" s="8" t="str">
        <f>IFERROR(__xludf.DUMMYFUNCTION("""COMPUTED_VALUE"""),"Lindsay Shagiari")</f>
        <v>Lindsay Shagiari</v>
      </c>
      <c r="D1894" s="8" t="str">
        <f>IFERROR(__xludf.DUMMYFUNCTION("""COMPUTED_VALUE"""),"Home Office")</f>
        <v>Home Office</v>
      </c>
      <c r="E1894" s="8" t="str">
        <f>IFERROR(__xludf.DUMMYFUNCTION("""COMPUTED_VALUE"""),"Central")</f>
        <v>Central</v>
      </c>
      <c r="F1894" s="10">
        <f>IFERROR(__xludf.DUMMYFUNCTION("""COMPUTED_VALUE"""),4.464)</f>
        <v>4.464</v>
      </c>
      <c r="G1894" s="11">
        <f>IFERROR(__xludf.DUMMYFUNCTION("""COMPUTED_VALUE"""),1.0)</f>
        <v>1</v>
      </c>
      <c r="H1894" s="11">
        <f>IFERROR(__xludf.DUMMYFUNCTION("""COMPUTED_VALUE"""),1.674)</f>
        <v>1.674</v>
      </c>
    </row>
    <row r="1895">
      <c r="A1895" s="8" t="str">
        <f>IFERROR(__xludf.DUMMYFUNCTION("""COMPUTED_VALUE"""),"US-2015-118906")</f>
        <v>US-2015-118906</v>
      </c>
      <c r="B1895" s="9">
        <f>IFERROR(__xludf.DUMMYFUNCTION("""COMPUTED_VALUE"""),42073.0)</f>
        <v>42073</v>
      </c>
      <c r="C1895" s="8" t="str">
        <f>IFERROR(__xludf.DUMMYFUNCTION("""COMPUTED_VALUE"""),"Ken Black")</f>
        <v>Ken Black</v>
      </c>
      <c r="D1895" s="8" t="str">
        <f>IFERROR(__xludf.DUMMYFUNCTION("""COMPUTED_VALUE"""),"Corporate")</f>
        <v>Corporate</v>
      </c>
      <c r="E1895" s="8" t="str">
        <f>IFERROR(__xludf.DUMMYFUNCTION("""COMPUTED_VALUE"""),"East")</f>
        <v>East</v>
      </c>
      <c r="F1895" s="10">
        <f>IFERROR(__xludf.DUMMYFUNCTION("""COMPUTED_VALUE"""),89.82)</f>
        <v>89.82</v>
      </c>
      <c r="G1895" s="11">
        <f>IFERROR(__xludf.DUMMYFUNCTION("""COMPUTED_VALUE"""),6.0)</f>
        <v>6</v>
      </c>
      <c r="H1895" s="11">
        <f>IFERROR(__xludf.DUMMYFUNCTION("""COMPUTED_VALUE"""),25.1496)</f>
        <v>25.1496</v>
      </c>
    </row>
    <row r="1896">
      <c r="A1896" s="8" t="str">
        <f>IFERROR(__xludf.DUMMYFUNCTION("""COMPUTED_VALUE"""),"US-2015-118983")</f>
        <v>US-2015-118983</v>
      </c>
      <c r="B1896" s="9">
        <f>IFERROR(__xludf.DUMMYFUNCTION("""COMPUTED_VALUE"""),42330.0)</f>
        <v>42330</v>
      </c>
      <c r="C1896" s="8" t="str">
        <f>IFERROR(__xludf.DUMMYFUNCTION("""COMPUTED_VALUE"""),"Harold Pawlan")</f>
        <v>Harold Pawlan</v>
      </c>
      <c r="D1896" s="8" t="str">
        <f>IFERROR(__xludf.DUMMYFUNCTION("""COMPUTED_VALUE"""),"Home Office")</f>
        <v>Home Office</v>
      </c>
      <c r="E1896" s="8" t="str">
        <f>IFERROR(__xludf.DUMMYFUNCTION("""COMPUTED_VALUE"""),"Central")</f>
        <v>Central</v>
      </c>
      <c r="F1896" s="10">
        <f>IFERROR(__xludf.DUMMYFUNCTION("""COMPUTED_VALUE"""),68.81)</f>
        <v>68.81</v>
      </c>
      <c r="G1896" s="11">
        <f>IFERROR(__xludf.DUMMYFUNCTION("""COMPUTED_VALUE"""),5.0)</f>
        <v>5</v>
      </c>
      <c r="H1896" s="11">
        <f>IFERROR(__xludf.DUMMYFUNCTION("""COMPUTED_VALUE"""),-123.858)</f>
        <v>-123.858</v>
      </c>
    </row>
    <row r="1897">
      <c r="A1897" s="8" t="str">
        <f>IFERROR(__xludf.DUMMYFUNCTION("""COMPUTED_VALUE"""),"US-2015-119312")</f>
        <v>US-2015-119312</v>
      </c>
      <c r="B1897" s="9">
        <f>IFERROR(__xludf.DUMMYFUNCTION("""COMPUTED_VALUE"""),42279.0)</f>
        <v>42279</v>
      </c>
      <c r="C1897" s="8" t="str">
        <f>IFERROR(__xludf.DUMMYFUNCTION("""COMPUTED_VALUE"""),"Christopher Schild")</f>
        <v>Christopher Schild</v>
      </c>
      <c r="D1897" s="8" t="str">
        <f>IFERROR(__xludf.DUMMYFUNCTION("""COMPUTED_VALUE"""),"Home Office")</f>
        <v>Home Office</v>
      </c>
      <c r="E1897" s="8" t="str">
        <f>IFERROR(__xludf.DUMMYFUNCTION("""COMPUTED_VALUE"""),"West")</f>
        <v>West</v>
      </c>
      <c r="F1897" s="10">
        <f>IFERROR(__xludf.DUMMYFUNCTION("""COMPUTED_VALUE"""),270.34)</f>
        <v>270.34</v>
      </c>
      <c r="G1897" s="11">
        <f>IFERROR(__xludf.DUMMYFUNCTION("""COMPUTED_VALUE"""),14.0)</f>
        <v>14</v>
      </c>
      <c r="H1897" s="11">
        <f>IFERROR(__xludf.DUMMYFUNCTION("""COMPUTED_VALUE"""),75.6952)</f>
        <v>75.6952</v>
      </c>
    </row>
    <row r="1898">
      <c r="A1898" s="8" t="str">
        <f>IFERROR(__xludf.DUMMYFUNCTION("""COMPUTED_VALUE"""),"US-2015-120161")</f>
        <v>US-2015-120161</v>
      </c>
      <c r="B1898" s="9">
        <f>IFERROR(__xludf.DUMMYFUNCTION("""COMPUTED_VALUE"""),42356.0)</f>
        <v>42356</v>
      </c>
      <c r="C1898" s="8" t="str">
        <f>IFERROR(__xludf.DUMMYFUNCTION("""COMPUTED_VALUE"""),"Liz MacKendrick")</f>
        <v>Liz MacKendrick</v>
      </c>
      <c r="D1898" s="8" t="str">
        <f>IFERROR(__xludf.DUMMYFUNCTION("""COMPUTED_VALUE"""),"Consumer")</f>
        <v>Consumer</v>
      </c>
      <c r="E1898" s="8" t="str">
        <f>IFERROR(__xludf.DUMMYFUNCTION("""COMPUTED_VALUE"""),"East")</f>
        <v>East</v>
      </c>
      <c r="F1898" s="10">
        <f>IFERROR(__xludf.DUMMYFUNCTION("""COMPUTED_VALUE"""),646.776)</f>
        <v>646.776</v>
      </c>
      <c r="G1898" s="11">
        <f>IFERROR(__xludf.DUMMYFUNCTION("""COMPUTED_VALUE"""),9.0)</f>
        <v>9</v>
      </c>
      <c r="H1898" s="11">
        <f>IFERROR(__xludf.DUMMYFUNCTION("""COMPUTED_VALUE"""),-145.5246)</f>
        <v>-145.5246</v>
      </c>
    </row>
    <row r="1899">
      <c r="A1899" s="8" t="str">
        <f>IFERROR(__xludf.DUMMYFUNCTION("""COMPUTED_VALUE"""),"US-2015-120502")</f>
        <v>US-2015-120502</v>
      </c>
      <c r="B1899" s="9">
        <f>IFERROR(__xludf.DUMMYFUNCTION("""COMPUTED_VALUE"""),42107.0)</f>
        <v>42107</v>
      </c>
      <c r="C1899" s="8" t="str">
        <f>IFERROR(__xludf.DUMMYFUNCTION("""COMPUTED_VALUE"""),"Bill Tyler")</f>
        <v>Bill Tyler</v>
      </c>
      <c r="D1899" s="8" t="str">
        <f>IFERROR(__xludf.DUMMYFUNCTION("""COMPUTED_VALUE"""),"Corporate")</f>
        <v>Corporate</v>
      </c>
      <c r="E1899" s="8" t="str">
        <f>IFERROR(__xludf.DUMMYFUNCTION("""COMPUTED_VALUE"""),"West")</f>
        <v>West</v>
      </c>
      <c r="F1899" s="10">
        <f>IFERROR(__xludf.DUMMYFUNCTION("""COMPUTED_VALUE"""),37.68)</f>
        <v>37.68</v>
      </c>
      <c r="G1899" s="11">
        <f>IFERROR(__xludf.DUMMYFUNCTION("""COMPUTED_VALUE"""),2.0)</f>
        <v>2</v>
      </c>
      <c r="H1899" s="11">
        <f>IFERROR(__xludf.DUMMYFUNCTION("""COMPUTED_VALUE"""),15.8256)</f>
        <v>15.8256</v>
      </c>
    </row>
    <row r="1900">
      <c r="A1900" s="8" t="str">
        <f>IFERROR(__xludf.DUMMYFUNCTION("""COMPUTED_VALUE"""),"US-2015-120572")</f>
        <v>US-2015-120572</v>
      </c>
      <c r="B1900" s="9">
        <f>IFERROR(__xludf.DUMMYFUNCTION("""COMPUTED_VALUE"""),42349.0)</f>
        <v>42349</v>
      </c>
      <c r="C1900" s="8" t="str">
        <f>IFERROR(__xludf.DUMMYFUNCTION("""COMPUTED_VALUE"""),"Gary Hwang")</f>
        <v>Gary Hwang</v>
      </c>
      <c r="D1900" s="8" t="str">
        <f>IFERROR(__xludf.DUMMYFUNCTION("""COMPUTED_VALUE"""),"Consumer")</f>
        <v>Consumer</v>
      </c>
      <c r="E1900" s="8" t="str">
        <f>IFERROR(__xludf.DUMMYFUNCTION("""COMPUTED_VALUE"""),"South")</f>
        <v>South</v>
      </c>
      <c r="F1900" s="10">
        <f>IFERROR(__xludf.DUMMYFUNCTION("""COMPUTED_VALUE"""),12.828)</f>
        <v>12.828</v>
      </c>
      <c r="G1900" s="11">
        <f>IFERROR(__xludf.DUMMYFUNCTION("""COMPUTED_VALUE"""),2.0)</f>
        <v>2</v>
      </c>
      <c r="H1900" s="11">
        <f>IFERROR(__xludf.DUMMYFUNCTION("""COMPUTED_VALUE"""),-8.9796)</f>
        <v>-8.9796</v>
      </c>
    </row>
    <row r="1901">
      <c r="A1901" s="8" t="str">
        <f>IFERROR(__xludf.DUMMYFUNCTION("""COMPUTED_VALUE"""),"US-2015-120712")</f>
        <v>US-2015-120712</v>
      </c>
      <c r="B1901" s="9">
        <f>IFERROR(__xludf.DUMMYFUNCTION("""COMPUTED_VALUE"""),42358.0)</f>
        <v>42358</v>
      </c>
      <c r="C1901" s="8" t="str">
        <f>IFERROR(__xludf.DUMMYFUNCTION("""COMPUTED_VALUE"""),"Chad Sievert")</f>
        <v>Chad Sievert</v>
      </c>
      <c r="D1901" s="8" t="str">
        <f>IFERROR(__xludf.DUMMYFUNCTION("""COMPUTED_VALUE"""),"Consumer")</f>
        <v>Consumer</v>
      </c>
      <c r="E1901" s="8" t="str">
        <f>IFERROR(__xludf.DUMMYFUNCTION("""COMPUTED_VALUE"""),"Central")</f>
        <v>Central</v>
      </c>
      <c r="F1901" s="10">
        <f>IFERROR(__xludf.DUMMYFUNCTION("""COMPUTED_VALUE"""),88.8)</f>
        <v>88.8</v>
      </c>
      <c r="G1901" s="11">
        <f>IFERROR(__xludf.DUMMYFUNCTION("""COMPUTED_VALUE"""),4.0)</f>
        <v>4</v>
      </c>
      <c r="H1901" s="11">
        <f>IFERROR(__xludf.DUMMYFUNCTION("""COMPUTED_VALUE"""),-2.22)</f>
        <v>-2.22</v>
      </c>
    </row>
    <row r="1902">
      <c r="A1902" s="8" t="str">
        <f>IFERROR(__xludf.DUMMYFUNCTION("""COMPUTED_VALUE"""),"US-2015-120957")</f>
        <v>US-2015-120957</v>
      </c>
      <c r="B1902" s="9">
        <f>IFERROR(__xludf.DUMMYFUNCTION("""COMPUTED_VALUE"""),42345.0)</f>
        <v>42345</v>
      </c>
      <c r="C1902" s="8" t="str">
        <f>IFERROR(__xludf.DUMMYFUNCTION("""COMPUTED_VALUE"""),"Kristen Hastings")</f>
        <v>Kristen Hastings</v>
      </c>
      <c r="D1902" s="8" t="str">
        <f>IFERROR(__xludf.DUMMYFUNCTION("""COMPUTED_VALUE"""),"Corporate")</f>
        <v>Corporate</v>
      </c>
      <c r="E1902" s="8" t="str">
        <f>IFERROR(__xludf.DUMMYFUNCTION("""COMPUTED_VALUE"""),"West")</f>
        <v>West</v>
      </c>
      <c r="F1902" s="10">
        <f>IFERROR(__xludf.DUMMYFUNCTION("""COMPUTED_VALUE"""),12.96)</f>
        <v>12.96</v>
      </c>
      <c r="G1902" s="11">
        <f>IFERROR(__xludf.DUMMYFUNCTION("""COMPUTED_VALUE"""),2.0)</f>
        <v>2</v>
      </c>
      <c r="H1902" s="11">
        <f>IFERROR(__xludf.DUMMYFUNCTION("""COMPUTED_VALUE"""),6.2208)</f>
        <v>6.2208</v>
      </c>
    </row>
    <row r="1903">
      <c r="A1903" s="8" t="str">
        <f>IFERROR(__xludf.DUMMYFUNCTION("""COMPUTED_VALUE"""),"US-2015-122140")</f>
        <v>US-2015-122140</v>
      </c>
      <c r="B1903" s="9">
        <f>IFERROR(__xludf.DUMMYFUNCTION("""COMPUTED_VALUE"""),42096.0)</f>
        <v>42096</v>
      </c>
      <c r="C1903" s="8" t="str">
        <f>IFERROR(__xludf.DUMMYFUNCTION("""COMPUTED_VALUE"""),"Michael Oakman")</f>
        <v>Michael Oakman</v>
      </c>
      <c r="D1903" s="8" t="str">
        <f>IFERROR(__xludf.DUMMYFUNCTION("""COMPUTED_VALUE"""),"Consumer")</f>
        <v>Consumer</v>
      </c>
      <c r="E1903" s="8" t="str">
        <f>IFERROR(__xludf.DUMMYFUNCTION("""COMPUTED_VALUE"""),"Central")</f>
        <v>Central</v>
      </c>
      <c r="F1903" s="10">
        <f>IFERROR(__xludf.DUMMYFUNCTION("""COMPUTED_VALUE"""),32.192)</f>
        <v>32.192</v>
      </c>
      <c r="G1903" s="11">
        <f>IFERROR(__xludf.DUMMYFUNCTION("""COMPUTED_VALUE"""),2.0)</f>
        <v>2</v>
      </c>
      <c r="H1903" s="11">
        <f>IFERROR(__xludf.DUMMYFUNCTION("""COMPUTED_VALUE"""),-80.48)</f>
        <v>-80.48</v>
      </c>
    </row>
    <row r="1904">
      <c r="A1904" s="8" t="str">
        <f>IFERROR(__xludf.DUMMYFUNCTION("""COMPUTED_VALUE"""),"US-2015-122784")</f>
        <v>US-2015-122784</v>
      </c>
      <c r="B1904" s="9">
        <f>IFERROR(__xludf.DUMMYFUNCTION("""COMPUTED_VALUE"""),42205.0)</f>
        <v>42205</v>
      </c>
      <c r="C1904" s="8" t="str">
        <f>IFERROR(__xludf.DUMMYFUNCTION("""COMPUTED_VALUE"""),"Russell Applegate")</f>
        <v>Russell Applegate</v>
      </c>
      <c r="D1904" s="8" t="str">
        <f>IFERROR(__xludf.DUMMYFUNCTION("""COMPUTED_VALUE"""),"Consumer")</f>
        <v>Consumer</v>
      </c>
      <c r="E1904" s="8" t="str">
        <f>IFERROR(__xludf.DUMMYFUNCTION("""COMPUTED_VALUE"""),"Central")</f>
        <v>Central</v>
      </c>
      <c r="F1904" s="10">
        <f>IFERROR(__xludf.DUMMYFUNCTION("""COMPUTED_VALUE"""),2.88)</f>
        <v>2.88</v>
      </c>
      <c r="G1904" s="11">
        <f>IFERROR(__xludf.DUMMYFUNCTION("""COMPUTED_VALUE"""),5.0)</f>
        <v>5</v>
      </c>
      <c r="H1904" s="11">
        <f>IFERROR(__xludf.DUMMYFUNCTION("""COMPUTED_VALUE"""),-4.464)</f>
        <v>-4.464</v>
      </c>
    </row>
    <row r="1905">
      <c r="A1905" s="8" t="str">
        <f>IFERROR(__xludf.DUMMYFUNCTION("""COMPUTED_VALUE"""),"US-2015-122910")</f>
        <v>US-2015-122910</v>
      </c>
      <c r="B1905" s="9">
        <f>IFERROR(__xludf.DUMMYFUNCTION("""COMPUTED_VALUE"""),42136.0)</f>
        <v>42136</v>
      </c>
      <c r="C1905" s="8" t="str">
        <f>IFERROR(__xludf.DUMMYFUNCTION("""COMPUTED_VALUE"""),"Larry Tron")</f>
        <v>Larry Tron</v>
      </c>
      <c r="D1905" s="8" t="str">
        <f>IFERROR(__xludf.DUMMYFUNCTION("""COMPUTED_VALUE"""),"Consumer")</f>
        <v>Consumer</v>
      </c>
      <c r="E1905" s="8" t="str">
        <f>IFERROR(__xludf.DUMMYFUNCTION("""COMPUTED_VALUE"""),"West")</f>
        <v>West</v>
      </c>
      <c r="F1905" s="10">
        <f>IFERROR(__xludf.DUMMYFUNCTION("""COMPUTED_VALUE"""),201.584)</f>
        <v>201.584</v>
      </c>
      <c r="G1905" s="11">
        <f>IFERROR(__xludf.DUMMYFUNCTION("""COMPUTED_VALUE"""),2.0)</f>
        <v>2</v>
      </c>
      <c r="H1905" s="11">
        <f>IFERROR(__xludf.DUMMYFUNCTION("""COMPUTED_VALUE"""),20.1584)</f>
        <v>20.1584</v>
      </c>
    </row>
    <row r="1906">
      <c r="A1906" s="8" t="str">
        <f>IFERROR(__xludf.DUMMYFUNCTION("""COMPUTED_VALUE"""),"US-2015-123218")</f>
        <v>US-2015-123218</v>
      </c>
      <c r="B1906" s="9">
        <f>IFERROR(__xludf.DUMMYFUNCTION("""COMPUTED_VALUE"""),42358.0)</f>
        <v>42358</v>
      </c>
      <c r="C1906" s="8" t="str">
        <f>IFERROR(__xludf.DUMMYFUNCTION("""COMPUTED_VALUE"""),"Katherine Ducich")</f>
        <v>Katherine Ducich</v>
      </c>
      <c r="D1906" s="8" t="str">
        <f>IFERROR(__xludf.DUMMYFUNCTION("""COMPUTED_VALUE"""),"Consumer")</f>
        <v>Consumer</v>
      </c>
      <c r="E1906" s="8" t="str">
        <f>IFERROR(__xludf.DUMMYFUNCTION("""COMPUTED_VALUE"""),"Central")</f>
        <v>Central</v>
      </c>
      <c r="F1906" s="10">
        <f>IFERROR(__xludf.DUMMYFUNCTION("""COMPUTED_VALUE"""),159.984)</f>
        <v>159.984</v>
      </c>
      <c r="G1906" s="11">
        <f>IFERROR(__xludf.DUMMYFUNCTION("""COMPUTED_VALUE"""),2.0)</f>
        <v>2</v>
      </c>
      <c r="H1906" s="11">
        <f>IFERROR(__xludf.DUMMYFUNCTION("""COMPUTED_VALUE"""),11.9988)</f>
        <v>11.9988</v>
      </c>
    </row>
    <row r="1907">
      <c r="A1907" s="8" t="str">
        <f>IFERROR(__xludf.DUMMYFUNCTION("""COMPUTED_VALUE"""),"US-2015-123918")</f>
        <v>US-2015-123918</v>
      </c>
      <c r="B1907" s="9">
        <f>IFERROR(__xludf.DUMMYFUNCTION("""COMPUTED_VALUE"""),42292.0)</f>
        <v>42292</v>
      </c>
      <c r="C1907" s="8" t="str">
        <f>IFERROR(__xludf.DUMMYFUNCTION("""COMPUTED_VALUE"""),"Claire Gute")</f>
        <v>Claire Gute</v>
      </c>
      <c r="D1907" s="8" t="str">
        <f>IFERROR(__xludf.DUMMYFUNCTION("""COMPUTED_VALUE"""),"Consumer")</f>
        <v>Consumer</v>
      </c>
      <c r="E1907" s="8" t="str">
        <f>IFERROR(__xludf.DUMMYFUNCTION("""COMPUTED_VALUE"""),"Central")</f>
        <v>Central</v>
      </c>
      <c r="F1907" s="10">
        <f>IFERROR(__xludf.DUMMYFUNCTION("""COMPUTED_VALUE"""),131.376)</f>
        <v>131.376</v>
      </c>
      <c r="G1907" s="11">
        <f>IFERROR(__xludf.DUMMYFUNCTION("""COMPUTED_VALUE"""),6.0)</f>
        <v>6</v>
      </c>
      <c r="H1907" s="11">
        <f>IFERROR(__xludf.DUMMYFUNCTION("""COMPUTED_VALUE"""),-95.2476)</f>
        <v>-95.2476</v>
      </c>
    </row>
    <row r="1908">
      <c r="A1908" s="8" t="str">
        <f>IFERROR(__xludf.DUMMYFUNCTION("""COMPUTED_VALUE"""),"US-2015-123960")</f>
        <v>US-2015-123960</v>
      </c>
      <c r="B1908" s="9">
        <f>IFERROR(__xludf.DUMMYFUNCTION("""COMPUTED_VALUE"""),42166.0)</f>
        <v>42166</v>
      </c>
      <c r="C1908" s="8" t="str">
        <f>IFERROR(__xludf.DUMMYFUNCTION("""COMPUTED_VALUE"""),"Brian Dahlen")</f>
        <v>Brian Dahlen</v>
      </c>
      <c r="D1908" s="8" t="str">
        <f>IFERROR(__xludf.DUMMYFUNCTION("""COMPUTED_VALUE"""),"Consumer")</f>
        <v>Consumer</v>
      </c>
      <c r="E1908" s="8" t="str">
        <f>IFERROR(__xludf.DUMMYFUNCTION("""COMPUTED_VALUE"""),"South")</f>
        <v>South</v>
      </c>
      <c r="F1908" s="10">
        <f>IFERROR(__xludf.DUMMYFUNCTION("""COMPUTED_VALUE"""),53.7)</f>
        <v>53.7</v>
      </c>
      <c r="G1908" s="11">
        <f>IFERROR(__xludf.DUMMYFUNCTION("""COMPUTED_VALUE"""),6.0)</f>
        <v>6</v>
      </c>
      <c r="H1908" s="11">
        <f>IFERROR(__xludf.DUMMYFUNCTION("""COMPUTED_VALUE"""),10.203)</f>
        <v>10.203</v>
      </c>
    </row>
    <row r="1909">
      <c r="A1909" s="8" t="str">
        <f>IFERROR(__xludf.DUMMYFUNCTION("""COMPUTED_VALUE"""),"US-2015-124219")</f>
        <v>US-2015-124219</v>
      </c>
      <c r="B1909" s="9">
        <f>IFERROR(__xludf.DUMMYFUNCTION("""COMPUTED_VALUE"""),42223.0)</f>
        <v>42223</v>
      </c>
      <c r="C1909" s="8" t="str">
        <f>IFERROR(__xludf.DUMMYFUNCTION("""COMPUTED_VALUE"""),"Kelly Williams")</f>
        <v>Kelly Williams</v>
      </c>
      <c r="D1909" s="8" t="str">
        <f>IFERROR(__xludf.DUMMYFUNCTION("""COMPUTED_VALUE"""),"Consumer")</f>
        <v>Consumer</v>
      </c>
      <c r="E1909" s="8" t="str">
        <f>IFERROR(__xludf.DUMMYFUNCTION("""COMPUTED_VALUE"""),"Central")</f>
        <v>Central</v>
      </c>
      <c r="F1909" s="10">
        <f>IFERROR(__xludf.DUMMYFUNCTION("""COMPUTED_VALUE"""),28.4)</f>
        <v>28.4</v>
      </c>
      <c r="G1909" s="11">
        <f>IFERROR(__xludf.DUMMYFUNCTION("""COMPUTED_VALUE"""),4.0)</f>
        <v>4</v>
      </c>
      <c r="H1909" s="11">
        <f>IFERROR(__xludf.DUMMYFUNCTION("""COMPUTED_VALUE"""),13.064)</f>
        <v>13.064</v>
      </c>
    </row>
    <row r="1910">
      <c r="A1910" s="8" t="str">
        <f>IFERROR(__xludf.DUMMYFUNCTION("""COMPUTED_VALUE"""),"US-2015-125374")</f>
        <v>US-2015-125374</v>
      </c>
      <c r="B1910" s="9">
        <f>IFERROR(__xludf.DUMMYFUNCTION("""COMPUTED_VALUE"""),42086.0)</f>
        <v>42086</v>
      </c>
      <c r="C1910" s="8" t="str">
        <f>IFERROR(__xludf.DUMMYFUNCTION("""COMPUTED_VALUE"""),"Julia Dunbar")</f>
        <v>Julia Dunbar</v>
      </c>
      <c r="D1910" s="8" t="str">
        <f>IFERROR(__xludf.DUMMYFUNCTION("""COMPUTED_VALUE"""),"Consumer")</f>
        <v>Consumer</v>
      </c>
      <c r="E1910" s="8" t="str">
        <f>IFERROR(__xludf.DUMMYFUNCTION("""COMPUTED_VALUE"""),"Central")</f>
        <v>Central</v>
      </c>
      <c r="F1910" s="10">
        <f>IFERROR(__xludf.DUMMYFUNCTION("""COMPUTED_VALUE"""),107.772)</f>
        <v>107.772</v>
      </c>
      <c r="G1910" s="11">
        <f>IFERROR(__xludf.DUMMYFUNCTION("""COMPUTED_VALUE"""),2.0)</f>
        <v>2</v>
      </c>
      <c r="H1910" s="11">
        <f>IFERROR(__xludf.DUMMYFUNCTION("""COMPUTED_VALUE"""),-29.2524)</f>
        <v>-29.2524</v>
      </c>
    </row>
    <row r="1911">
      <c r="A1911" s="8" t="str">
        <f>IFERROR(__xludf.DUMMYFUNCTION("""COMPUTED_VALUE"""),"US-2015-126214")</f>
        <v>US-2015-126214</v>
      </c>
      <c r="B1911" s="9">
        <f>IFERROR(__xludf.DUMMYFUNCTION("""COMPUTED_VALUE"""),42359.0)</f>
        <v>42359</v>
      </c>
      <c r="C1911" s="8" t="str">
        <f>IFERROR(__xludf.DUMMYFUNCTION("""COMPUTED_VALUE"""),"John Stevenson")</f>
        <v>John Stevenson</v>
      </c>
      <c r="D1911" s="8" t="str">
        <f>IFERROR(__xludf.DUMMYFUNCTION("""COMPUTED_VALUE"""),"Consumer")</f>
        <v>Consumer</v>
      </c>
      <c r="E1911" s="8" t="str">
        <f>IFERROR(__xludf.DUMMYFUNCTION("""COMPUTED_VALUE"""),"West")</f>
        <v>West</v>
      </c>
      <c r="F1911" s="10">
        <f>IFERROR(__xludf.DUMMYFUNCTION("""COMPUTED_VALUE"""),1618.37)</f>
        <v>1618.37</v>
      </c>
      <c r="G1911" s="11">
        <f>IFERROR(__xludf.DUMMYFUNCTION("""COMPUTED_VALUE"""),13.0)</f>
        <v>13</v>
      </c>
      <c r="H1911" s="11">
        <f>IFERROR(__xludf.DUMMYFUNCTION("""COMPUTED_VALUE"""),356.0414)</f>
        <v>356.0414</v>
      </c>
    </row>
    <row r="1912">
      <c r="A1912" s="8" t="str">
        <f>IFERROR(__xludf.DUMMYFUNCTION("""COMPUTED_VALUE"""),"US-2015-126235")</f>
        <v>US-2015-126235</v>
      </c>
      <c r="B1912" s="9">
        <f>IFERROR(__xludf.DUMMYFUNCTION("""COMPUTED_VALUE"""),42292.0)</f>
        <v>42292</v>
      </c>
      <c r="C1912" s="8" t="str">
        <f>IFERROR(__xludf.DUMMYFUNCTION("""COMPUTED_VALUE"""),"Guy Armstrong")</f>
        <v>Guy Armstrong</v>
      </c>
      <c r="D1912" s="8" t="str">
        <f>IFERROR(__xludf.DUMMYFUNCTION("""COMPUTED_VALUE"""),"Consumer")</f>
        <v>Consumer</v>
      </c>
      <c r="E1912" s="8" t="str">
        <f>IFERROR(__xludf.DUMMYFUNCTION("""COMPUTED_VALUE"""),"Central")</f>
        <v>Central</v>
      </c>
      <c r="F1912" s="10">
        <f>IFERROR(__xludf.DUMMYFUNCTION("""COMPUTED_VALUE"""),17.14)</f>
        <v>17.14</v>
      </c>
      <c r="G1912" s="11">
        <f>IFERROR(__xludf.DUMMYFUNCTION("""COMPUTED_VALUE"""),2.0)</f>
        <v>2</v>
      </c>
      <c r="H1912" s="11">
        <f>IFERROR(__xludf.DUMMYFUNCTION("""COMPUTED_VALUE"""),6.1704)</f>
        <v>6.1704</v>
      </c>
    </row>
    <row r="1913">
      <c r="A1913" s="8" t="str">
        <f>IFERROR(__xludf.DUMMYFUNCTION("""COMPUTED_VALUE"""),"US-2015-126753")</f>
        <v>US-2015-126753</v>
      </c>
      <c r="B1913" s="9">
        <f>IFERROR(__xludf.DUMMYFUNCTION("""COMPUTED_VALUE"""),42232.0)</f>
        <v>42232</v>
      </c>
      <c r="C1913" s="8" t="str">
        <f>IFERROR(__xludf.DUMMYFUNCTION("""COMPUTED_VALUE"""),"Sung Pak")</f>
        <v>Sung Pak</v>
      </c>
      <c r="D1913" s="8" t="str">
        <f>IFERROR(__xludf.DUMMYFUNCTION("""COMPUTED_VALUE"""),"Corporate")</f>
        <v>Corporate</v>
      </c>
      <c r="E1913" s="8" t="str">
        <f>IFERROR(__xludf.DUMMYFUNCTION("""COMPUTED_VALUE"""),"East")</f>
        <v>East</v>
      </c>
      <c r="F1913" s="10">
        <f>IFERROR(__xludf.DUMMYFUNCTION("""COMPUTED_VALUE"""),519.792)</f>
        <v>519.792</v>
      </c>
      <c r="G1913" s="11">
        <f>IFERROR(__xludf.DUMMYFUNCTION("""COMPUTED_VALUE"""),4.0)</f>
        <v>4</v>
      </c>
      <c r="H1913" s="11">
        <f>IFERROR(__xludf.DUMMYFUNCTION("""COMPUTED_VALUE"""),-112.6216)</f>
        <v>-112.6216</v>
      </c>
    </row>
    <row r="1914">
      <c r="A1914" s="8" t="str">
        <f>IFERROR(__xludf.DUMMYFUNCTION("""COMPUTED_VALUE"""),"US-2015-126977")</f>
        <v>US-2015-126977</v>
      </c>
      <c r="B1914" s="9">
        <f>IFERROR(__xludf.DUMMYFUNCTION("""COMPUTED_VALUE"""),42264.0)</f>
        <v>42264</v>
      </c>
      <c r="C1914" s="8" t="str">
        <f>IFERROR(__xludf.DUMMYFUNCTION("""COMPUTED_VALUE"""),"Peter Fuller")</f>
        <v>Peter Fuller</v>
      </c>
      <c r="D1914" s="8" t="str">
        <f>IFERROR(__xludf.DUMMYFUNCTION("""COMPUTED_VALUE"""),"Consumer")</f>
        <v>Consumer</v>
      </c>
      <c r="E1914" s="8" t="str">
        <f>IFERROR(__xludf.DUMMYFUNCTION("""COMPUTED_VALUE"""),"East")</f>
        <v>East</v>
      </c>
      <c r="F1914" s="10">
        <f>IFERROR(__xludf.DUMMYFUNCTION("""COMPUTED_VALUE"""),14.9)</f>
        <v>14.9</v>
      </c>
      <c r="G1914" s="11">
        <f>IFERROR(__xludf.DUMMYFUNCTION("""COMPUTED_VALUE"""),5.0)</f>
        <v>5</v>
      </c>
      <c r="H1914" s="11">
        <f>IFERROR(__xludf.DUMMYFUNCTION("""COMPUTED_VALUE"""),1.043)</f>
        <v>1.043</v>
      </c>
    </row>
    <row r="1915">
      <c r="A1915" s="8" t="str">
        <f>IFERROR(__xludf.DUMMYFUNCTION("""COMPUTED_VALUE"""),"US-2015-127040")</f>
        <v>US-2015-127040</v>
      </c>
      <c r="B1915" s="9">
        <f>IFERROR(__xludf.DUMMYFUNCTION("""COMPUTED_VALUE"""),42344.0)</f>
        <v>42344</v>
      </c>
      <c r="C1915" s="8" t="str">
        <f>IFERROR(__xludf.DUMMYFUNCTION("""COMPUTED_VALUE"""),"Speros Goranitis")</f>
        <v>Speros Goranitis</v>
      </c>
      <c r="D1915" s="8" t="str">
        <f>IFERROR(__xludf.DUMMYFUNCTION("""COMPUTED_VALUE"""),"Consumer")</f>
        <v>Consumer</v>
      </c>
      <c r="E1915" s="8" t="str">
        <f>IFERROR(__xludf.DUMMYFUNCTION("""COMPUTED_VALUE"""),"East")</f>
        <v>East</v>
      </c>
      <c r="F1915" s="10">
        <f>IFERROR(__xludf.DUMMYFUNCTION("""COMPUTED_VALUE"""),6.48)</f>
        <v>6.48</v>
      </c>
      <c r="G1915" s="11">
        <f>IFERROR(__xludf.DUMMYFUNCTION("""COMPUTED_VALUE"""),1.0)</f>
        <v>1</v>
      </c>
      <c r="H1915" s="11">
        <f>IFERROR(__xludf.DUMMYFUNCTION("""COMPUTED_VALUE"""),3.1104)</f>
        <v>3.1104</v>
      </c>
    </row>
    <row r="1916">
      <c r="A1916" s="8" t="str">
        <f>IFERROR(__xludf.DUMMYFUNCTION("""COMPUTED_VALUE"""),"US-2015-128090")</f>
        <v>US-2015-128090</v>
      </c>
      <c r="B1916" s="9">
        <f>IFERROR(__xludf.DUMMYFUNCTION("""COMPUTED_VALUE"""),42232.0)</f>
        <v>42232</v>
      </c>
      <c r="C1916" s="8" t="str">
        <f>IFERROR(__xludf.DUMMYFUNCTION("""COMPUTED_VALUE"""),"John Murray")</f>
        <v>John Murray</v>
      </c>
      <c r="D1916" s="8" t="str">
        <f>IFERROR(__xludf.DUMMYFUNCTION("""COMPUTED_VALUE"""),"Consumer")</f>
        <v>Consumer</v>
      </c>
      <c r="E1916" s="8" t="str">
        <f>IFERROR(__xludf.DUMMYFUNCTION("""COMPUTED_VALUE"""),"West")</f>
        <v>West</v>
      </c>
      <c r="F1916" s="10">
        <f>IFERROR(__xludf.DUMMYFUNCTION("""COMPUTED_VALUE"""),2.304)</f>
        <v>2.304</v>
      </c>
      <c r="G1916" s="11">
        <f>IFERROR(__xludf.DUMMYFUNCTION("""COMPUTED_VALUE"""),1.0)</f>
        <v>1</v>
      </c>
      <c r="H1916" s="11">
        <f>IFERROR(__xludf.DUMMYFUNCTION("""COMPUTED_VALUE"""),0.2592)</f>
        <v>0.2592</v>
      </c>
    </row>
    <row r="1917">
      <c r="A1917" s="8" t="str">
        <f>IFERROR(__xludf.DUMMYFUNCTION("""COMPUTED_VALUE"""),"US-2015-128587")</f>
        <v>US-2015-128587</v>
      </c>
      <c r="B1917" s="9">
        <f>IFERROR(__xludf.DUMMYFUNCTION("""COMPUTED_VALUE"""),42362.0)</f>
        <v>42362</v>
      </c>
      <c r="C1917" s="8" t="str">
        <f>IFERROR(__xludf.DUMMYFUNCTION("""COMPUTED_VALUE"""),"Harry Marie")</f>
        <v>Harry Marie</v>
      </c>
      <c r="D1917" s="8" t="str">
        <f>IFERROR(__xludf.DUMMYFUNCTION("""COMPUTED_VALUE"""),"Corporate")</f>
        <v>Corporate</v>
      </c>
      <c r="E1917" s="8" t="str">
        <f>IFERROR(__xludf.DUMMYFUNCTION("""COMPUTED_VALUE"""),"Central")</f>
        <v>Central</v>
      </c>
      <c r="F1917" s="10">
        <f>IFERROR(__xludf.DUMMYFUNCTION("""COMPUTED_VALUE"""),9.68)</f>
        <v>9.68</v>
      </c>
      <c r="G1917" s="11">
        <f>IFERROR(__xludf.DUMMYFUNCTION("""COMPUTED_VALUE"""),2.0)</f>
        <v>2</v>
      </c>
      <c r="H1917" s="11">
        <f>IFERROR(__xludf.DUMMYFUNCTION("""COMPUTED_VALUE"""),3.7752)</f>
        <v>3.7752</v>
      </c>
    </row>
    <row r="1918">
      <c r="A1918" s="8" t="str">
        <f>IFERROR(__xludf.DUMMYFUNCTION("""COMPUTED_VALUE"""),"US-2015-129007")</f>
        <v>US-2015-129007</v>
      </c>
      <c r="B1918" s="9">
        <f>IFERROR(__xludf.DUMMYFUNCTION("""COMPUTED_VALUE"""),42260.0)</f>
        <v>42260</v>
      </c>
      <c r="C1918" s="8" t="str">
        <f>IFERROR(__xludf.DUMMYFUNCTION("""COMPUTED_VALUE"""),"Ken Dana")</f>
        <v>Ken Dana</v>
      </c>
      <c r="D1918" s="8" t="str">
        <f>IFERROR(__xludf.DUMMYFUNCTION("""COMPUTED_VALUE"""),"Corporate")</f>
        <v>Corporate</v>
      </c>
      <c r="E1918" s="8" t="str">
        <f>IFERROR(__xludf.DUMMYFUNCTION("""COMPUTED_VALUE"""),"West")</f>
        <v>West</v>
      </c>
      <c r="F1918" s="10">
        <f>IFERROR(__xludf.DUMMYFUNCTION("""COMPUTED_VALUE"""),131.88)</f>
        <v>131.88</v>
      </c>
      <c r="G1918" s="11">
        <f>IFERROR(__xludf.DUMMYFUNCTION("""COMPUTED_VALUE"""),7.0)</f>
        <v>7</v>
      </c>
      <c r="H1918" s="11">
        <f>IFERROR(__xludf.DUMMYFUNCTION("""COMPUTED_VALUE"""),55.3896)</f>
        <v>55.3896</v>
      </c>
    </row>
    <row r="1919">
      <c r="A1919" s="8" t="str">
        <f>IFERROR(__xludf.DUMMYFUNCTION("""COMPUTED_VALUE"""),"US-2015-129553")</f>
        <v>US-2015-129553</v>
      </c>
      <c r="B1919" s="9">
        <f>IFERROR(__xludf.DUMMYFUNCTION("""COMPUTED_VALUE"""),42212.0)</f>
        <v>42212</v>
      </c>
      <c r="C1919" s="8" t="str">
        <f>IFERROR(__xludf.DUMMYFUNCTION("""COMPUTED_VALUE"""),"Patrick Gardner")</f>
        <v>Patrick Gardner</v>
      </c>
      <c r="D1919" s="8" t="str">
        <f>IFERROR(__xludf.DUMMYFUNCTION("""COMPUTED_VALUE"""),"Consumer")</f>
        <v>Consumer</v>
      </c>
      <c r="E1919" s="8" t="str">
        <f>IFERROR(__xludf.DUMMYFUNCTION("""COMPUTED_VALUE"""),"South")</f>
        <v>South</v>
      </c>
      <c r="F1919" s="10">
        <f>IFERROR(__xludf.DUMMYFUNCTION("""COMPUTED_VALUE"""),29.97)</f>
        <v>29.97</v>
      </c>
      <c r="G1919" s="11">
        <f>IFERROR(__xludf.DUMMYFUNCTION("""COMPUTED_VALUE"""),3.0)</f>
        <v>3</v>
      </c>
      <c r="H1919" s="11">
        <f>IFERROR(__xludf.DUMMYFUNCTION("""COMPUTED_VALUE"""),0.2997)</f>
        <v>0.2997</v>
      </c>
    </row>
    <row r="1920">
      <c r="A1920" s="8" t="str">
        <f>IFERROR(__xludf.DUMMYFUNCTION("""COMPUTED_VALUE"""),"US-2015-129637")</f>
        <v>US-2015-129637</v>
      </c>
      <c r="B1920" s="9">
        <f>IFERROR(__xludf.DUMMYFUNCTION("""COMPUTED_VALUE"""),42355.0)</f>
        <v>42355</v>
      </c>
      <c r="C1920" s="8" t="str">
        <f>IFERROR(__xludf.DUMMYFUNCTION("""COMPUTED_VALUE"""),"Mick Crebagga")</f>
        <v>Mick Crebagga</v>
      </c>
      <c r="D1920" s="8" t="str">
        <f>IFERROR(__xludf.DUMMYFUNCTION("""COMPUTED_VALUE"""),"Consumer")</f>
        <v>Consumer</v>
      </c>
      <c r="E1920" s="8" t="str">
        <f>IFERROR(__xludf.DUMMYFUNCTION("""COMPUTED_VALUE"""),"Central")</f>
        <v>Central</v>
      </c>
      <c r="F1920" s="10">
        <f>IFERROR(__xludf.DUMMYFUNCTION("""COMPUTED_VALUE"""),180.016)</f>
        <v>180.016</v>
      </c>
      <c r="G1920" s="11">
        <f>IFERROR(__xludf.DUMMYFUNCTION("""COMPUTED_VALUE"""),1.0)</f>
        <v>1</v>
      </c>
      <c r="H1920" s="11">
        <f>IFERROR(__xludf.DUMMYFUNCTION("""COMPUTED_VALUE"""),-15.7514)</f>
        <v>-15.7514</v>
      </c>
    </row>
    <row r="1921">
      <c r="A1921" s="8" t="str">
        <f>IFERROR(__xludf.DUMMYFUNCTION("""COMPUTED_VALUE"""),"US-2015-130491")</f>
        <v>US-2015-130491</v>
      </c>
      <c r="B1921" s="9">
        <f>IFERROR(__xludf.DUMMYFUNCTION("""COMPUTED_VALUE"""),42043.0)</f>
        <v>42043</v>
      </c>
      <c r="C1921" s="8" t="str">
        <f>IFERROR(__xludf.DUMMYFUNCTION("""COMPUTED_VALUE"""),"Brosina Hoffman")</f>
        <v>Brosina Hoffman</v>
      </c>
      <c r="D1921" s="8" t="str">
        <f>IFERROR(__xludf.DUMMYFUNCTION("""COMPUTED_VALUE"""),"Consumer")</f>
        <v>Consumer</v>
      </c>
      <c r="E1921" s="8" t="str">
        <f>IFERROR(__xludf.DUMMYFUNCTION("""COMPUTED_VALUE"""),"Central")</f>
        <v>Central</v>
      </c>
      <c r="F1921" s="10">
        <f>IFERROR(__xludf.DUMMYFUNCTION("""COMPUTED_VALUE"""),9.54)</f>
        <v>9.54</v>
      </c>
      <c r="G1921" s="11">
        <f>IFERROR(__xludf.DUMMYFUNCTION("""COMPUTED_VALUE"""),2.0)</f>
        <v>2</v>
      </c>
      <c r="H1921" s="11">
        <f>IFERROR(__xludf.DUMMYFUNCTION("""COMPUTED_VALUE"""),4.293)</f>
        <v>4.293</v>
      </c>
    </row>
    <row r="1922">
      <c r="A1922" s="8" t="str">
        <f>IFERROR(__xludf.DUMMYFUNCTION("""COMPUTED_VALUE"""),"US-2015-130512")</f>
        <v>US-2015-130512</v>
      </c>
      <c r="B1922" s="9">
        <f>IFERROR(__xludf.DUMMYFUNCTION("""COMPUTED_VALUE"""),42237.0)</f>
        <v>42237</v>
      </c>
      <c r="C1922" s="8" t="str">
        <f>IFERROR(__xludf.DUMMYFUNCTION("""COMPUTED_VALUE"""),"Sean Miller")</f>
        <v>Sean Miller</v>
      </c>
      <c r="D1922" s="8" t="str">
        <f>IFERROR(__xludf.DUMMYFUNCTION("""COMPUTED_VALUE"""),"Home Office")</f>
        <v>Home Office</v>
      </c>
      <c r="E1922" s="8" t="str">
        <f>IFERROR(__xludf.DUMMYFUNCTION("""COMPUTED_VALUE"""),"East")</f>
        <v>East</v>
      </c>
      <c r="F1922" s="10">
        <f>IFERROR(__xludf.DUMMYFUNCTION("""COMPUTED_VALUE"""),3.488)</f>
        <v>3.488</v>
      </c>
      <c r="G1922" s="11">
        <f>IFERROR(__xludf.DUMMYFUNCTION("""COMPUTED_VALUE"""),2.0)</f>
        <v>2</v>
      </c>
      <c r="H1922" s="11">
        <f>IFERROR(__xludf.DUMMYFUNCTION("""COMPUTED_VALUE"""),-0.6976)</f>
        <v>-0.6976</v>
      </c>
    </row>
    <row r="1923">
      <c r="A1923" s="8" t="str">
        <f>IFERROR(__xludf.DUMMYFUNCTION("""COMPUTED_VALUE"""),"US-2015-130519")</f>
        <v>US-2015-130519</v>
      </c>
      <c r="B1923" s="9">
        <f>IFERROR(__xludf.DUMMYFUNCTION("""COMPUTED_VALUE"""),42262.0)</f>
        <v>42262</v>
      </c>
      <c r="C1923" s="8" t="str">
        <f>IFERROR(__xludf.DUMMYFUNCTION("""COMPUTED_VALUE"""),"Nat Gilpin")</f>
        <v>Nat Gilpin</v>
      </c>
      <c r="D1923" s="8" t="str">
        <f>IFERROR(__xludf.DUMMYFUNCTION("""COMPUTED_VALUE"""),"Corporate")</f>
        <v>Corporate</v>
      </c>
      <c r="E1923" s="8" t="str">
        <f>IFERROR(__xludf.DUMMYFUNCTION("""COMPUTED_VALUE"""),"South")</f>
        <v>South</v>
      </c>
      <c r="F1923" s="10">
        <f>IFERROR(__xludf.DUMMYFUNCTION("""COMPUTED_VALUE"""),15.552)</f>
        <v>15.552</v>
      </c>
      <c r="G1923" s="11">
        <f>IFERROR(__xludf.DUMMYFUNCTION("""COMPUTED_VALUE"""),3.0)</f>
        <v>3</v>
      </c>
      <c r="H1923" s="11">
        <f>IFERROR(__xludf.DUMMYFUNCTION("""COMPUTED_VALUE"""),5.4432)</f>
        <v>5.4432</v>
      </c>
    </row>
    <row r="1924">
      <c r="A1924" s="8" t="str">
        <f>IFERROR(__xludf.DUMMYFUNCTION("""COMPUTED_VALUE"""),"US-2015-131359")</f>
        <v>US-2015-131359</v>
      </c>
      <c r="B1924" s="9">
        <f>IFERROR(__xludf.DUMMYFUNCTION("""COMPUTED_VALUE"""),42307.0)</f>
        <v>42307</v>
      </c>
      <c r="C1924" s="8" t="str">
        <f>IFERROR(__xludf.DUMMYFUNCTION("""COMPUTED_VALUE"""),"Frank Atkinson")</f>
        <v>Frank Atkinson</v>
      </c>
      <c r="D1924" s="8" t="str">
        <f>IFERROR(__xludf.DUMMYFUNCTION("""COMPUTED_VALUE"""),"Corporate")</f>
        <v>Corporate</v>
      </c>
      <c r="E1924" s="8" t="str">
        <f>IFERROR(__xludf.DUMMYFUNCTION("""COMPUTED_VALUE"""),"West")</f>
        <v>West</v>
      </c>
      <c r="F1924" s="10">
        <f>IFERROR(__xludf.DUMMYFUNCTION("""COMPUTED_VALUE"""),59.994)</f>
        <v>59.994</v>
      </c>
      <c r="G1924" s="11">
        <f>IFERROR(__xludf.DUMMYFUNCTION("""COMPUTED_VALUE"""),2.0)</f>
        <v>2</v>
      </c>
      <c r="H1924" s="11">
        <f>IFERROR(__xludf.DUMMYFUNCTION("""COMPUTED_VALUE"""),-45.9954)</f>
        <v>-45.9954</v>
      </c>
    </row>
    <row r="1925">
      <c r="A1925" s="8" t="str">
        <f>IFERROR(__xludf.DUMMYFUNCTION("""COMPUTED_VALUE"""),"US-2015-131842")</f>
        <v>US-2015-131842</v>
      </c>
      <c r="B1925" s="9">
        <f>IFERROR(__xludf.DUMMYFUNCTION("""COMPUTED_VALUE"""),42343.0)</f>
        <v>42343</v>
      </c>
      <c r="C1925" s="8" t="str">
        <f>IFERROR(__xludf.DUMMYFUNCTION("""COMPUTED_VALUE"""),"Rick Reed")</f>
        <v>Rick Reed</v>
      </c>
      <c r="D1925" s="8" t="str">
        <f>IFERROR(__xludf.DUMMYFUNCTION("""COMPUTED_VALUE"""),"Corporate")</f>
        <v>Corporate</v>
      </c>
      <c r="E1925" s="8" t="str">
        <f>IFERROR(__xludf.DUMMYFUNCTION("""COMPUTED_VALUE"""),"South")</f>
        <v>South</v>
      </c>
      <c r="F1925" s="10">
        <f>IFERROR(__xludf.DUMMYFUNCTION("""COMPUTED_VALUE"""),97.424)</f>
        <v>97.424</v>
      </c>
      <c r="G1925" s="11">
        <f>IFERROR(__xludf.DUMMYFUNCTION("""COMPUTED_VALUE"""),2.0)</f>
        <v>2</v>
      </c>
      <c r="H1925" s="11">
        <f>IFERROR(__xludf.DUMMYFUNCTION("""COMPUTED_VALUE"""),10.9602)</f>
        <v>10.9602</v>
      </c>
    </row>
    <row r="1926">
      <c r="A1926" s="8" t="str">
        <f>IFERROR(__xludf.DUMMYFUNCTION("""COMPUTED_VALUE"""),"US-2015-132836")</f>
        <v>US-2015-132836</v>
      </c>
      <c r="B1926" s="9">
        <f>IFERROR(__xludf.DUMMYFUNCTION("""COMPUTED_VALUE"""),42156.0)</f>
        <v>42156</v>
      </c>
      <c r="C1926" s="8" t="str">
        <f>IFERROR(__xludf.DUMMYFUNCTION("""COMPUTED_VALUE"""),"Ashley Jarboe")</f>
        <v>Ashley Jarboe</v>
      </c>
      <c r="D1926" s="8" t="str">
        <f>IFERROR(__xludf.DUMMYFUNCTION("""COMPUTED_VALUE"""),"Consumer")</f>
        <v>Consumer</v>
      </c>
      <c r="E1926" s="8" t="str">
        <f>IFERROR(__xludf.DUMMYFUNCTION("""COMPUTED_VALUE"""),"Central")</f>
        <v>Central</v>
      </c>
      <c r="F1926" s="10">
        <f>IFERROR(__xludf.DUMMYFUNCTION("""COMPUTED_VALUE"""),299.98)</f>
        <v>299.98</v>
      </c>
      <c r="G1926" s="11">
        <f>IFERROR(__xludf.DUMMYFUNCTION("""COMPUTED_VALUE"""),2.0)</f>
        <v>2</v>
      </c>
      <c r="H1926" s="11">
        <f>IFERROR(__xludf.DUMMYFUNCTION("""COMPUTED_VALUE"""),83.9944)</f>
        <v>83.9944</v>
      </c>
    </row>
    <row r="1927">
      <c r="A1927" s="8" t="str">
        <f>IFERROR(__xludf.DUMMYFUNCTION("""COMPUTED_VALUE"""),"US-2015-134026")</f>
        <v>US-2015-134026</v>
      </c>
      <c r="B1927" s="9">
        <f>IFERROR(__xludf.DUMMYFUNCTION("""COMPUTED_VALUE"""),42120.0)</f>
        <v>42120</v>
      </c>
      <c r="C1927" s="8" t="str">
        <f>IFERROR(__xludf.DUMMYFUNCTION("""COMPUTED_VALUE"""),"Joel Eaton")</f>
        <v>Joel Eaton</v>
      </c>
      <c r="D1927" s="8" t="str">
        <f>IFERROR(__xludf.DUMMYFUNCTION("""COMPUTED_VALUE"""),"Consumer")</f>
        <v>Consumer</v>
      </c>
      <c r="E1927" s="8" t="str">
        <f>IFERROR(__xludf.DUMMYFUNCTION("""COMPUTED_VALUE"""),"South")</f>
        <v>South</v>
      </c>
      <c r="F1927" s="10">
        <f>IFERROR(__xludf.DUMMYFUNCTION("""COMPUTED_VALUE"""),831.936)</f>
        <v>831.936</v>
      </c>
      <c r="G1927" s="11">
        <f>IFERROR(__xludf.DUMMYFUNCTION("""COMPUTED_VALUE"""),8.0)</f>
        <v>8</v>
      </c>
      <c r="H1927" s="11">
        <f>IFERROR(__xludf.DUMMYFUNCTION("""COMPUTED_VALUE"""),-114.3912)</f>
        <v>-114.3912</v>
      </c>
    </row>
    <row r="1928">
      <c r="A1928" s="8" t="str">
        <f>IFERROR(__xludf.DUMMYFUNCTION("""COMPUTED_VALUE"""),"US-2015-134271")</f>
        <v>US-2015-134271</v>
      </c>
      <c r="B1928" s="9">
        <f>IFERROR(__xludf.DUMMYFUNCTION("""COMPUTED_VALUE"""),42112.0)</f>
        <v>42112</v>
      </c>
      <c r="C1928" s="8" t="str">
        <f>IFERROR(__xludf.DUMMYFUNCTION("""COMPUTED_VALUE"""),"Roland Fjeld")</f>
        <v>Roland Fjeld</v>
      </c>
      <c r="D1928" s="8" t="str">
        <f>IFERROR(__xludf.DUMMYFUNCTION("""COMPUTED_VALUE"""),"Consumer")</f>
        <v>Consumer</v>
      </c>
      <c r="E1928" s="8" t="str">
        <f>IFERROR(__xludf.DUMMYFUNCTION("""COMPUTED_VALUE"""),"East")</f>
        <v>East</v>
      </c>
      <c r="F1928" s="10">
        <f>IFERROR(__xludf.DUMMYFUNCTION("""COMPUTED_VALUE"""),21.93)</f>
        <v>21.93</v>
      </c>
      <c r="G1928" s="11">
        <f>IFERROR(__xludf.DUMMYFUNCTION("""COMPUTED_VALUE"""),3.0)</f>
        <v>3</v>
      </c>
      <c r="H1928" s="11">
        <f>IFERROR(__xludf.DUMMYFUNCTION("""COMPUTED_VALUE"""),10.3071)</f>
        <v>10.3071</v>
      </c>
    </row>
    <row r="1929">
      <c r="A1929" s="8" t="str">
        <f>IFERROR(__xludf.DUMMYFUNCTION("""COMPUTED_VALUE"""),"US-2015-134558")</f>
        <v>US-2015-134558</v>
      </c>
      <c r="B1929" s="9">
        <f>IFERROR(__xludf.DUMMYFUNCTION("""COMPUTED_VALUE"""),42357.0)</f>
        <v>42357</v>
      </c>
      <c r="C1929" s="8" t="str">
        <f>IFERROR(__xludf.DUMMYFUNCTION("""COMPUTED_VALUE"""),"Peter McVee")</f>
        <v>Peter McVee</v>
      </c>
      <c r="D1929" s="8" t="str">
        <f>IFERROR(__xludf.DUMMYFUNCTION("""COMPUTED_VALUE"""),"Home Office")</f>
        <v>Home Office</v>
      </c>
      <c r="E1929" s="8" t="str">
        <f>IFERROR(__xludf.DUMMYFUNCTION("""COMPUTED_VALUE"""),"East")</f>
        <v>East</v>
      </c>
      <c r="F1929" s="10">
        <f>IFERROR(__xludf.DUMMYFUNCTION("""COMPUTED_VALUE"""),29.9)</f>
        <v>29.9</v>
      </c>
      <c r="G1929" s="11">
        <f>IFERROR(__xludf.DUMMYFUNCTION("""COMPUTED_VALUE"""),5.0)</f>
        <v>5</v>
      </c>
      <c r="H1929" s="11">
        <f>IFERROR(__xludf.DUMMYFUNCTION("""COMPUTED_VALUE"""),14.651)</f>
        <v>14.651</v>
      </c>
    </row>
    <row r="1930">
      <c r="A1930" s="8" t="str">
        <f>IFERROR(__xludf.DUMMYFUNCTION("""COMPUTED_VALUE"""),"US-2015-136259")</f>
        <v>US-2015-136259</v>
      </c>
      <c r="B1930" s="9">
        <f>IFERROR(__xludf.DUMMYFUNCTION("""COMPUTED_VALUE"""),42313.0)</f>
        <v>42313</v>
      </c>
      <c r="C1930" s="8" t="str">
        <f>IFERROR(__xludf.DUMMYFUNCTION("""COMPUTED_VALUE"""),"Christy Brittain")</f>
        <v>Christy Brittain</v>
      </c>
      <c r="D1930" s="8" t="str">
        <f>IFERROR(__xludf.DUMMYFUNCTION("""COMPUTED_VALUE"""),"Consumer")</f>
        <v>Consumer</v>
      </c>
      <c r="E1930" s="8" t="str">
        <f>IFERROR(__xludf.DUMMYFUNCTION("""COMPUTED_VALUE"""),"East")</f>
        <v>East</v>
      </c>
      <c r="F1930" s="10">
        <f>IFERROR(__xludf.DUMMYFUNCTION("""COMPUTED_VALUE"""),7.218)</f>
        <v>7.218</v>
      </c>
      <c r="G1930" s="11">
        <f>IFERROR(__xludf.DUMMYFUNCTION("""COMPUTED_VALUE"""),3.0)</f>
        <v>3</v>
      </c>
      <c r="H1930" s="11">
        <f>IFERROR(__xludf.DUMMYFUNCTION("""COMPUTED_VALUE"""),-5.5338)</f>
        <v>-5.5338</v>
      </c>
    </row>
    <row r="1931">
      <c r="A1931" s="8" t="str">
        <f>IFERROR(__xludf.DUMMYFUNCTION("""COMPUTED_VALUE"""),"US-2015-136427")</f>
        <v>US-2015-136427</v>
      </c>
      <c r="B1931" s="9">
        <f>IFERROR(__xludf.DUMMYFUNCTION("""COMPUTED_VALUE"""),42175.0)</f>
        <v>42175</v>
      </c>
      <c r="C1931" s="8" t="str">
        <f>IFERROR(__xludf.DUMMYFUNCTION("""COMPUTED_VALUE"""),"Justin MacKendrick")</f>
        <v>Justin MacKendrick</v>
      </c>
      <c r="D1931" s="8" t="str">
        <f>IFERROR(__xludf.DUMMYFUNCTION("""COMPUTED_VALUE"""),"Consumer")</f>
        <v>Consumer</v>
      </c>
      <c r="E1931" s="8" t="str">
        <f>IFERROR(__xludf.DUMMYFUNCTION("""COMPUTED_VALUE"""),"West")</f>
        <v>West</v>
      </c>
      <c r="F1931" s="10">
        <f>IFERROR(__xludf.DUMMYFUNCTION("""COMPUTED_VALUE"""),125.944)</f>
        <v>125.944</v>
      </c>
      <c r="G1931" s="11">
        <f>IFERROR(__xludf.DUMMYFUNCTION("""COMPUTED_VALUE"""),7.0)</f>
        <v>7</v>
      </c>
      <c r="H1931" s="11">
        <f>IFERROR(__xludf.DUMMYFUNCTION("""COMPUTED_VALUE"""),15.743)</f>
        <v>15.743</v>
      </c>
    </row>
    <row r="1932">
      <c r="A1932" s="8" t="str">
        <f>IFERROR(__xludf.DUMMYFUNCTION("""COMPUTED_VALUE"""),"US-2015-136476")</f>
        <v>US-2015-136476</v>
      </c>
      <c r="B1932" s="9">
        <f>IFERROR(__xludf.DUMMYFUNCTION("""COMPUTED_VALUE"""),42099.0)</f>
        <v>42099</v>
      </c>
      <c r="C1932" s="8" t="str">
        <f>IFERROR(__xludf.DUMMYFUNCTION("""COMPUTED_VALUE"""),"Greg Guthrie")</f>
        <v>Greg Guthrie</v>
      </c>
      <c r="D1932" s="8" t="str">
        <f>IFERROR(__xludf.DUMMYFUNCTION("""COMPUTED_VALUE"""),"Corporate")</f>
        <v>Corporate</v>
      </c>
      <c r="E1932" s="8" t="str">
        <f>IFERROR(__xludf.DUMMYFUNCTION("""COMPUTED_VALUE"""),"South")</f>
        <v>South</v>
      </c>
      <c r="F1932" s="10">
        <f>IFERROR(__xludf.DUMMYFUNCTION("""COMPUTED_VALUE"""),157.794)</f>
        <v>157.794</v>
      </c>
      <c r="G1932" s="11">
        <f>IFERROR(__xludf.DUMMYFUNCTION("""COMPUTED_VALUE"""),1.0)</f>
        <v>1</v>
      </c>
      <c r="H1932" s="11">
        <f>IFERROR(__xludf.DUMMYFUNCTION("""COMPUTED_VALUE"""),-115.7156)</f>
        <v>-115.7156</v>
      </c>
    </row>
    <row r="1933">
      <c r="A1933" s="8" t="str">
        <f>IFERROR(__xludf.DUMMYFUNCTION("""COMPUTED_VALUE"""),"US-2015-136749")</f>
        <v>US-2015-136749</v>
      </c>
      <c r="B1933" s="9">
        <f>IFERROR(__xludf.DUMMYFUNCTION("""COMPUTED_VALUE"""),42363.0)</f>
        <v>42363</v>
      </c>
      <c r="C1933" s="8" t="str">
        <f>IFERROR(__xludf.DUMMYFUNCTION("""COMPUTED_VALUE"""),"Lena Hernandez")</f>
        <v>Lena Hernandez</v>
      </c>
      <c r="D1933" s="8" t="str">
        <f>IFERROR(__xludf.DUMMYFUNCTION("""COMPUTED_VALUE"""),"Consumer")</f>
        <v>Consumer</v>
      </c>
      <c r="E1933" s="8" t="str">
        <f>IFERROR(__xludf.DUMMYFUNCTION("""COMPUTED_VALUE"""),"South")</f>
        <v>South</v>
      </c>
      <c r="F1933" s="10">
        <f>IFERROR(__xludf.DUMMYFUNCTION("""COMPUTED_VALUE"""),275.88)</f>
        <v>275.88</v>
      </c>
      <c r="G1933" s="11">
        <f>IFERROR(__xludf.DUMMYFUNCTION("""COMPUTED_VALUE"""),6.0)</f>
        <v>6</v>
      </c>
      <c r="H1933" s="11">
        <f>IFERROR(__xludf.DUMMYFUNCTION("""COMPUTED_VALUE"""),46.8996)</f>
        <v>46.8996</v>
      </c>
    </row>
    <row r="1934">
      <c r="A1934" s="8" t="str">
        <f>IFERROR(__xludf.DUMMYFUNCTION("""COMPUTED_VALUE"""),"US-2015-136987")</f>
        <v>US-2015-136987</v>
      </c>
      <c r="B1934" s="9">
        <f>IFERROR(__xludf.DUMMYFUNCTION("""COMPUTED_VALUE"""),42105.0)</f>
        <v>42105</v>
      </c>
      <c r="C1934" s="8" t="str">
        <f>IFERROR(__xludf.DUMMYFUNCTION("""COMPUTED_VALUE"""),"Andy Reiter")</f>
        <v>Andy Reiter</v>
      </c>
      <c r="D1934" s="8" t="str">
        <f>IFERROR(__xludf.DUMMYFUNCTION("""COMPUTED_VALUE"""),"Consumer")</f>
        <v>Consumer</v>
      </c>
      <c r="E1934" s="8" t="str">
        <f>IFERROR(__xludf.DUMMYFUNCTION("""COMPUTED_VALUE"""),"West")</f>
        <v>West</v>
      </c>
      <c r="F1934" s="10">
        <f>IFERROR(__xludf.DUMMYFUNCTION("""COMPUTED_VALUE"""),639.968)</f>
        <v>639.968</v>
      </c>
      <c r="G1934" s="11">
        <f>IFERROR(__xludf.DUMMYFUNCTION("""COMPUTED_VALUE"""),4.0)</f>
        <v>4</v>
      </c>
      <c r="H1934" s="11">
        <f>IFERROR(__xludf.DUMMYFUNCTION("""COMPUTED_VALUE"""),215.9892)</f>
        <v>215.9892</v>
      </c>
    </row>
    <row r="1935">
      <c r="A1935" s="8" t="str">
        <f>IFERROR(__xludf.DUMMYFUNCTION("""COMPUTED_VALUE"""),"US-2015-137008")</f>
        <v>US-2015-137008</v>
      </c>
      <c r="B1935" s="9">
        <f>IFERROR(__xludf.DUMMYFUNCTION("""COMPUTED_VALUE"""),42279.0)</f>
        <v>42279</v>
      </c>
      <c r="C1935" s="8" t="str">
        <f>IFERROR(__xludf.DUMMYFUNCTION("""COMPUTED_VALUE"""),"Jennifer Patt")</f>
        <v>Jennifer Patt</v>
      </c>
      <c r="D1935" s="8" t="str">
        <f>IFERROR(__xludf.DUMMYFUNCTION("""COMPUTED_VALUE"""),"Corporate")</f>
        <v>Corporate</v>
      </c>
      <c r="E1935" s="8" t="str">
        <f>IFERROR(__xludf.DUMMYFUNCTION("""COMPUTED_VALUE"""),"East")</f>
        <v>East</v>
      </c>
      <c r="F1935" s="10">
        <f>IFERROR(__xludf.DUMMYFUNCTION("""COMPUTED_VALUE"""),94.85)</f>
        <v>94.85</v>
      </c>
      <c r="G1935" s="11">
        <f>IFERROR(__xludf.DUMMYFUNCTION("""COMPUTED_VALUE"""),5.0)</f>
        <v>5</v>
      </c>
      <c r="H1935" s="11">
        <f>IFERROR(__xludf.DUMMYFUNCTION("""COMPUTED_VALUE"""),45.528)</f>
        <v>45.528</v>
      </c>
    </row>
    <row r="1936">
      <c r="A1936" s="8" t="str">
        <f>IFERROR(__xludf.DUMMYFUNCTION("""COMPUTED_VALUE"""),"US-2015-137533")</f>
        <v>US-2015-137533</v>
      </c>
      <c r="B1936" s="9">
        <f>IFERROR(__xludf.DUMMYFUNCTION("""COMPUTED_VALUE"""),42356.0)</f>
        <v>42356</v>
      </c>
      <c r="C1936" s="8" t="str">
        <f>IFERROR(__xludf.DUMMYFUNCTION("""COMPUTED_VALUE"""),"Jim Kriz")</f>
        <v>Jim Kriz</v>
      </c>
      <c r="D1936" s="8" t="str">
        <f>IFERROR(__xludf.DUMMYFUNCTION("""COMPUTED_VALUE"""),"Home Office")</f>
        <v>Home Office</v>
      </c>
      <c r="E1936" s="8" t="str">
        <f>IFERROR(__xludf.DUMMYFUNCTION("""COMPUTED_VALUE"""),"East")</f>
        <v>East</v>
      </c>
      <c r="F1936" s="10">
        <f>IFERROR(__xludf.DUMMYFUNCTION("""COMPUTED_VALUE"""),20.736)</f>
        <v>20.736</v>
      </c>
      <c r="G1936" s="11">
        <f>IFERROR(__xludf.DUMMYFUNCTION("""COMPUTED_VALUE"""),4.0)</f>
        <v>4</v>
      </c>
      <c r="H1936" s="11">
        <f>IFERROR(__xludf.DUMMYFUNCTION("""COMPUTED_VALUE"""),7.2576)</f>
        <v>7.2576</v>
      </c>
    </row>
    <row r="1937">
      <c r="A1937" s="8" t="str">
        <f>IFERROR(__xludf.DUMMYFUNCTION("""COMPUTED_VALUE"""),"US-2015-137960")</f>
        <v>US-2015-137960</v>
      </c>
      <c r="B1937" s="9">
        <f>IFERROR(__xludf.DUMMYFUNCTION("""COMPUTED_VALUE"""),42356.0)</f>
        <v>42356</v>
      </c>
      <c r="C1937" s="8" t="str">
        <f>IFERROR(__xludf.DUMMYFUNCTION("""COMPUTED_VALUE"""),"Mitch Webber")</f>
        <v>Mitch Webber</v>
      </c>
      <c r="D1937" s="8" t="str">
        <f>IFERROR(__xludf.DUMMYFUNCTION("""COMPUTED_VALUE"""),"Consumer")</f>
        <v>Consumer</v>
      </c>
      <c r="E1937" s="8" t="str">
        <f>IFERROR(__xludf.DUMMYFUNCTION("""COMPUTED_VALUE"""),"East")</f>
        <v>East</v>
      </c>
      <c r="F1937" s="10">
        <f>IFERROR(__xludf.DUMMYFUNCTION("""COMPUTED_VALUE"""),166.24)</f>
        <v>166.24</v>
      </c>
      <c r="G1937" s="11">
        <f>IFERROR(__xludf.DUMMYFUNCTION("""COMPUTED_VALUE"""),1.0)</f>
        <v>1</v>
      </c>
      <c r="H1937" s="11">
        <f>IFERROR(__xludf.DUMMYFUNCTION("""COMPUTED_VALUE"""),24.936)</f>
        <v>24.936</v>
      </c>
    </row>
    <row r="1938">
      <c r="A1938" s="8" t="str">
        <f>IFERROR(__xludf.DUMMYFUNCTION("""COMPUTED_VALUE"""),"US-2015-138093")</f>
        <v>US-2015-138093</v>
      </c>
      <c r="B1938" s="9">
        <f>IFERROR(__xludf.DUMMYFUNCTION("""COMPUTED_VALUE"""),42348.0)</f>
        <v>42348</v>
      </c>
      <c r="C1938" s="8" t="str">
        <f>IFERROR(__xludf.DUMMYFUNCTION("""COMPUTED_VALUE"""),"Kalyca Meade")</f>
        <v>Kalyca Meade</v>
      </c>
      <c r="D1938" s="8" t="str">
        <f>IFERROR(__xludf.DUMMYFUNCTION("""COMPUTED_VALUE"""),"Corporate")</f>
        <v>Corporate</v>
      </c>
      <c r="E1938" s="8" t="str">
        <f>IFERROR(__xludf.DUMMYFUNCTION("""COMPUTED_VALUE"""),"East")</f>
        <v>East</v>
      </c>
      <c r="F1938" s="10">
        <f>IFERROR(__xludf.DUMMYFUNCTION("""COMPUTED_VALUE"""),27.36)</f>
        <v>27.36</v>
      </c>
      <c r="G1938" s="11">
        <f>IFERROR(__xludf.DUMMYFUNCTION("""COMPUTED_VALUE"""),9.0)</f>
        <v>9</v>
      </c>
      <c r="H1938" s="11">
        <f>IFERROR(__xludf.DUMMYFUNCTION("""COMPUTED_VALUE"""),9.3024)</f>
        <v>9.3024</v>
      </c>
    </row>
    <row r="1939">
      <c r="A1939" s="8" t="str">
        <f>IFERROR(__xludf.DUMMYFUNCTION("""COMPUTED_VALUE"""),"US-2015-138121")</f>
        <v>US-2015-138121</v>
      </c>
      <c r="B1939" s="9">
        <f>IFERROR(__xludf.DUMMYFUNCTION("""COMPUTED_VALUE"""),42355.0)</f>
        <v>42355</v>
      </c>
      <c r="C1939" s="8" t="str">
        <f>IFERROR(__xludf.DUMMYFUNCTION("""COMPUTED_VALUE"""),"John Lee")</f>
        <v>John Lee</v>
      </c>
      <c r="D1939" s="8" t="str">
        <f>IFERROR(__xludf.DUMMYFUNCTION("""COMPUTED_VALUE"""),"Consumer")</f>
        <v>Consumer</v>
      </c>
      <c r="E1939" s="8" t="str">
        <f>IFERROR(__xludf.DUMMYFUNCTION("""COMPUTED_VALUE"""),"Central")</f>
        <v>Central</v>
      </c>
      <c r="F1939" s="10">
        <f>IFERROR(__xludf.DUMMYFUNCTION("""COMPUTED_VALUE"""),29.52)</f>
        <v>29.52</v>
      </c>
      <c r="G1939" s="11">
        <f>IFERROR(__xludf.DUMMYFUNCTION("""COMPUTED_VALUE"""),4.0)</f>
        <v>4</v>
      </c>
      <c r="H1939" s="11">
        <f>IFERROR(__xludf.DUMMYFUNCTION("""COMPUTED_VALUE"""),14.4648)</f>
        <v>14.4648</v>
      </c>
    </row>
    <row r="1940">
      <c r="A1940" s="8" t="str">
        <f>IFERROR(__xludf.DUMMYFUNCTION("""COMPUTED_VALUE"""),"US-2015-138303")</f>
        <v>US-2015-138303</v>
      </c>
      <c r="B1940" s="9">
        <f>IFERROR(__xludf.DUMMYFUNCTION("""COMPUTED_VALUE"""),42250.0)</f>
        <v>42250</v>
      </c>
      <c r="C1940" s="8" t="str">
        <f>IFERROR(__xludf.DUMMYFUNCTION("""COMPUTED_VALUE"""),"Mike Gockenbach")</f>
        <v>Mike Gockenbach</v>
      </c>
      <c r="D1940" s="8" t="str">
        <f>IFERROR(__xludf.DUMMYFUNCTION("""COMPUTED_VALUE"""),"Consumer")</f>
        <v>Consumer</v>
      </c>
      <c r="E1940" s="8" t="str">
        <f>IFERROR(__xludf.DUMMYFUNCTION("""COMPUTED_VALUE"""),"East")</f>
        <v>East</v>
      </c>
      <c r="F1940" s="10">
        <f>IFERROR(__xludf.DUMMYFUNCTION("""COMPUTED_VALUE"""),36.336)</f>
        <v>36.336</v>
      </c>
      <c r="G1940" s="11">
        <f>IFERROR(__xludf.DUMMYFUNCTION("""COMPUTED_VALUE"""),3.0)</f>
        <v>3</v>
      </c>
      <c r="H1940" s="11">
        <f>IFERROR(__xludf.DUMMYFUNCTION("""COMPUTED_VALUE"""),-7.2672)</f>
        <v>-7.2672</v>
      </c>
    </row>
    <row r="1941">
      <c r="A1941" s="8" t="str">
        <f>IFERROR(__xludf.DUMMYFUNCTION("""COMPUTED_VALUE"""),"US-2015-138716")</f>
        <v>US-2015-138716</v>
      </c>
      <c r="B1941" s="9">
        <f>IFERROR(__xludf.DUMMYFUNCTION("""COMPUTED_VALUE"""),42264.0)</f>
        <v>42264</v>
      </c>
      <c r="C1941" s="8" t="str">
        <f>IFERROR(__xludf.DUMMYFUNCTION("""COMPUTED_VALUE"""),"Cari Sayre")</f>
        <v>Cari Sayre</v>
      </c>
      <c r="D1941" s="8" t="str">
        <f>IFERROR(__xludf.DUMMYFUNCTION("""COMPUTED_VALUE"""),"Corporate")</f>
        <v>Corporate</v>
      </c>
      <c r="E1941" s="8" t="str">
        <f>IFERROR(__xludf.DUMMYFUNCTION("""COMPUTED_VALUE"""),"West")</f>
        <v>West</v>
      </c>
      <c r="F1941" s="10">
        <f>IFERROR(__xludf.DUMMYFUNCTION("""COMPUTED_VALUE"""),25.032)</f>
        <v>25.032</v>
      </c>
      <c r="G1941" s="11">
        <f>IFERROR(__xludf.DUMMYFUNCTION("""COMPUTED_VALUE"""),3.0)</f>
        <v>3</v>
      </c>
      <c r="H1941" s="11">
        <f>IFERROR(__xludf.DUMMYFUNCTION("""COMPUTED_VALUE"""),7.8225)</f>
        <v>7.8225</v>
      </c>
    </row>
    <row r="1942">
      <c r="A1942" s="8" t="str">
        <f>IFERROR(__xludf.DUMMYFUNCTION("""COMPUTED_VALUE"""),"US-2015-138919")</f>
        <v>US-2015-138919</v>
      </c>
      <c r="B1942" s="9">
        <f>IFERROR(__xludf.DUMMYFUNCTION("""COMPUTED_VALUE"""),42264.0)</f>
        <v>42264</v>
      </c>
      <c r="C1942" s="8" t="str">
        <f>IFERROR(__xludf.DUMMYFUNCTION("""COMPUTED_VALUE"""),"Lindsay Shagiari")</f>
        <v>Lindsay Shagiari</v>
      </c>
      <c r="D1942" s="8" t="str">
        <f>IFERROR(__xludf.DUMMYFUNCTION("""COMPUTED_VALUE"""),"Home Office")</f>
        <v>Home Office</v>
      </c>
      <c r="E1942" s="8" t="str">
        <f>IFERROR(__xludf.DUMMYFUNCTION("""COMPUTED_VALUE"""),"East")</f>
        <v>East</v>
      </c>
      <c r="F1942" s="10">
        <f>IFERROR(__xludf.DUMMYFUNCTION("""COMPUTED_VALUE"""),344.22)</f>
        <v>344.22</v>
      </c>
      <c r="G1942" s="11">
        <f>IFERROR(__xludf.DUMMYFUNCTION("""COMPUTED_VALUE"""),2.0)</f>
        <v>2</v>
      </c>
      <c r="H1942" s="11">
        <f>IFERROR(__xludf.DUMMYFUNCTION("""COMPUTED_VALUE"""),-103.266)</f>
        <v>-103.266</v>
      </c>
    </row>
    <row r="1943">
      <c r="A1943" s="8" t="str">
        <f>IFERROR(__xludf.DUMMYFUNCTION("""COMPUTED_VALUE"""),"US-2015-139675")</f>
        <v>US-2015-139675</v>
      </c>
      <c r="B1943" s="9">
        <f>IFERROR(__xludf.DUMMYFUNCTION("""COMPUTED_VALUE"""),42076.0)</f>
        <v>42076</v>
      </c>
      <c r="C1943" s="8" t="str">
        <f>IFERROR(__xludf.DUMMYFUNCTION("""COMPUTED_VALUE"""),"Nicole Fjeld")</f>
        <v>Nicole Fjeld</v>
      </c>
      <c r="D1943" s="8" t="str">
        <f>IFERROR(__xludf.DUMMYFUNCTION("""COMPUTED_VALUE"""),"Home Office")</f>
        <v>Home Office</v>
      </c>
      <c r="E1943" s="8" t="str">
        <f>IFERROR(__xludf.DUMMYFUNCTION("""COMPUTED_VALUE"""),"West")</f>
        <v>West</v>
      </c>
      <c r="F1943" s="10">
        <f>IFERROR(__xludf.DUMMYFUNCTION("""COMPUTED_VALUE"""),915.136)</f>
        <v>915.136</v>
      </c>
      <c r="G1943" s="11">
        <f>IFERROR(__xludf.DUMMYFUNCTION("""COMPUTED_VALUE"""),4.0)</f>
        <v>4</v>
      </c>
      <c r="H1943" s="11">
        <f>IFERROR(__xludf.DUMMYFUNCTION("""COMPUTED_VALUE"""),102.9528)</f>
        <v>102.9528</v>
      </c>
    </row>
    <row r="1944">
      <c r="A1944" s="8" t="str">
        <f>IFERROR(__xludf.DUMMYFUNCTION("""COMPUTED_VALUE"""),"US-2015-139759")</f>
        <v>US-2015-139759</v>
      </c>
      <c r="B1944" s="9">
        <f>IFERROR(__xludf.DUMMYFUNCTION("""COMPUTED_VALUE"""),42241.0)</f>
        <v>42241</v>
      </c>
      <c r="C1944" s="8" t="str">
        <f>IFERROR(__xludf.DUMMYFUNCTION("""COMPUTED_VALUE"""),"Nancy Lomonaco")</f>
        <v>Nancy Lomonaco</v>
      </c>
      <c r="D1944" s="8" t="str">
        <f>IFERROR(__xludf.DUMMYFUNCTION("""COMPUTED_VALUE"""),"Home Office")</f>
        <v>Home Office</v>
      </c>
      <c r="E1944" s="8" t="str">
        <f>IFERROR(__xludf.DUMMYFUNCTION("""COMPUTED_VALUE"""),"West")</f>
        <v>West</v>
      </c>
      <c r="F1944" s="10">
        <f>IFERROR(__xludf.DUMMYFUNCTION("""COMPUTED_VALUE"""),40.784)</f>
        <v>40.784</v>
      </c>
      <c r="G1944" s="11">
        <f>IFERROR(__xludf.DUMMYFUNCTION("""COMPUTED_VALUE"""),1.0)</f>
        <v>1</v>
      </c>
      <c r="H1944" s="11">
        <f>IFERROR(__xludf.DUMMYFUNCTION("""COMPUTED_VALUE"""),4.5882)</f>
        <v>4.5882</v>
      </c>
    </row>
    <row r="1945">
      <c r="A1945" s="8" t="str">
        <f>IFERROR(__xludf.DUMMYFUNCTION("""COMPUTED_VALUE"""),"US-2015-140200")</f>
        <v>US-2015-140200</v>
      </c>
      <c r="B1945" s="9">
        <f>IFERROR(__xludf.DUMMYFUNCTION("""COMPUTED_VALUE"""),42211.0)</f>
        <v>42211</v>
      </c>
      <c r="C1945" s="8" t="str">
        <f>IFERROR(__xludf.DUMMYFUNCTION("""COMPUTED_VALUE"""),"Cynthia Arntzen")</f>
        <v>Cynthia Arntzen</v>
      </c>
      <c r="D1945" s="8" t="str">
        <f>IFERROR(__xludf.DUMMYFUNCTION("""COMPUTED_VALUE"""),"Consumer")</f>
        <v>Consumer</v>
      </c>
      <c r="E1945" s="8" t="str">
        <f>IFERROR(__xludf.DUMMYFUNCTION("""COMPUTED_VALUE"""),"West")</f>
        <v>West</v>
      </c>
      <c r="F1945" s="10">
        <f>IFERROR(__xludf.DUMMYFUNCTION("""COMPUTED_VALUE"""),393.165)</f>
        <v>393.165</v>
      </c>
      <c r="G1945" s="11">
        <f>IFERROR(__xludf.DUMMYFUNCTION("""COMPUTED_VALUE"""),3.0)</f>
        <v>3</v>
      </c>
      <c r="H1945" s="11">
        <f>IFERROR(__xludf.DUMMYFUNCTION("""COMPUTED_VALUE"""),-204.4458)</f>
        <v>-204.4458</v>
      </c>
    </row>
    <row r="1946">
      <c r="A1946" s="8" t="str">
        <f>IFERROR(__xludf.DUMMYFUNCTION("""COMPUTED_VALUE"""),"US-2015-140851")</f>
        <v>US-2015-140851</v>
      </c>
      <c r="B1946" s="9">
        <f>IFERROR(__xludf.DUMMYFUNCTION("""COMPUTED_VALUE"""),42198.0)</f>
        <v>42198</v>
      </c>
      <c r="C1946" s="8" t="str">
        <f>IFERROR(__xludf.DUMMYFUNCTION("""COMPUTED_VALUE"""),"Neil Ducich")</f>
        <v>Neil Ducich</v>
      </c>
      <c r="D1946" s="8" t="str">
        <f>IFERROR(__xludf.DUMMYFUNCTION("""COMPUTED_VALUE"""),"Corporate")</f>
        <v>Corporate</v>
      </c>
      <c r="E1946" s="8" t="str">
        <f>IFERROR(__xludf.DUMMYFUNCTION("""COMPUTED_VALUE"""),"South")</f>
        <v>South</v>
      </c>
      <c r="F1946" s="10">
        <f>IFERROR(__xludf.DUMMYFUNCTION("""COMPUTED_VALUE"""),38.88)</f>
        <v>38.88</v>
      </c>
      <c r="G1946" s="11">
        <f>IFERROR(__xludf.DUMMYFUNCTION("""COMPUTED_VALUE"""),6.0)</f>
        <v>6</v>
      </c>
      <c r="H1946" s="11">
        <f>IFERROR(__xludf.DUMMYFUNCTION("""COMPUTED_VALUE"""),18.6624)</f>
        <v>18.6624</v>
      </c>
    </row>
    <row r="1947">
      <c r="A1947" s="8" t="str">
        <f>IFERROR(__xludf.DUMMYFUNCTION("""COMPUTED_VALUE"""),"US-2015-141453")</f>
        <v>US-2015-141453</v>
      </c>
      <c r="B1947" s="9">
        <f>IFERROR(__xludf.DUMMYFUNCTION("""COMPUTED_VALUE"""),42338.0)</f>
        <v>42338</v>
      </c>
      <c r="C1947" s="8" t="str">
        <f>IFERROR(__xludf.DUMMYFUNCTION("""COMPUTED_VALUE"""),"Deborah Brumfield")</f>
        <v>Deborah Brumfield</v>
      </c>
      <c r="D1947" s="8" t="str">
        <f>IFERROR(__xludf.DUMMYFUNCTION("""COMPUTED_VALUE"""),"Home Office")</f>
        <v>Home Office</v>
      </c>
      <c r="E1947" s="8" t="str">
        <f>IFERROR(__xludf.DUMMYFUNCTION("""COMPUTED_VALUE"""),"Central")</f>
        <v>Central</v>
      </c>
      <c r="F1947" s="10">
        <f>IFERROR(__xludf.DUMMYFUNCTION("""COMPUTED_VALUE"""),3.882)</f>
        <v>3.882</v>
      </c>
      <c r="G1947" s="11">
        <f>IFERROR(__xludf.DUMMYFUNCTION("""COMPUTED_VALUE"""),3.0)</f>
        <v>3</v>
      </c>
      <c r="H1947" s="11">
        <f>IFERROR(__xludf.DUMMYFUNCTION("""COMPUTED_VALUE"""),-5.823)</f>
        <v>-5.823</v>
      </c>
    </row>
    <row r="1948">
      <c r="A1948" s="8" t="str">
        <f>IFERROR(__xludf.DUMMYFUNCTION("""COMPUTED_VALUE"""),"US-2015-141684")</f>
        <v>US-2015-141684</v>
      </c>
      <c r="B1948" s="9">
        <f>IFERROR(__xludf.DUMMYFUNCTION("""COMPUTED_VALUE"""),42184.0)</f>
        <v>42184</v>
      </c>
      <c r="C1948" s="8" t="str">
        <f>IFERROR(__xludf.DUMMYFUNCTION("""COMPUTED_VALUE"""),"Michelle Moray")</f>
        <v>Michelle Moray</v>
      </c>
      <c r="D1948" s="8" t="str">
        <f>IFERROR(__xludf.DUMMYFUNCTION("""COMPUTED_VALUE"""),"Consumer")</f>
        <v>Consumer</v>
      </c>
      <c r="E1948" s="8" t="str">
        <f>IFERROR(__xludf.DUMMYFUNCTION("""COMPUTED_VALUE"""),"East")</f>
        <v>East</v>
      </c>
      <c r="F1948" s="10">
        <f>IFERROR(__xludf.DUMMYFUNCTION("""COMPUTED_VALUE"""),24.96)</f>
        <v>24.96</v>
      </c>
      <c r="G1948" s="11">
        <f>IFERROR(__xludf.DUMMYFUNCTION("""COMPUTED_VALUE"""),4.0)</f>
        <v>4</v>
      </c>
      <c r="H1948" s="11">
        <f>IFERROR(__xludf.DUMMYFUNCTION("""COMPUTED_VALUE"""),11.232)</f>
        <v>11.232</v>
      </c>
    </row>
    <row r="1949">
      <c r="A1949" s="8" t="str">
        <f>IFERROR(__xludf.DUMMYFUNCTION("""COMPUTED_VALUE"""),"US-2015-142020")</f>
        <v>US-2015-142020</v>
      </c>
      <c r="B1949" s="9">
        <f>IFERROR(__xludf.DUMMYFUNCTION("""COMPUTED_VALUE"""),42159.0)</f>
        <v>42159</v>
      </c>
      <c r="C1949" s="8" t="str">
        <f>IFERROR(__xludf.DUMMYFUNCTION("""COMPUTED_VALUE"""),"Tracy Collins")</f>
        <v>Tracy Collins</v>
      </c>
      <c r="D1949" s="8" t="str">
        <f>IFERROR(__xludf.DUMMYFUNCTION("""COMPUTED_VALUE"""),"Home Office")</f>
        <v>Home Office</v>
      </c>
      <c r="E1949" s="8" t="str">
        <f>IFERROR(__xludf.DUMMYFUNCTION("""COMPUTED_VALUE"""),"East")</f>
        <v>East</v>
      </c>
      <c r="F1949" s="10">
        <f>IFERROR(__xludf.DUMMYFUNCTION("""COMPUTED_VALUE"""),30.44)</f>
        <v>30.44</v>
      </c>
      <c r="G1949" s="11">
        <f>IFERROR(__xludf.DUMMYFUNCTION("""COMPUTED_VALUE"""),4.0)</f>
        <v>4</v>
      </c>
      <c r="H1949" s="11">
        <f>IFERROR(__xludf.DUMMYFUNCTION("""COMPUTED_VALUE"""),14.3068)</f>
        <v>14.3068</v>
      </c>
    </row>
    <row r="1950">
      <c r="A1950" s="8" t="str">
        <f>IFERROR(__xludf.DUMMYFUNCTION("""COMPUTED_VALUE"""),"US-2015-142811")</f>
        <v>US-2015-142811</v>
      </c>
      <c r="B1950" s="9">
        <f>IFERROR(__xludf.DUMMYFUNCTION("""COMPUTED_VALUE"""),42096.0)</f>
        <v>42096</v>
      </c>
      <c r="C1950" s="8" t="str">
        <f>IFERROR(__xludf.DUMMYFUNCTION("""COMPUTED_VALUE"""),"John Lucas")</f>
        <v>John Lucas</v>
      </c>
      <c r="D1950" s="8" t="str">
        <f>IFERROR(__xludf.DUMMYFUNCTION("""COMPUTED_VALUE"""),"Consumer")</f>
        <v>Consumer</v>
      </c>
      <c r="E1950" s="8" t="str">
        <f>IFERROR(__xludf.DUMMYFUNCTION("""COMPUTED_VALUE"""),"West")</f>
        <v>West</v>
      </c>
      <c r="F1950" s="10">
        <f>IFERROR(__xludf.DUMMYFUNCTION("""COMPUTED_VALUE"""),87.8)</f>
        <v>87.8</v>
      </c>
      <c r="G1950" s="11">
        <f>IFERROR(__xludf.DUMMYFUNCTION("""COMPUTED_VALUE"""),5.0)</f>
        <v>5</v>
      </c>
      <c r="H1950" s="11">
        <f>IFERROR(__xludf.DUMMYFUNCTION("""COMPUTED_VALUE"""),32.925)</f>
        <v>32.925</v>
      </c>
    </row>
    <row r="1951">
      <c r="A1951" s="8" t="str">
        <f>IFERROR(__xludf.DUMMYFUNCTION("""COMPUTED_VALUE"""),"US-2015-144771")</f>
        <v>US-2015-144771</v>
      </c>
      <c r="B1951" s="9">
        <f>IFERROR(__xludf.DUMMYFUNCTION("""COMPUTED_VALUE"""),42279.0)</f>
        <v>42279</v>
      </c>
      <c r="C1951" s="8" t="str">
        <f>IFERROR(__xludf.DUMMYFUNCTION("""COMPUTED_VALUE"""),"Chloris Kastensmidt")</f>
        <v>Chloris Kastensmidt</v>
      </c>
      <c r="D1951" s="8" t="str">
        <f>IFERROR(__xludf.DUMMYFUNCTION("""COMPUTED_VALUE"""),"Consumer")</f>
        <v>Consumer</v>
      </c>
      <c r="E1951" s="8" t="str">
        <f>IFERROR(__xludf.DUMMYFUNCTION("""COMPUTED_VALUE"""),"West")</f>
        <v>West</v>
      </c>
      <c r="F1951" s="10">
        <f>IFERROR(__xludf.DUMMYFUNCTION("""COMPUTED_VALUE"""),11.032)</f>
        <v>11.032</v>
      </c>
      <c r="G1951" s="11">
        <f>IFERROR(__xludf.DUMMYFUNCTION("""COMPUTED_VALUE"""),1.0)</f>
        <v>1</v>
      </c>
      <c r="H1951" s="11">
        <f>IFERROR(__xludf.DUMMYFUNCTION("""COMPUTED_VALUE"""),3.0338)</f>
        <v>3.0338</v>
      </c>
    </row>
    <row r="1952">
      <c r="A1952" s="8" t="str">
        <f>IFERROR(__xludf.DUMMYFUNCTION("""COMPUTED_VALUE"""),"US-2015-145121")</f>
        <v>US-2015-145121</v>
      </c>
      <c r="B1952" s="9">
        <f>IFERROR(__xludf.DUMMYFUNCTION("""COMPUTED_VALUE"""),42279.0)</f>
        <v>42279</v>
      </c>
      <c r="C1952" s="8" t="str">
        <f>IFERROR(__xludf.DUMMYFUNCTION("""COMPUTED_VALUE"""),"Michael Paige")</f>
        <v>Michael Paige</v>
      </c>
      <c r="D1952" s="8" t="str">
        <f>IFERROR(__xludf.DUMMYFUNCTION("""COMPUTED_VALUE"""),"Corporate")</f>
        <v>Corporate</v>
      </c>
      <c r="E1952" s="8" t="str">
        <f>IFERROR(__xludf.DUMMYFUNCTION("""COMPUTED_VALUE"""),"East")</f>
        <v>East</v>
      </c>
      <c r="F1952" s="10">
        <f>IFERROR(__xludf.DUMMYFUNCTION("""COMPUTED_VALUE"""),26.9)</f>
        <v>26.9</v>
      </c>
      <c r="G1952" s="11">
        <f>IFERROR(__xludf.DUMMYFUNCTION("""COMPUTED_VALUE"""),5.0)</f>
        <v>5</v>
      </c>
      <c r="H1952" s="11">
        <f>IFERROR(__xludf.DUMMYFUNCTION("""COMPUTED_VALUE"""),13.181)</f>
        <v>13.181</v>
      </c>
    </row>
    <row r="1953">
      <c r="A1953" s="8" t="str">
        <f>IFERROR(__xludf.DUMMYFUNCTION("""COMPUTED_VALUE"""),"US-2015-145422")</f>
        <v>US-2015-145422</v>
      </c>
      <c r="B1953" s="9">
        <f>IFERROR(__xludf.DUMMYFUNCTION("""COMPUTED_VALUE"""),42341.0)</f>
        <v>42341</v>
      </c>
      <c r="C1953" s="8" t="str">
        <f>IFERROR(__xludf.DUMMYFUNCTION("""COMPUTED_VALUE"""),"Pierre Wener")</f>
        <v>Pierre Wener</v>
      </c>
      <c r="D1953" s="8" t="str">
        <f>IFERROR(__xludf.DUMMYFUNCTION("""COMPUTED_VALUE"""),"Consumer")</f>
        <v>Consumer</v>
      </c>
      <c r="E1953" s="8" t="str">
        <f>IFERROR(__xludf.DUMMYFUNCTION("""COMPUTED_VALUE"""),"West")</f>
        <v>West</v>
      </c>
      <c r="F1953" s="10">
        <f>IFERROR(__xludf.DUMMYFUNCTION("""COMPUTED_VALUE"""),359.499)</f>
        <v>359.499</v>
      </c>
      <c r="G1953" s="11">
        <f>IFERROR(__xludf.DUMMYFUNCTION("""COMPUTED_VALUE"""),3.0)</f>
        <v>3</v>
      </c>
      <c r="H1953" s="11">
        <f>IFERROR(__xludf.DUMMYFUNCTION("""COMPUTED_VALUE"""),-29.6058)</f>
        <v>-29.6058</v>
      </c>
    </row>
    <row r="1954">
      <c r="A1954" s="8" t="str">
        <f>IFERROR(__xludf.DUMMYFUNCTION("""COMPUTED_VALUE"""),"US-2015-145436")</f>
        <v>US-2015-145436</v>
      </c>
      <c r="B1954" s="9">
        <f>IFERROR(__xludf.DUMMYFUNCTION("""COMPUTED_VALUE"""),42063.0)</f>
        <v>42063</v>
      </c>
      <c r="C1954" s="8" t="str">
        <f>IFERROR(__xludf.DUMMYFUNCTION("""COMPUTED_VALUE"""),"Valerie Dominguez")</f>
        <v>Valerie Dominguez</v>
      </c>
      <c r="D1954" s="8" t="str">
        <f>IFERROR(__xludf.DUMMYFUNCTION("""COMPUTED_VALUE"""),"Consumer")</f>
        <v>Consumer</v>
      </c>
      <c r="E1954" s="8" t="str">
        <f>IFERROR(__xludf.DUMMYFUNCTION("""COMPUTED_VALUE"""),"South")</f>
        <v>South</v>
      </c>
      <c r="F1954" s="10">
        <f>IFERROR(__xludf.DUMMYFUNCTION("""COMPUTED_VALUE"""),161.568)</f>
        <v>161.568</v>
      </c>
      <c r="G1954" s="11">
        <f>IFERROR(__xludf.DUMMYFUNCTION("""COMPUTED_VALUE"""),2.0)</f>
        <v>2</v>
      </c>
      <c r="H1954" s="11">
        <f>IFERROR(__xludf.DUMMYFUNCTION("""COMPUTED_VALUE"""),-28.2744)</f>
        <v>-28.2744</v>
      </c>
    </row>
    <row r="1955">
      <c r="A1955" s="8" t="str">
        <f>IFERROR(__xludf.DUMMYFUNCTION("""COMPUTED_VALUE"""),"US-2015-146745")</f>
        <v>US-2015-146745</v>
      </c>
      <c r="B1955" s="9">
        <f>IFERROR(__xludf.DUMMYFUNCTION("""COMPUTED_VALUE"""),42250.0)</f>
        <v>42250</v>
      </c>
      <c r="C1955" s="8" t="str">
        <f>IFERROR(__xludf.DUMMYFUNCTION("""COMPUTED_VALUE"""),"Ann Steele")</f>
        <v>Ann Steele</v>
      </c>
      <c r="D1955" s="8" t="str">
        <f>IFERROR(__xludf.DUMMYFUNCTION("""COMPUTED_VALUE"""),"Home Office")</f>
        <v>Home Office</v>
      </c>
      <c r="E1955" s="8" t="str">
        <f>IFERROR(__xludf.DUMMYFUNCTION("""COMPUTED_VALUE"""),"West")</f>
        <v>West</v>
      </c>
      <c r="F1955" s="10">
        <f>IFERROR(__xludf.DUMMYFUNCTION("""COMPUTED_VALUE"""),129.568)</f>
        <v>129.568</v>
      </c>
      <c r="G1955" s="11">
        <f>IFERROR(__xludf.DUMMYFUNCTION("""COMPUTED_VALUE"""),2.0)</f>
        <v>2</v>
      </c>
      <c r="H1955" s="11">
        <f>IFERROR(__xludf.DUMMYFUNCTION("""COMPUTED_VALUE"""),-12.9568)</f>
        <v>-12.9568</v>
      </c>
    </row>
    <row r="1956">
      <c r="A1956" s="8" t="str">
        <f>IFERROR(__xludf.DUMMYFUNCTION("""COMPUTED_VALUE"""),"US-2015-147242")</f>
        <v>US-2015-147242</v>
      </c>
      <c r="B1956" s="9">
        <f>IFERROR(__xludf.DUMMYFUNCTION("""COMPUTED_VALUE"""),42257.0)</f>
        <v>42257</v>
      </c>
      <c r="C1956" s="8" t="str">
        <f>IFERROR(__xludf.DUMMYFUNCTION("""COMPUTED_VALUE"""),"Edward Hooks")</f>
        <v>Edward Hooks</v>
      </c>
      <c r="D1956" s="8" t="str">
        <f>IFERROR(__xludf.DUMMYFUNCTION("""COMPUTED_VALUE"""),"Corporate")</f>
        <v>Corporate</v>
      </c>
      <c r="E1956" s="8" t="str">
        <f>IFERROR(__xludf.DUMMYFUNCTION("""COMPUTED_VALUE"""),"East")</f>
        <v>East</v>
      </c>
      <c r="F1956" s="10">
        <f>IFERROR(__xludf.DUMMYFUNCTION("""COMPUTED_VALUE"""),61.96)</f>
        <v>61.96</v>
      </c>
      <c r="G1956" s="11">
        <f>IFERROR(__xludf.DUMMYFUNCTION("""COMPUTED_VALUE"""),2.0)</f>
        <v>2</v>
      </c>
      <c r="H1956" s="11">
        <f>IFERROR(__xludf.DUMMYFUNCTION("""COMPUTED_VALUE"""),16.1096)</f>
        <v>16.1096</v>
      </c>
    </row>
    <row r="1957">
      <c r="A1957" s="8" t="str">
        <f>IFERROR(__xludf.DUMMYFUNCTION("""COMPUTED_VALUE"""),"US-2015-147662")</f>
        <v>US-2015-147662</v>
      </c>
      <c r="B1957" s="9">
        <f>IFERROR(__xludf.DUMMYFUNCTION("""COMPUTED_VALUE"""),42049.0)</f>
        <v>42049</v>
      </c>
      <c r="C1957" s="8" t="str">
        <f>IFERROR(__xludf.DUMMYFUNCTION("""COMPUTED_VALUE"""),"Karl Braun")</f>
        <v>Karl Braun</v>
      </c>
      <c r="D1957" s="8" t="str">
        <f>IFERROR(__xludf.DUMMYFUNCTION("""COMPUTED_VALUE"""),"Consumer")</f>
        <v>Consumer</v>
      </c>
      <c r="E1957" s="8" t="str">
        <f>IFERROR(__xludf.DUMMYFUNCTION("""COMPUTED_VALUE"""),"East")</f>
        <v>East</v>
      </c>
      <c r="F1957" s="10">
        <f>IFERROR(__xludf.DUMMYFUNCTION("""COMPUTED_VALUE"""),14.952)</f>
        <v>14.952</v>
      </c>
      <c r="G1957" s="11">
        <f>IFERROR(__xludf.DUMMYFUNCTION("""COMPUTED_VALUE"""),2.0)</f>
        <v>2</v>
      </c>
      <c r="H1957" s="11">
        <f>IFERROR(__xludf.DUMMYFUNCTION("""COMPUTED_VALUE"""),-11.9616)</f>
        <v>-11.9616</v>
      </c>
    </row>
    <row r="1958">
      <c r="A1958" s="8" t="str">
        <f>IFERROR(__xludf.DUMMYFUNCTION("""COMPUTED_VALUE"""),"US-2015-147739")</f>
        <v>US-2015-147739</v>
      </c>
      <c r="B1958" s="9">
        <f>IFERROR(__xludf.DUMMYFUNCTION("""COMPUTED_VALUE"""),42363.0)</f>
        <v>42363</v>
      </c>
      <c r="C1958" s="8" t="str">
        <f>IFERROR(__xludf.DUMMYFUNCTION("""COMPUTED_VALUE"""),"Justin Deggeller")</f>
        <v>Justin Deggeller</v>
      </c>
      <c r="D1958" s="8" t="str">
        <f>IFERROR(__xludf.DUMMYFUNCTION("""COMPUTED_VALUE"""),"Corporate")</f>
        <v>Corporate</v>
      </c>
      <c r="E1958" s="8" t="str">
        <f>IFERROR(__xludf.DUMMYFUNCTION("""COMPUTED_VALUE"""),"East")</f>
        <v>East</v>
      </c>
      <c r="F1958" s="10">
        <f>IFERROR(__xludf.DUMMYFUNCTION("""COMPUTED_VALUE"""),547.136)</f>
        <v>547.136</v>
      </c>
      <c r="G1958" s="11">
        <f>IFERROR(__xludf.DUMMYFUNCTION("""COMPUTED_VALUE"""),4.0)</f>
        <v>4</v>
      </c>
      <c r="H1958" s="11">
        <f>IFERROR(__xludf.DUMMYFUNCTION("""COMPUTED_VALUE"""),-68.392)</f>
        <v>-68.392</v>
      </c>
    </row>
    <row r="1959">
      <c r="A1959" s="8" t="str">
        <f>IFERROR(__xludf.DUMMYFUNCTION("""COMPUTED_VALUE"""),"US-2015-148817")</f>
        <v>US-2015-148817</v>
      </c>
      <c r="B1959" s="9">
        <f>IFERROR(__xludf.DUMMYFUNCTION("""COMPUTED_VALUE"""),42339.0)</f>
        <v>42339</v>
      </c>
      <c r="C1959" s="8" t="str">
        <f>IFERROR(__xludf.DUMMYFUNCTION("""COMPUTED_VALUE"""),"Keith Dawkins")</f>
        <v>Keith Dawkins</v>
      </c>
      <c r="D1959" s="8" t="str">
        <f>IFERROR(__xludf.DUMMYFUNCTION("""COMPUTED_VALUE"""),"Corporate")</f>
        <v>Corporate</v>
      </c>
      <c r="E1959" s="8" t="str">
        <f>IFERROR(__xludf.DUMMYFUNCTION("""COMPUTED_VALUE"""),"South")</f>
        <v>South</v>
      </c>
      <c r="F1959" s="10">
        <f>IFERROR(__xludf.DUMMYFUNCTION("""COMPUTED_VALUE"""),61.68)</f>
        <v>61.68</v>
      </c>
      <c r="G1959" s="11">
        <f>IFERROR(__xludf.DUMMYFUNCTION("""COMPUTED_VALUE"""),4.0)</f>
        <v>4</v>
      </c>
      <c r="H1959" s="11">
        <f>IFERROR(__xludf.DUMMYFUNCTION("""COMPUTED_VALUE"""),16.6536)</f>
        <v>16.6536</v>
      </c>
    </row>
    <row r="1960">
      <c r="A1960" s="8" t="str">
        <f>IFERROR(__xludf.DUMMYFUNCTION("""COMPUTED_VALUE"""),"US-2015-149629")</f>
        <v>US-2015-149629</v>
      </c>
      <c r="B1960" s="9">
        <f>IFERROR(__xludf.DUMMYFUNCTION("""COMPUTED_VALUE"""),42202.0)</f>
        <v>42202</v>
      </c>
      <c r="C1960" s="8" t="str">
        <f>IFERROR(__xludf.DUMMYFUNCTION("""COMPUTED_VALUE"""),"Michael Paige")</f>
        <v>Michael Paige</v>
      </c>
      <c r="D1960" s="8" t="str">
        <f>IFERROR(__xludf.DUMMYFUNCTION("""COMPUTED_VALUE"""),"Corporate")</f>
        <v>Corporate</v>
      </c>
      <c r="E1960" s="8" t="str">
        <f>IFERROR(__xludf.DUMMYFUNCTION("""COMPUTED_VALUE"""),"South")</f>
        <v>South</v>
      </c>
      <c r="F1960" s="10">
        <f>IFERROR(__xludf.DUMMYFUNCTION("""COMPUTED_VALUE"""),231.92)</f>
        <v>231.92</v>
      </c>
      <c r="G1960" s="11">
        <f>IFERROR(__xludf.DUMMYFUNCTION("""COMPUTED_VALUE"""),5.0)</f>
        <v>5</v>
      </c>
      <c r="H1960" s="11">
        <f>IFERROR(__xludf.DUMMYFUNCTION("""COMPUTED_VALUE"""),5.798)</f>
        <v>5.798</v>
      </c>
    </row>
    <row r="1961">
      <c r="A1961" s="8" t="str">
        <f>IFERROR(__xludf.DUMMYFUNCTION("""COMPUTED_VALUE"""),"US-2015-149692")</f>
        <v>US-2015-149692</v>
      </c>
      <c r="B1961" s="9">
        <f>IFERROR(__xludf.DUMMYFUNCTION("""COMPUTED_VALUE"""),42344.0)</f>
        <v>42344</v>
      </c>
      <c r="C1961" s="8" t="str">
        <f>IFERROR(__xludf.DUMMYFUNCTION("""COMPUTED_VALUE"""),"Katrina Willman")</f>
        <v>Katrina Willman</v>
      </c>
      <c r="D1961" s="8" t="str">
        <f>IFERROR(__xludf.DUMMYFUNCTION("""COMPUTED_VALUE"""),"Consumer")</f>
        <v>Consumer</v>
      </c>
      <c r="E1961" s="8" t="str">
        <f>IFERROR(__xludf.DUMMYFUNCTION("""COMPUTED_VALUE"""),"Central")</f>
        <v>Central</v>
      </c>
      <c r="F1961" s="10">
        <f>IFERROR(__xludf.DUMMYFUNCTION("""COMPUTED_VALUE"""),2.772)</f>
        <v>2.772</v>
      </c>
      <c r="G1961" s="11">
        <f>IFERROR(__xludf.DUMMYFUNCTION("""COMPUTED_VALUE"""),7.0)</f>
        <v>7</v>
      </c>
      <c r="H1961" s="11">
        <f>IFERROR(__xludf.DUMMYFUNCTION("""COMPUTED_VALUE"""),-4.851)</f>
        <v>-4.851</v>
      </c>
    </row>
    <row r="1962">
      <c r="A1962" s="8" t="str">
        <f>IFERROR(__xludf.DUMMYFUNCTION("""COMPUTED_VALUE"""),"US-2015-150161")</f>
        <v>US-2015-150161</v>
      </c>
      <c r="B1962" s="9">
        <f>IFERROR(__xludf.DUMMYFUNCTION("""COMPUTED_VALUE"""),42210.0)</f>
        <v>42210</v>
      </c>
      <c r="C1962" s="8" t="str">
        <f>IFERROR(__xludf.DUMMYFUNCTION("""COMPUTED_VALUE"""),"Ross Baird")</f>
        <v>Ross Baird</v>
      </c>
      <c r="D1962" s="8" t="str">
        <f>IFERROR(__xludf.DUMMYFUNCTION("""COMPUTED_VALUE"""),"Home Office")</f>
        <v>Home Office</v>
      </c>
      <c r="E1962" s="8" t="str">
        <f>IFERROR(__xludf.DUMMYFUNCTION("""COMPUTED_VALUE"""),"East")</f>
        <v>East</v>
      </c>
      <c r="F1962" s="10">
        <f>IFERROR(__xludf.DUMMYFUNCTION("""COMPUTED_VALUE"""),25.176)</f>
        <v>25.176</v>
      </c>
      <c r="G1962" s="11">
        <f>IFERROR(__xludf.DUMMYFUNCTION("""COMPUTED_VALUE"""),4.0)</f>
        <v>4</v>
      </c>
      <c r="H1962" s="11">
        <f>IFERROR(__xludf.DUMMYFUNCTION("""COMPUTED_VALUE"""),-18.4624)</f>
        <v>-18.4624</v>
      </c>
    </row>
    <row r="1963">
      <c r="A1963" s="8" t="str">
        <f>IFERROR(__xludf.DUMMYFUNCTION("""COMPUTED_VALUE"""),"US-2015-150231")</f>
        <v>US-2015-150231</v>
      </c>
      <c r="B1963" s="9">
        <f>IFERROR(__xludf.DUMMYFUNCTION("""COMPUTED_VALUE"""),42079.0)</f>
        <v>42079</v>
      </c>
      <c r="C1963" s="8" t="str">
        <f>IFERROR(__xludf.DUMMYFUNCTION("""COMPUTED_VALUE"""),"Jim Kriz")</f>
        <v>Jim Kriz</v>
      </c>
      <c r="D1963" s="8" t="str">
        <f>IFERROR(__xludf.DUMMYFUNCTION("""COMPUTED_VALUE"""),"Home Office")</f>
        <v>Home Office</v>
      </c>
      <c r="E1963" s="8" t="str">
        <f>IFERROR(__xludf.DUMMYFUNCTION("""COMPUTED_VALUE"""),"East")</f>
        <v>East</v>
      </c>
      <c r="F1963" s="10">
        <f>IFERROR(__xludf.DUMMYFUNCTION("""COMPUTED_VALUE"""),17.52)</f>
        <v>17.52</v>
      </c>
      <c r="G1963" s="11">
        <f>IFERROR(__xludf.DUMMYFUNCTION("""COMPUTED_VALUE"""),3.0)</f>
        <v>3</v>
      </c>
      <c r="H1963" s="11">
        <f>IFERROR(__xludf.DUMMYFUNCTION("""COMPUTED_VALUE"""),6.3072)</f>
        <v>6.3072</v>
      </c>
    </row>
    <row r="1964">
      <c r="A1964" s="8" t="str">
        <f>IFERROR(__xludf.DUMMYFUNCTION("""COMPUTED_VALUE"""),"US-2015-150630")</f>
        <v>US-2015-150630</v>
      </c>
      <c r="B1964" s="9">
        <f>IFERROR(__xludf.DUMMYFUNCTION("""COMPUTED_VALUE"""),42264.0)</f>
        <v>42264</v>
      </c>
      <c r="C1964" s="8" t="str">
        <f>IFERROR(__xludf.DUMMYFUNCTION("""COMPUTED_VALUE"""),"Tracy Blumstein")</f>
        <v>Tracy Blumstein</v>
      </c>
      <c r="D1964" s="8" t="str">
        <f>IFERROR(__xludf.DUMMYFUNCTION("""COMPUTED_VALUE"""),"Consumer")</f>
        <v>Consumer</v>
      </c>
      <c r="E1964" s="8" t="str">
        <f>IFERROR(__xludf.DUMMYFUNCTION("""COMPUTED_VALUE"""),"East")</f>
        <v>East</v>
      </c>
      <c r="F1964" s="10">
        <f>IFERROR(__xludf.DUMMYFUNCTION("""COMPUTED_VALUE"""),3083.43)</f>
        <v>3083.43</v>
      </c>
      <c r="G1964" s="11">
        <f>IFERROR(__xludf.DUMMYFUNCTION("""COMPUTED_VALUE"""),7.0)</f>
        <v>7</v>
      </c>
      <c r="H1964" s="11">
        <f>IFERROR(__xludf.DUMMYFUNCTION("""COMPUTED_VALUE"""),-1665.0522)</f>
        <v>-1665.0522</v>
      </c>
    </row>
    <row r="1965">
      <c r="A1965" s="8" t="str">
        <f>IFERROR(__xludf.DUMMYFUNCTION("""COMPUTED_VALUE"""),"US-2015-151407")</f>
        <v>US-2015-151407</v>
      </c>
      <c r="B1965" s="9">
        <f>IFERROR(__xludf.DUMMYFUNCTION("""COMPUTED_VALUE"""),42316.0)</f>
        <v>42316</v>
      </c>
      <c r="C1965" s="8" t="str">
        <f>IFERROR(__xludf.DUMMYFUNCTION("""COMPUTED_VALUE"""),"Rob Dowd")</f>
        <v>Rob Dowd</v>
      </c>
      <c r="D1965" s="8" t="str">
        <f>IFERROR(__xludf.DUMMYFUNCTION("""COMPUTED_VALUE"""),"Consumer")</f>
        <v>Consumer</v>
      </c>
      <c r="E1965" s="8" t="str">
        <f>IFERROR(__xludf.DUMMYFUNCTION("""COMPUTED_VALUE"""),"Central")</f>
        <v>Central</v>
      </c>
      <c r="F1965" s="10">
        <f>IFERROR(__xludf.DUMMYFUNCTION("""COMPUTED_VALUE"""),263.96)</f>
        <v>263.96</v>
      </c>
      <c r="G1965" s="11">
        <f>IFERROR(__xludf.DUMMYFUNCTION("""COMPUTED_VALUE"""),4.0)</f>
        <v>4</v>
      </c>
      <c r="H1965" s="11">
        <f>IFERROR(__xludf.DUMMYFUNCTION("""COMPUTED_VALUE"""),76.5484)</f>
        <v>76.5484</v>
      </c>
    </row>
    <row r="1966">
      <c r="A1966" s="8" t="str">
        <f>IFERROR(__xludf.DUMMYFUNCTION("""COMPUTED_VALUE"""),"US-2015-151435")</f>
        <v>US-2015-151435</v>
      </c>
      <c r="B1966" s="9">
        <f>IFERROR(__xludf.DUMMYFUNCTION("""COMPUTED_VALUE"""),42253.0)</f>
        <v>42253</v>
      </c>
      <c r="C1966" s="8" t="str">
        <f>IFERROR(__xludf.DUMMYFUNCTION("""COMPUTED_VALUE"""),"Shaun Weien")</f>
        <v>Shaun Weien</v>
      </c>
      <c r="D1966" s="8" t="str">
        <f>IFERROR(__xludf.DUMMYFUNCTION("""COMPUTED_VALUE"""),"Consumer")</f>
        <v>Consumer</v>
      </c>
      <c r="E1966" s="8" t="str">
        <f>IFERROR(__xludf.DUMMYFUNCTION("""COMPUTED_VALUE"""),"South")</f>
        <v>South</v>
      </c>
      <c r="F1966" s="10">
        <f>IFERROR(__xludf.DUMMYFUNCTION("""COMPUTED_VALUE"""),85.98)</f>
        <v>85.98</v>
      </c>
      <c r="G1966" s="11">
        <f>IFERROR(__xludf.DUMMYFUNCTION("""COMPUTED_VALUE"""),1.0)</f>
        <v>1</v>
      </c>
      <c r="H1966" s="11">
        <f>IFERROR(__xludf.DUMMYFUNCTION("""COMPUTED_VALUE"""),22.3548)</f>
        <v>22.3548</v>
      </c>
    </row>
    <row r="1967">
      <c r="A1967" s="8" t="str">
        <f>IFERROR(__xludf.DUMMYFUNCTION("""COMPUTED_VALUE"""),"US-2015-152128")</f>
        <v>US-2015-152128</v>
      </c>
      <c r="B1967" s="9">
        <f>IFERROR(__xludf.DUMMYFUNCTION("""COMPUTED_VALUE"""),42149.0)</f>
        <v>42149</v>
      </c>
      <c r="C1967" s="8" t="str">
        <f>IFERROR(__xludf.DUMMYFUNCTION("""COMPUTED_VALUE"""),"Nathan Mautz")</f>
        <v>Nathan Mautz</v>
      </c>
      <c r="D1967" s="8" t="str">
        <f>IFERROR(__xludf.DUMMYFUNCTION("""COMPUTED_VALUE"""),"Home Office")</f>
        <v>Home Office</v>
      </c>
      <c r="E1967" s="8" t="str">
        <f>IFERROR(__xludf.DUMMYFUNCTION("""COMPUTED_VALUE"""),"Central")</f>
        <v>Central</v>
      </c>
      <c r="F1967" s="10">
        <f>IFERROR(__xludf.DUMMYFUNCTION("""COMPUTED_VALUE"""),21.24)</f>
        <v>21.24</v>
      </c>
      <c r="G1967" s="11">
        <f>IFERROR(__xludf.DUMMYFUNCTION("""COMPUTED_VALUE"""),3.0)</f>
        <v>3</v>
      </c>
      <c r="H1967" s="11">
        <f>IFERROR(__xludf.DUMMYFUNCTION("""COMPUTED_VALUE"""),8.0712)</f>
        <v>8.0712</v>
      </c>
    </row>
    <row r="1968">
      <c r="A1968" s="8" t="str">
        <f>IFERROR(__xludf.DUMMYFUNCTION("""COMPUTED_VALUE"""),"US-2015-153283")</f>
        <v>US-2015-153283</v>
      </c>
      <c r="B1968" s="9">
        <f>IFERROR(__xludf.DUMMYFUNCTION("""COMPUTED_VALUE"""),42320.0)</f>
        <v>42320</v>
      </c>
      <c r="C1968" s="8" t="str">
        <f>IFERROR(__xludf.DUMMYFUNCTION("""COMPUTED_VALUE"""),"Eugene Barchas")</f>
        <v>Eugene Barchas</v>
      </c>
      <c r="D1968" s="8" t="str">
        <f>IFERROR(__xludf.DUMMYFUNCTION("""COMPUTED_VALUE"""),"Consumer")</f>
        <v>Consumer</v>
      </c>
      <c r="E1968" s="8" t="str">
        <f>IFERROR(__xludf.DUMMYFUNCTION("""COMPUTED_VALUE"""),"East")</f>
        <v>East</v>
      </c>
      <c r="F1968" s="10">
        <f>IFERROR(__xludf.DUMMYFUNCTION("""COMPUTED_VALUE"""),15.56)</f>
        <v>15.56</v>
      </c>
      <c r="G1968" s="11">
        <f>IFERROR(__xludf.DUMMYFUNCTION("""COMPUTED_VALUE"""),2.0)</f>
        <v>2</v>
      </c>
      <c r="H1968" s="11">
        <f>IFERROR(__xludf.DUMMYFUNCTION("""COMPUTED_VALUE"""),7.3132)</f>
        <v>7.3132</v>
      </c>
    </row>
    <row r="1969">
      <c r="A1969" s="8" t="str">
        <f>IFERROR(__xludf.DUMMYFUNCTION("""COMPUTED_VALUE"""),"US-2015-153374")</f>
        <v>US-2015-153374</v>
      </c>
      <c r="B1969" s="9">
        <f>IFERROR(__xludf.DUMMYFUNCTION("""COMPUTED_VALUE"""),42044.0)</f>
        <v>42044</v>
      </c>
      <c r="C1969" s="8" t="str">
        <f>IFERROR(__xludf.DUMMYFUNCTION("""COMPUTED_VALUE"""),"Jill Fjeld")</f>
        <v>Jill Fjeld</v>
      </c>
      <c r="D1969" s="8" t="str">
        <f>IFERROR(__xludf.DUMMYFUNCTION("""COMPUTED_VALUE"""),"Consumer")</f>
        <v>Consumer</v>
      </c>
      <c r="E1969" s="8" t="str">
        <f>IFERROR(__xludf.DUMMYFUNCTION("""COMPUTED_VALUE"""),"Central")</f>
        <v>Central</v>
      </c>
      <c r="F1969" s="10">
        <f>IFERROR(__xludf.DUMMYFUNCTION("""COMPUTED_VALUE"""),479.952)</f>
        <v>479.952</v>
      </c>
      <c r="G1969" s="11">
        <f>IFERROR(__xludf.DUMMYFUNCTION("""COMPUTED_VALUE"""),6.0)</f>
        <v>6</v>
      </c>
      <c r="H1969" s="11">
        <f>IFERROR(__xludf.DUMMYFUNCTION("""COMPUTED_VALUE"""),89.991)</f>
        <v>89.991</v>
      </c>
    </row>
    <row r="1970">
      <c r="A1970" s="8" t="str">
        <f>IFERROR(__xludf.DUMMYFUNCTION("""COMPUTED_VALUE"""),"US-2015-153500")</f>
        <v>US-2015-153500</v>
      </c>
      <c r="B1970" s="9">
        <f>IFERROR(__xludf.DUMMYFUNCTION("""COMPUTED_VALUE"""),42188.0)</f>
        <v>42188</v>
      </c>
      <c r="C1970" s="8" t="str">
        <f>IFERROR(__xludf.DUMMYFUNCTION("""COMPUTED_VALUE"""),"Deirdre Greer")</f>
        <v>Deirdre Greer</v>
      </c>
      <c r="D1970" s="8" t="str">
        <f>IFERROR(__xludf.DUMMYFUNCTION("""COMPUTED_VALUE"""),"Corporate")</f>
        <v>Corporate</v>
      </c>
      <c r="E1970" s="8" t="str">
        <f>IFERROR(__xludf.DUMMYFUNCTION("""COMPUTED_VALUE"""),"East")</f>
        <v>East</v>
      </c>
      <c r="F1970" s="10">
        <f>IFERROR(__xludf.DUMMYFUNCTION("""COMPUTED_VALUE"""),168.464)</f>
        <v>168.464</v>
      </c>
      <c r="G1970" s="11">
        <f>IFERROR(__xludf.DUMMYFUNCTION("""COMPUTED_VALUE"""),2.0)</f>
        <v>2</v>
      </c>
      <c r="H1970" s="11">
        <f>IFERROR(__xludf.DUMMYFUNCTION("""COMPUTED_VALUE"""),-29.4812)</f>
        <v>-29.4812</v>
      </c>
    </row>
    <row r="1971">
      <c r="A1971" s="8" t="str">
        <f>IFERROR(__xludf.DUMMYFUNCTION("""COMPUTED_VALUE"""),"US-2015-154389")</f>
        <v>US-2015-154389</v>
      </c>
      <c r="B1971" s="9">
        <f>IFERROR(__xludf.DUMMYFUNCTION("""COMPUTED_VALUE"""),42335.0)</f>
        <v>42335</v>
      </c>
      <c r="C1971" s="8" t="str">
        <f>IFERROR(__xludf.DUMMYFUNCTION("""COMPUTED_VALUE"""),"Eugene Hildebrand")</f>
        <v>Eugene Hildebrand</v>
      </c>
      <c r="D1971" s="8" t="str">
        <f>IFERROR(__xludf.DUMMYFUNCTION("""COMPUTED_VALUE"""),"Home Office")</f>
        <v>Home Office</v>
      </c>
      <c r="E1971" s="8" t="str">
        <f>IFERROR(__xludf.DUMMYFUNCTION("""COMPUTED_VALUE"""),"East")</f>
        <v>East</v>
      </c>
      <c r="F1971" s="10">
        <f>IFERROR(__xludf.DUMMYFUNCTION("""COMPUTED_VALUE"""),748.752)</f>
        <v>748.752</v>
      </c>
      <c r="G1971" s="11">
        <f>IFERROR(__xludf.DUMMYFUNCTION("""COMPUTED_VALUE"""),8.0)</f>
        <v>8</v>
      </c>
      <c r="H1971" s="11">
        <f>IFERROR(__xludf.DUMMYFUNCTION("""COMPUTED_VALUE"""),-162.2296)</f>
        <v>-162.2296</v>
      </c>
    </row>
    <row r="1972">
      <c r="A1972" s="8" t="str">
        <f>IFERROR(__xludf.DUMMYFUNCTION("""COMPUTED_VALUE"""),"US-2015-155369")</f>
        <v>US-2015-155369</v>
      </c>
      <c r="B1972" s="9">
        <f>IFERROR(__xludf.DUMMYFUNCTION("""COMPUTED_VALUE"""),42113.0)</f>
        <v>42113</v>
      </c>
      <c r="C1972" s="8" t="str">
        <f>IFERROR(__xludf.DUMMYFUNCTION("""COMPUTED_VALUE"""),"Patrick Gardner")</f>
        <v>Patrick Gardner</v>
      </c>
      <c r="D1972" s="8" t="str">
        <f>IFERROR(__xludf.DUMMYFUNCTION("""COMPUTED_VALUE"""),"Consumer")</f>
        <v>Consumer</v>
      </c>
      <c r="E1972" s="8" t="str">
        <f>IFERROR(__xludf.DUMMYFUNCTION("""COMPUTED_VALUE"""),"Central")</f>
        <v>Central</v>
      </c>
      <c r="F1972" s="10">
        <f>IFERROR(__xludf.DUMMYFUNCTION("""COMPUTED_VALUE"""),19.568)</f>
        <v>19.568</v>
      </c>
      <c r="G1972" s="11">
        <f>IFERROR(__xludf.DUMMYFUNCTION("""COMPUTED_VALUE"""),2.0)</f>
        <v>2</v>
      </c>
      <c r="H1972" s="11">
        <f>IFERROR(__xludf.DUMMYFUNCTION("""COMPUTED_VALUE"""),-52.8336)</f>
        <v>-52.8336</v>
      </c>
    </row>
    <row r="1973">
      <c r="A1973" s="8" t="str">
        <f>IFERROR(__xludf.DUMMYFUNCTION("""COMPUTED_VALUE"""),"US-2015-156496")</f>
        <v>US-2015-156496</v>
      </c>
      <c r="B1973" s="9">
        <f>IFERROR(__xludf.DUMMYFUNCTION("""COMPUTED_VALUE"""),42226.0)</f>
        <v>42226</v>
      </c>
      <c r="C1973" s="8" t="str">
        <f>IFERROR(__xludf.DUMMYFUNCTION("""COMPUTED_VALUE"""),"William Brown")</f>
        <v>William Brown</v>
      </c>
      <c r="D1973" s="8" t="str">
        <f>IFERROR(__xludf.DUMMYFUNCTION("""COMPUTED_VALUE"""),"Consumer")</f>
        <v>Consumer</v>
      </c>
      <c r="E1973" s="8" t="str">
        <f>IFERROR(__xludf.DUMMYFUNCTION("""COMPUTED_VALUE"""),"West")</f>
        <v>West</v>
      </c>
      <c r="F1973" s="10">
        <f>IFERROR(__xludf.DUMMYFUNCTION("""COMPUTED_VALUE"""),438.368)</f>
        <v>438.368</v>
      </c>
      <c r="G1973" s="11">
        <f>IFERROR(__xludf.DUMMYFUNCTION("""COMPUTED_VALUE"""),4.0)</f>
        <v>4</v>
      </c>
      <c r="H1973" s="11">
        <f>IFERROR(__xludf.DUMMYFUNCTION("""COMPUTED_VALUE"""),38.3572)</f>
        <v>38.3572</v>
      </c>
    </row>
    <row r="1974">
      <c r="A1974" s="8" t="str">
        <f>IFERROR(__xludf.DUMMYFUNCTION("""COMPUTED_VALUE"""),"US-2015-156797")</f>
        <v>US-2015-156797</v>
      </c>
      <c r="B1974" s="9">
        <f>IFERROR(__xludf.DUMMYFUNCTION("""COMPUTED_VALUE"""),42227.0)</f>
        <v>42227</v>
      </c>
      <c r="C1974" s="8" t="str">
        <f>IFERROR(__xludf.DUMMYFUNCTION("""COMPUTED_VALUE"""),"Philisse Overcash")</f>
        <v>Philisse Overcash</v>
      </c>
      <c r="D1974" s="8" t="str">
        <f>IFERROR(__xludf.DUMMYFUNCTION("""COMPUTED_VALUE"""),"Home Office")</f>
        <v>Home Office</v>
      </c>
      <c r="E1974" s="8" t="str">
        <f>IFERROR(__xludf.DUMMYFUNCTION("""COMPUTED_VALUE"""),"East")</f>
        <v>East</v>
      </c>
      <c r="F1974" s="10">
        <f>IFERROR(__xludf.DUMMYFUNCTION("""COMPUTED_VALUE"""),11.96)</f>
        <v>11.96</v>
      </c>
      <c r="G1974" s="11">
        <f>IFERROR(__xludf.DUMMYFUNCTION("""COMPUTED_VALUE"""),2.0)</f>
        <v>2</v>
      </c>
      <c r="H1974" s="11">
        <f>IFERROR(__xludf.DUMMYFUNCTION("""COMPUTED_VALUE"""),3.1096)</f>
        <v>3.1096</v>
      </c>
    </row>
    <row r="1975">
      <c r="A1975" s="8" t="str">
        <f>IFERROR(__xludf.DUMMYFUNCTION("""COMPUTED_VALUE"""),"US-2015-156867")</f>
        <v>US-2015-156867</v>
      </c>
      <c r="B1975" s="9">
        <f>IFERROR(__xludf.DUMMYFUNCTION("""COMPUTED_VALUE"""),42321.0)</f>
        <v>42321</v>
      </c>
      <c r="C1975" s="8" t="str">
        <f>IFERROR(__xludf.DUMMYFUNCTION("""COMPUTED_VALUE"""),"Lena Cacioppo")</f>
        <v>Lena Cacioppo</v>
      </c>
      <c r="D1975" s="8" t="str">
        <f>IFERROR(__xludf.DUMMYFUNCTION("""COMPUTED_VALUE"""),"Consumer")</f>
        <v>Consumer</v>
      </c>
      <c r="E1975" s="8" t="str">
        <f>IFERROR(__xludf.DUMMYFUNCTION("""COMPUTED_VALUE"""),"West")</f>
        <v>West</v>
      </c>
      <c r="F1975" s="10">
        <f>IFERROR(__xludf.DUMMYFUNCTION("""COMPUTED_VALUE"""),238.896)</f>
        <v>238.896</v>
      </c>
      <c r="G1975" s="11">
        <f>IFERROR(__xludf.DUMMYFUNCTION("""COMPUTED_VALUE"""),6.0)</f>
        <v>6</v>
      </c>
      <c r="H1975" s="11">
        <f>IFERROR(__xludf.DUMMYFUNCTION("""COMPUTED_VALUE"""),-26.8758)</f>
        <v>-26.8758</v>
      </c>
    </row>
    <row r="1976">
      <c r="A1976" s="8" t="str">
        <f>IFERROR(__xludf.DUMMYFUNCTION("""COMPUTED_VALUE"""),"US-2015-157014")</f>
        <v>US-2015-157014</v>
      </c>
      <c r="B1976" s="9">
        <f>IFERROR(__xludf.DUMMYFUNCTION("""COMPUTED_VALUE"""),42280.0)</f>
        <v>42280</v>
      </c>
      <c r="C1976" s="8" t="str">
        <f>IFERROR(__xludf.DUMMYFUNCTION("""COMPUTED_VALUE"""),"Bryan Mills")</f>
        <v>Bryan Mills</v>
      </c>
      <c r="D1976" s="8" t="str">
        <f>IFERROR(__xludf.DUMMYFUNCTION("""COMPUTED_VALUE"""),"Consumer")</f>
        <v>Consumer</v>
      </c>
      <c r="E1976" s="8" t="str">
        <f>IFERROR(__xludf.DUMMYFUNCTION("""COMPUTED_VALUE"""),"East")</f>
        <v>East</v>
      </c>
      <c r="F1976" s="10">
        <f>IFERROR(__xludf.DUMMYFUNCTION("""COMPUTED_VALUE"""),32.07)</f>
        <v>32.07</v>
      </c>
      <c r="G1976" s="11">
        <f>IFERROR(__xludf.DUMMYFUNCTION("""COMPUTED_VALUE"""),5.0)</f>
        <v>5</v>
      </c>
      <c r="H1976" s="11">
        <f>IFERROR(__xludf.DUMMYFUNCTION("""COMPUTED_VALUE"""),-22.449)</f>
        <v>-22.449</v>
      </c>
    </row>
    <row r="1977">
      <c r="A1977" s="8" t="str">
        <f>IFERROR(__xludf.DUMMYFUNCTION("""COMPUTED_VALUE"""),"US-2015-157154")</f>
        <v>US-2015-157154</v>
      </c>
      <c r="B1977" s="9">
        <f>IFERROR(__xludf.DUMMYFUNCTION("""COMPUTED_VALUE"""),42014.0)</f>
        <v>42014</v>
      </c>
      <c r="C1977" s="8" t="str">
        <f>IFERROR(__xludf.DUMMYFUNCTION("""COMPUTED_VALUE"""),"Michael Moore")</f>
        <v>Michael Moore</v>
      </c>
      <c r="D1977" s="8" t="str">
        <f>IFERROR(__xludf.DUMMYFUNCTION("""COMPUTED_VALUE"""),"Consumer")</f>
        <v>Consumer</v>
      </c>
      <c r="E1977" s="8" t="str">
        <f>IFERROR(__xludf.DUMMYFUNCTION("""COMPUTED_VALUE"""),"East")</f>
        <v>East</v>
      </c>
      <c r="F1977" s="10">
        <f>IFERROR(__xludf.DUMMYFUNCTION("""COMPUTED_VALUE"""),1018.104)</f>
        <v>1018.104</v>
      </c>
      <c r="G1977" s="11">
        <f>IFERROR(__xludf.DUMMYFUNCTION("""COMPUTED_VALUE"""),4.0)</f>
        <v>4</v>
      </c>
      <c r="H1977" s="11">
        <f>IFERROR(__xludf.DUMMYFUNCTION("""COMPUTED_VALUE"""),-373.3048)</f>
        <v>-373.3048</v>
      </c>
    </row>
    <row r="1978">
      <c r="A1978" s="8" t="str">
        <f>IFERROR(__xludf.DUMMYFUNCTION("""COMPUTED_VALUE"""),"US-2015-158589")</f>
        <v>US-2015-158589</v>
      </c>
      <c r="B1978" s="9">
        <f>IFERROR(__xludf.DUMMYFUNCTION("""COMPUTED_VALUE"""),42328.0)</f>
        <v>42328</v>
      </c>
      <c r="C1978" s="8" t="str">
        <f>IFERROR(__xludf.DUMMYFUNCTION("""COMPUTED_VALUE"""),"Kelly Williams")</f>
        <v>Kelly Williams</v>
      </c>
      <c r="D1978" s="8" t="str">
        <f>IFERROR(__xludf.DUMMYFUNCTION("""COMPUTED_VALUE"""),"Consumer")</f>
        <v>Consumer</v>
      </c>
      <c r="E1978" s="8" t="str">
        <f>IFERROR(__xludf.DUMMYFUNCTION("""COMPUTED_VALUE"""),"West")</f>
        <v>West</v>
      </c>
      <c r="F1978" s="10">
        <f>IFERROR(__xludf.DUMMYFUNCTION("""COMPUTED_VALUE"""),32.04)</f>
        <v>32.04</v>
      </c>
      <c r="G1978" s="11">
        <f>IFERROR(__xludf.DUMMYFUNCTION("""COMPUTED_VALUE"""),3.0)</f>
        <v>3</v>
      </c>
      <c r="H1978" s="11">
        <f>IFERROR(__xludf.DUMMYFUNCTION("""COMPUTED_VALUE"""),8.01)</f>
        <v>8.01</v>
      </c>
    </row>
    <row r="1979">
      <c r="A1979" s="8" t="str">
        <f>IFERROR(__xludf.DUMMYFUNCTION("""COMPUTED_VALUE"""),"US-2015-158911")</f>
        <v>US-2015-158911</v>
      </c>
      <c r="B1979" s="9">
        <f>IFERROR(__xludf.DUMMYFUNCTION("""COMPUTED_VALUE"""),42190.0)</f>
        <v>42190</v>
      </c>
      <c r="C1979" s="8" t="str">
        <f>IFERROR(__xludf.DUMMYFUNCTION("""COMPUTED_VALUE"""),"Roland Schwarz")</f>
        <v>Roland Schwarz</v>
      </c>
      <c r="D1979" s="8" t="str">
        <f>IFERROR(__xludf.DUMMYFUNCTION("""COMPUTED_VALUE"""),"Corporate")</f>
        <v>Corporate</v>
      </c>
      <c r="E1979" s="8" t="str">
        <f>IFERROR(__xludf.DUMMYFUNCTION("""COMPUTED_VALUE"""),"South")</f>
        <v>South</v>
      </c>
      <c r="F1979" s="10">
        <f>IFERROR(__xludf.DUMMYFUNCTION("""COMPUTED_VALUE"""),4.928)</f>
        <v>4.928</v>
      </c>
      <c r="G1979" s="11">
        <f>IFERROR(__xludf.DUMMYFUNCTION("""COMPUTED_VALUE"""),2.0)</f>
        <v>2</v>
      </c>
      <c r="H1979" s="11">
        <f>IFERROR(__xludf.DUMMYFUNCTION("""COMPUTED_VALUE"""),0.7392)</f>
        <v>0.7392</v>
      </c>
    </row>
    <row r="1980">
      <c r="A1980" s="8" t="str">
        <f>IFERROR(__xludf.DUMMYFUNCTION("""COMPUTED_VALUE"""),"US-2015-159499")</f>
        <v>US-2015-159499</v>
      </c>
      <c r="B1980" s="9">
        <f>IFERROR(__xludf.DUMMYFUNCTION("""COMPUTED_VALUE"""),42329.0)</f>
        <v>42329</v>
      </c>
      <c r="C1980" s="8" t="str">
        <f>IFERROR(__xludf.DUMMYFUNCTION("""COMPUTED_VALUE"""),"Eudokia Martin")</f>
        <v>Eudokia Martin</v>
      </c>
      <c r="D1980" s="8" t="str">
        <f>IFERROR(__xludf.DUMMYFUNCTION("""COMPUTED_VALUE"""),"Corporate")</f>
        <v>Corporate</v>
      </c>
      <c r="E1980" s="8" t="str">
        <f>IFERROR(__xludf.DUMMYFUNCTION("""COMPUTED_VALUE"""),"West")</f>
        <v>West</v>
      </c>
      <c r="F1980" s="10">
        <f>IFERROR(__xludf.DUMMYFUNCTION("""COMPUTED_VALUE"""),325.632)</f>
        <v>325.632</v>
      </c>
      <c r="G1980" s="11">
        <f>IFERROR(__xludf.DUMMYFUNCTION("""COMPUTED_VALUE"""),6.0)</f>
        <v>6</v>
      </c>
      <c r="H1980" s="11">
        <f>IFERROR(__xludf.DUMMYFUNCTION("""COMPUTED_VALUE"""),28.4928)</f>
        <v>28.4928</v>
      </c>
    </row>
    <row r="1981">
      <c r="A1981" s="8" t="str">
        <f>IFERROR(__xludf.DUMMYFUNCTION("""COMPUTED_VALUE"""),"US-2015-159513")</f>
        <v>US-2015-159513</v>
      </c>
      <c r="B1981" s="9">
        <f>IFERROR(__xludf.DUMMYFUNCTION("""COMPUTED_VALUE"""),42096.0)</f>
        <v>42096</v>
      </c>
      <c r="C1981" s="8" t="str">
        <f>IFERROR(__xludf.DUMMYFUNCTION("""COMPUTED_VALUE"""),"John Dryer")</f>
        <v>John Dryer</v>
      </c>
      <c r="D1981" s="8" t="str">
        <f>IFERROR(__xludf.DUMMYFUNCTION("""COMPUTED_VALUE"""),"Consumer")</f>
        <v>Consumer</v>
      </c>
      <c r="E1981" s="8" t="str">
        <f>IFERROR(__xludf.DUMMYFUNCTION("""COMPUTED_VALUE"""),"West")</f>
        <v>West</v>
      </c>
      <c r="F1981" s="10">
        <f>IFERROR(__xludf.DUMMYFUNCTION("""COMPUTED_VALUE"""),71.976)</f>
        <v>71.976</v>
      </c>
      <c r="G1981" s="11">
        <f>IFERROR(__xludf.DUMMYFUNCTION("""COMPUTED_VALUE"""),3.0)</f>
        <v>3</v>
      </c>
      <c r="H1981" s="11">
        <f>IFERROR(__xludf.DUMMYFUNCTION("""COMPUTED_VALUE"""),24.2919)</f>
        <v>24.2919</v>
      </c>
    </row>
    <row r="1982">
      <c r="A1982" s="8" t="str">
        <f>IFERROR(__xludf.DUMMYFUNCTION("""COMPUTED_VALUE"""),"US-2015-159982")</f>
        <v>US-2015-159982</v>
      </c>
      <c r="B1982" s="9">
        <f>IFERROR(__xludf.DUMMYFUNCTION("""COMPUTED_VALUE"""),42336.0)</f>
        <v>42336</v>
      </c>
      <c r="C1982" s="8" t="str">
        <f>IFERROR(__xludf.DUMMYFUNCTION("""COMPUTED_VALUE"""),"Dan Reichenbach")</f>
        <v>Dan Reichenbach</v>
      </c>
      <c r="D1982" s="8" t="str">
        <f>IFERROR(__xludf.DUMMYFUNCTION("""COMPUTED_VALUE"""),"Corporate")</f>
        <v>Corporate</v>
      </c>
      <c r="E1982" s="8" t="str">
        <f>IFERROR(__xludf.DUMMYFUNCTION("""COMPUTED_VALUE"""),"Central")</f>
        <v>Central</v>
      </c>
      <c r="F1982" s="10">
        <f>IFERROR(__xludf.DUMMYFUNCTION("""COMPUTED_VALUE"""),12.132)</f>
        <v>12.132</v>
      </c>
      <c r="G1982" s="11">
        <f>IFERROR(__xludf.DUMMYFUNCTION("""COMPUTED_VALUE"""),9.0)</f>
        <v>9</v>
      </c>
      <c r="H1982" s="11">
        <f>IFERROR(__xludf.DUMMYFUNCTION("""COMPUTED_VALUE"""),-8.4924)</f>
        <v>-8.4924</v>
      </c>
    </row>
    <row r="1983">
      <c r="A1983" s="8" t="str">
        <f>IFERROR(__xludf.DUMMYFUNCTION("""COMPUTED_VALUE"""),"US-2015-160150")</f>
        <v>US-2015-160150</v>
      </c>
      <c r="B1983" s="9">
        <f>IFERROR(__xludf.DUMMYFUNCTION("""COMPUTED_VALUE"""),42204.0)</f>
        <v>42204</v>
      </c>
      <c r="C1983" s="8" t="str">
        <f>IFERROR(__xludf.DUMMYFUNCTION("""COMPUTED_VALUE"""),"Thais Sissman")</f>
        <v>Thais Sissman</v>
      </c>
      <c r="D1983" s="8" t="str">
        <f>IFERROR(__xludf.DUMMYFUNCTION("""COMPUTED_VALUE"""),"Consumer")</f>
        <v>Consumer</v>
      </c>
      <c r="E1983" s="8" t="str">
        <f>IFERROR(__xludf.DUMMYFUNCTION("""COMPUTED_VALUE"""),"West")</f>
        <v>West</v>
      </c>
      <c r="F1983" s="10">
        <f>IFERROR(__xludf.DUMMYFUNCTION("""COMPUTED_VALUE"""),2.025)</f>
        <v>2.025</v>
      </c>
      <c r="G1983" s="11">
        <f>IFERROR(__xludf.DUMMYFUNCTION("""COMPUTED_VALUE"""),1.0)</f>
        <v>1</v>
      </c>
      <c r="H1983" s="11">
        <f>IFERROR(__xludf.DUMMYFUNCTION("""COMPUTED_VALUE"""),-1.35)</f>
        <v>-1.35</v>
      </c>
    </row>
    <row r="1984">
      <c r="A1984" s="8" t="str">
        <f>IFERROR(__xludf.DUMMYFUNCTION("""COMPUTED_VALUE"""),"US-2015-160563")</f>
        <v>US-2015-160563</v>
      </c>
      <c r="B1984" s="9">
        <f>IFERROR(__xludf.DUMMYFUNCTION("""COMPUTED_VALUE"""),42297.0)</f>
        <v>42297</v>
      </c>
      <c r="C1984" s="8" t="str">
        <f>IFERROR(__xludf.DUMMYFUNCTION("""COMPUTED_VALUE"""),"Noel Staavos")</f>
        <v>Noel Staavos</v>
      </c>
      <c r="D1984" s="8" t="str">
        <f>IFERROR(__xludf.DUMMYFUNCTION("""COMPUTED_VALUE"""),"Corporate")</f>
        <v>Corporate</v>
      </c>
      <c r="E1984" s="8" t="str">
        <f>IFERROR(__xludf.DUMMYFUNCTION("""COMPUTED_VALUE"""),"West")</f>
        <v>West</v>
      </c>
      <c r="F1984" s="10">
        <f>IFERROR(__xludf.DUMMYFUNCTION("""COMPUTED_VALUE"""),239.97)</f>
        <v>239.97</v>
      </c>
      <c r="G1984" s="11">
        <f>IFERROR(__xludf.DUMMYFUNCTION("""COMPUTED_VALUE"""),3.0)</f>
        <v>3</v>
      </c>
      <c r="H1984" s="11">
        <f>IFERROR(__xludf.DUMMYFUNCTION("""COMPUTED_VALUE"""),86.3892)</f>
        <v>86.3892</v>
      </c>
    </row>
    <row r="1985">
      <c r="A1985" s="8" t="str">
        <f>IFERROR(__xludf.DUMMYFUNCTION("""COMPUTED_VALUE"""),"US-2015-160857")</f>
        <v>US-2015-160857</v>
      </c>
      <c r="B1985" s="9">
        <f>IFERROR(__xludf.DUMMYFUNCTION("""COMPUTED_VALUE"""),42132.0)</f>
        <v>42132</v>
      </c>
      <c r="C1985" s="8" t="str">
        <f>IFERROR(__xludf.DUMMYFUNCTION("""COMPUTED_VALUE"""),"Natalie Webber")</f>
        <v>Natalie Webber</v>
      </c>
      <c r="D1985" s="8" t="str">
        <f>IFERROR(__xludf.DUMMYFUNCTION("""COMPUTED_VALUE"""),"Consumer")</f>
        <v>Consumer</v>
      </c>
      <c r="E1985" s="8" t="str">
        <f>IFERROR(__xludf.DUMMYFUNCTION("""COMPUTED_VALUE"""),"East")</f>
        <v>East</v>
      </c>
      <c r="F1985" s="10">
        <f>IFERROR(__xludf.DUMMYFUNCTION("""COMPUTED_VALUE"""),79.44)</f>
        <v>79.44</v>
      </c>
      <c r="G1985" s="11">
        <f>IFERROR(__xludf.DUMMYFUNCTION("""COMPUTED_VALUE"""),3.0)</f>
        <v>3</v>
      </c>
      <c r="H1985" s="11">
        <f>IFERROR(__xludf.DUMMYFUNCTION("""COMPUTED_VALUE"""),30.1872)</f>
        <v>30.1872</v>
      </c>
    </row>
    <row r="1986">
      <c r="A1986" s="8" t="str">
        <f>IFERROR(__xludf.DUMMYFUNCTION("""COMPUTED_VALUE"""),"US-2015-161347")</f>
        <v>US-2015-161347</v>
      </c>
      <c r="B1986" s="9">
        <f>IFERROR(__xludf.DUMMYFUNCTION("""COMPUTED_VALUE"""),42260.0)</f>
        <v>42260</v>
      </c>
      <c r="C1986" s="8" t="str">
        <f>IFERROR(__xludf.DUMMYFUNCTION("""COMPUTED_VALUE"""),"Harry Greene")</f>
        <v>Harry Greene</v>
      </c>
      <c r="D1986" s="8" t="str">
        <f>IFERROR(__xludf.DUMMYFUNCTION("""COMPUTED_VALUE"""),"Consumer")</f>
        <v>Consumer</v>
      </c>
      <c r="E1986" s="8" t="str">
        <f>IFERROR(__xludf.DUMMYFUNCTION("""COMPUTED_VALUE"""),"East")</f>
        <v>East</v>
      </c>
      <c r="F1986" s="10">
        <f>IFERROR(__xludf.DUMMYFUNCTION("""COMPUTED_VALUE"""),2.412)</f>
        <v>2.412</v>
      </c>
      <c r="G1986" s="11">
        <f>IFERROR(__xludf.DUMMYFUNCTION("""COMPUTED_VALUE"""),1.0)</f>
        <v>1</v>
      </c>
      <c r="H1986" s="11">
        <f>IFERROR(__xludf.DUMMYFUNCTION("""COMPUTED_VALUE"""),-2.01)</f>
        <v>-2.01</v>
      </c>
    </row>
    <row r="1987">
      <c r="A1987" s="8" t="str">
        <f>IFERROR(__xludf.DUMMYFUNCTION("""COMPUTED_VALUE"""),"US-2015-161466")</f>
        <v>US-2015-161466</v>
      </c>
      <c r="B1987" s="9">
        <f>IFERROR(__xludf.DUMMYFUNCTION("""COMPUTED_VALUE"""),42271.0)</f>
        <v>42271</v>
      </c>
      <c r="C1987" s="8" t="str">
        <f>IFERROR(__xludf.DUMMYFUNCTION("""COMPUTED_VALUE"""),"Odella Nelson")</f>
        <v>Odella Nelson</v>
      </c>
      <c r="D1987" s="8" t="str">
        <f>IFERROR(__xludf.DUMMYFUNCTION("""COMPUTED_VALUE"""),"Corporate")</f>
        <v>Corporate</v>
      </c>
      <c r="E1987" s="8" t="str">
        <f>IFERROR(__xludf.DUMMYFUNCTION("""COMPUTED_VALUE"""),"East")</f>
        <v>East</v>
      </c>
      <c r="F1987" s="10">
        <f>IFERROR(__xludf.DUMMYFUNCTION("""COMPUTED_VALUE"""),6.848)</f>
        <v>6.848</v>
      </c>
      <c r="G1987" s="11">
        <f>IFERROR(__xludf.DUMMYFUNCTION("""COMPUTED_VALUE"""),2.0)</f>
        <v>2</v>
      </c>
      <c r="H1987" s="11">
        <f>IFERROR(__xludf.DUMMYFUNCTION("""COMPUTED_VALUE"""),0.5992)</f>
        <v>0.5992</v>
      </c>
    </row>
    <row r="1988">
      <c r="A1988" s="8" t="str">
        <f>IFERROR(__xludf.DUMMYFUNCTION("""COMPUTED_VALUE"""),"US-2015-161991")</f>
        <v>US-2015-161991</v>
      </c>
      <c r="B1988" s="9">
        <f>IFERROR(__xludf.DUMMYFUNCTION("""COMPUTED_VALUE"""),42273.0)</f>
        <v>42273</v>
      </c>
      <c r="C1988" s="8" t="str">
        <f>IFERROR(__xludf.DUMMYFUNCTION("""COMPUTED_VALUE"""),"Steven Cartwright")</f>
        <v>Steven Cartwright</v>
      </c>
      <c r="D1988" s="8" t="str">
        <f>IFERROR(__xludf.DUMMYFUNCTION("""COMPUTED_VALUE"""),"Consumer")</f>
        <v>Consumer</v>
      </c>
      <c r="E1988" s="8" t="str">
        <f>IFERROR(__xludf.DUMMYFUNCTION("""COMPUTED_VALUE"""),"Central")</f>
        <v>Central</v>
      </c>
      <c r="F1988" s="10">
        <f>IFERROR(__xludf.DUMMYFUNCTION("""COMPUTED_VALUE"""),2.08)</f>
        <v>2.08</v>
      </c>
      <c r="G1988" s="11">
        <f>IFERROR(__xludf.DUMMYFUNCTION("""COMPUTED_VALUE"""),5.0)</f>
        <v>5</v>
      </c>
      <c r="H1988" s="11">
        <f>IFERROR(__xludf.DUMMYFUNCTION("""COMPUTED_VALUE"""),-3.432)</f>
        <v>-3.432</v>
      </c>
    </row>
    <row r="1989">
      <c r="A1989" s="8" t="str">
        <f>IFERROR(__xludf.DUMMYFUNCTION("""COMPUTED_VALUE"""),"US-2015-163279")</f>
        <v>US-2015-163279</v>
      </c>
      <c r="B1989" s="9">
        <f>IFERROR(__xludf.DUMMYFUNCTION("""COMPUTED_VALUE"""),42085.0)</f>
        <v>42085</v>
      </c>
      <c r="C1989" s="8" t="str">
        <f>IFERROR(__xludf.DUMMYFUNCTION("""COMPUTED_VALUE"""),"Justin Deggeller")</f>
        <v>Justin Deggeller</v>
      </c>
      <c r="D1989" s="8" t="str">
        <f>IFERROR(__xludf.DUMMYFUNCTION("""COMPUTED_VALUE"""),"Corporate")</f>
        <v>Corporate</v>
      </c>
      <c r="E1989" s="8" t="str">
        <f>IFERROR(__xludf.DUMMYFUNCTION("""COMPUTED_VALUE"""),"West")</f>
        <v>West</v>
      </c>
      <c r="F1989" s="10">
        <f>IFERROR(__xludf.DUMMYFUNCTION("""COMPUTED_VALUE"""),105.52)</f>
        <v>105.52</v>
      </c>
      <c r="G1989" s="11">
        <f>IFERROR(__xludf.DUMMYFUNCTION("""COMPUTED_VALUE"""),4.0)</f>
        <v>4</v>
      </c>
      <c r="H1989" s="11">
        <f>IFERROR(__xludf.DUMMYFUNCTION("""COMPUTED_VALUE"""),48.5392)</f>
        <v>48.5392</v>
      </c>
    </row>
    <row r="1990">
      <c r="A1990" s="8" t="str">
        <f>IFERROR(__xludf.DUMMYFUNCTION("""COMPUTED_VALUE"""),"US-2015-163433")</f>
        <v>US-2015-163433</v>
      </c>
      <c r="B1990" s="9">
        <f>IFERROR(__xludf.DUMMYFUNCTION("""COMPUTED_VALUE"""),42112.0)</f>
        <v>42112</v>
      </c>
      <c r="C1990" s="8" t="str">
        <f>IFERROR(__xludf.DUMMYFUNCTION("""COMPUTED_VALUE"""),"Michael Paige")</f>
        <v>Michael Paige</v>
      </c>
      <c r="D1990" s="8" t="str">
        <f>IFERROR(__xludf.DUMMYFUNCTION("""COMPUTED_VALUE"""),"Corporate")</f>
        <v>Corporate</v>
      </c>
      <c r="E1990" s="8" t="str">
        <f>IFERROR(__xludf.DUMMYFUNCTION("""COMPUTED_VALUE"""),"Central")</f>
        <v>Central</v>
      </c>
      <c r="F1990" s="10">
        <f>IFERROR(__xludf.DUMMYFUNCTION("""COMPUTED_VALUE"""),41.424)</f>
        <v>41.424</v>
      </c>
      <c r="G1990" s="11">
        <f>IFERROR(__xludf.DUMMYFUNCTION("""COMPUTED_VALUE"""),2.0)</f>
        <v>2</v>
      </c>
      <c r="H1990" s="11">
        <f>IFERROR(__xludf.DUMMYFUNCTION("""COMPUTED_VALUE"""),8.2848)</f>
        <v>8.2848</v>
      </c>
    </row>
    <row r="1991">
      <c r="A1991" s="8" t="str">
        <f>IFERROR(__xludf.DUMMYFUNCTION("""COMPUTED_VALUE"""),"US-2015-163685")</f>
        <v>US-2015-163685</v>
      </c>
      <c r="B1991" s="9">
        <f>IFERROR(__xludf.DUMMYFUNCTION("""COMPUTED_VALUE"""),42156.0)</f>
        <v>42156</v>
      </c>
      <c r="C1991" s="8" t="str">
        <f>IFERROR(__xludf.DUMMYFUNCTION("""COMPUTED_VALUE"""),"Katrina Edelman")</f>
        <v>Katrina Edelman</v>
      </c>
      <c r="D1991" s="8" t="str">
        <f>IFERROR(__xludf.DUMMYFUNCTION("""COMPUTED_VALUE"""),"Corporate")</f>
        <v>Corporate</v>
      </c>
      <c r="E1991" s="8" t="str">
        <f>IFERROR(__xludf.DUMMYFUNCTION("""COMPUTED_VALUE"""),"Central")</f>
        <v>Central</v>
      </c>
      <c r="F1991" s="10">
        <f>IFERROR(__xludf.DUMMYFUNCTION("""COMPUTED_VALUE"""),5.728)</f>
        <v>5.728</v>
      </c>
      <c r="G1991" s="11">
        <f>IFERROR(__xludf.DUMMYFUNCTION("""COMPUTED_VALUE"""),8.0)</f>
        <v>8</v>
      </c>
      <c r="H1991" s="11">
        <f>IFERROR(__xludf.DUMMYFUNCTION("""COMPUTED_VALUE"""),-9.1648)</f>
        <v>-9.1648</v>
      </c>
    </row>
    <row r="1992">
      <c r="A1992" s="8" t="str">
        <f>IFERROR(__xludf.DUMMYFUNCTION("""COMPUTED_VALUE"""),"US-2015-163783")</f>
        <v>US-2015-163783</v>
      </c>
      <c r="B1992" s="9">
        <f>IFERROR(__xludf.DUMMYFUNCTION("""COMPUTED_VALUE"""),42365.0)</f>
        <v>42365</v>
      </c>
      <c r="C1992" s="8" t="str">
        <f>IFERROR(__xludf.DUMMYFUNCTION("""COMPUTED_VALUE"""),"Daniel Raglin")</f>
        <v>Daniel Raglin</v>
      </c>
      <c r="D1992" s="8" t="str">
        <f>IFERROR(__xludf.DUMMYFUNCTION("""COMPUTED_VALUE"""),"Home Office")</f>
        <v>Home Office</v>
      </c>
      <c r="E1992" s="8" t="str">
        <f>IFERROR(__xludf.DUMMYFUNCTION("""COMPUTED_VALUE"""),"Central")</f>
        <v>Central</v>
      </c>
      <c r="F1992" s="10">
        <f>IFERROR(__xludf.DUMMYFUNCTION("""COMPUTED_VALUE"""),12.672)</f>
        <v>12.672</v>
      </c>
      <c r="G1992" s="11">
        <f>IFERROR(__xludf.DUMMYFUNCTION("""COMPUTED_VALUE"""),3.0)</f>
        <v>3</v>
      </c>
      <c r="H1992" s="11">
        <f>IFERROR(__xludf.DUMMYFUNCTION("""COMPUTED_VALUE"""),-3.168)</f>
        <v>-3.168</v>
      </c>
    </row>
    <row r="1993">
      <c r="A1993" s="8" t="str">
        <f>IFERROR(__xludf.DUMMYFUNCTION("""COMPUTED_VALUE"""),"US-2015-163825")</f>
        <v>US-2015-163825</v>
      </c>
      <c r="B1993" s="9">
        <f>IFERROR(__xludf.DUMMYFUNCTION("""COMPUTED_VALUE"""),42171.0)</f>
        <v>42171</v>
      </c>
      <c r="C1993" s="8" t="str">
        <f>IFERROR(__xludf.DUMMYFUNCTION("""COMPUTED_VALUE"""),"Lena Creighton")</f>
        <v>Lena Creighton</v>
      </c>
      <c r="D1993" s="8" t="str">
        <f>IFERROR(__xludf.DUMMYFUNCTION("""COMPUTED_VALUE"""),"Consumer")</f>
        <v>Consumer</v>
      </c>
      <c r="E1993" s="8" t="str">
        <f>IFERROR(__xludf.DUMMYFUNCTION("""COMPUTED_VALUE"""),"East")</f>
        <v>East</v>
      </c>
      <c r="F1993" s="10">
        <f>IFERROR(__xludf.DUMMYFUNCTION("""COMPUTED_VALUE"""),3050.376)</f>
        <v>3050.376</v>
      </c>
      <c r="G1993" s="11">
        <f>IFERROR(__xludf.DUMMYFUNCTION("""COMPUTED_VALUE"""),3.0)</f>
        <v>3</v>
      </c>
      <c r="H1993" s="11">
        <f>IFERROR(__xludf.DUMMYFUNCTION("""COMPUTED_VALUE"""),1143.891)</f>
        <v>1143.891</v>
      </c>
    </row>
    <row r="1994">
      <c r="A1994" s="8" t="str">
        <f>IFERROR(__xludf.DUMMYFUNCTION("""COMPUTED_VALUE"""),"US-2015-164175")</f>
        <v>US-2015-164175</v>
      </c>
      <c r="B1994" s="9">
        <f>IFERROR(__xludf.DUMMYFUNCTION("""COMPUTED_VALUE"""),42124.0)</f>
        <v>42124</v>
      </c>
      <c r="C1994" s="8" t="str">
        <f>IFERROR(__xludf.DUMMYFUNCTION("""COMPUTED_VALUE"""),"Paul Stevenson")</f>
        <v>Paul Stevenson</v>
      </c>
      <c r="D1994" s="8" t="str">
        <f>IFERROR(__xludf.DUMMYFUNCTION("""COMPUTED_VALUE"""),"Home Office")</f>
        <v>Home Office</v>
      </c>
      <c r="E1994" s="8" t="str">
        <f>IFERROR(__xludf.DUMMYFUNCTION("""COMPUTED_VALUE"""),"Central")</f>
        <v>Central</v>
      </c>
      <c r="F1994" s="10">
        <f>IFERROR(__xludf.DUMMYFUNCTION("""COMPUTED_VALUE"""),213.115)</f>
        <v>213.115</v>
      </c>
      <c r="G1994" s="11">
        <f>IFERROR(__xludf.DUMMYFUNCTION("""COMPUTED_VALUE"""),5.0)</f>
        <v>5</v>
      </c>
      <c r="H1994" s="11">
        <f>IFERROR(__xludf.DUMMYFUNCTION("""COMPUTED_VALUE"""),-15.2225)</f>
        <v>-15.2225</v>
      </c>
    </row>
    <row r="1995">
      <c r="A1995" s="8" t="str">
        <f>IFERROR(__xludf.DUMMYFUNCTION("""COMPUTED_VALUE"""),"US-2015-164238")</f>
        <v>US-2015-164238</v>
      </c>
      <c r="B1995" s="9">
        <f>IFERROR(__xludf.DUMMYFUNCTION("""COMPUTED_VALUE"""),42232.0)</f>
        <v>42232</v>
      </c>
      <c r="C1995" s="8" t="str">
        <f>IFERROR(__xludf.DUMMYFUNCTION("""COMPUTED_VALUE"""),"Joni Wasserman")</f>
        <v>Joni Wasserman</v>
      </c>
      <c r="D1995" s="8" t="str">
        <f>IFERROR(__xludf.DUMMYFUNCTION("""COMPUTED_VALUE"""),"Consumer")</f>
        <v>Consumer</v>
      </c>
      <c r="E1995" s="8" t="str">
        <f>IFERROR(__xludf.DUMMYFUNCTION("""COMPUTED_VALUE"""),"East")</f>
        <v>East</v>
      </c>
      <c r="F1995" s="10">
        <f>IFERROR(__xludf.DUMMYFUNCTION("""COMPUTED_VALUE"""),44.688)</f>
        <v>44.688</v>
      </c>
      <c r="G1995" s="11">
        <f>IFERROR(__xludf.DUMMYFUNCTION("""COMPUTED_VALUE"""),7.0)</f>
        <v>7</v>
      </c>
      <c r="H1995" s="11">
        <f>IFERROR(__xludf.DUMMYFUNCTION("""COMPUTED_VALUE"""),3.3516)</f>
        <v>3.3516</v>
      </c>
    </row>
    <row r="1996">
      <c r="A1996" s="8" t="str">
        <f>IFERROR(__xludf.DUMMYFUNCTION("""COMPUTED_VALUE"""),"US-2015-164308")</f>
        <v>US-2015-164308</v>
      </c>
      <c r="B1996" s="9">
        <f>IFERROR(__xludf.DUMMYFUNCTION("""COMPUTED_VALUE"""),42271.0)</f>
        <v>42271</v>
      </c>
      <c r="C1996" s="8" t="str">
        <f>IFERROR(__xludf.DUMMYFUNCTION("""COMPUTED_VALUE"""),"Steve Carroll")</f>
        <v>Steve Carroll</v>
      </c>
      <c r="D1996" s="8" t="str">
        <f>IFERROR(__xludf.DUMMYFUNCTION("""COMPUTED_VALUE"""),"Home Office")</f>
        <v>Home Office</v>
      </c>
      <c r="E1996" s="8" t="str">
        <f>IFERROR(__xludf.DUMMYFUNCTION("""COMPUTED_VALUE"""),"Central")</f>
        <v>Central</v>
      </c>
      <c r="F1996" s="10">
        <f>IFERROR(__xludf.DUMMYFUNCTION("""COMPUTED_VALUE"""),821.94)</f>
        <v>821.94</v>
      </c>
      <c r="G1996" s="11">
        <f>IFERROR(__xludf.DUMMYFUNCTION("""COMPUTED_VALUE"""),6.0)</f>
        <v>6</v>
      </c>
      <c r="H1996" s="11">
        <f>IFERROR(__xludf.DUMMYFUNCTION("""COMPUTED_VALUE"""),213.7044)</f>
        <v>213.7044</v>
      </c>
    </row>
    <row r="1997">
      <c r="A1997" s="8" t="str">
        <f>IFERROR(__xludf.DUMMYFUNCTION("""COMPUTED_VALUE"""),"US-2015-164357")</f>
        <v>US-2015-164357</v>
      </c>
      <c r="B1997" s="9">
        <f>IFERROR(__xludf.DUMMYFUNCTION("""COMPUTED_VALUE"""),42333.0)</f>
        <v>42333</v>
      </c>
      <c r="C1997" s="8" t="str">
        <f>IFERROR(__xludf.DUMMYFUNCTION("""COMPUTED_VALUE"""),"Sandra Flanagan")</f>
        <v>Sandra Flanagan</v>
      </c>
      <c r="D1997" s="8" t="str">
        <f>IFERROR(__xludf.DUMMYFUNCTION("""COMPUTED_VALUE"""),"Consumer")</f>
        <v>Consumer</v>
      </c>
      <c r="E1997" s="8" t="str">
        <f>IFERROR(__xludf.DUMMYFUNCTION("""COMPUTED_VALUE"""),"South")</f>
        <v>South</v>
      </c>
      <c r="F1997" s="10">
        <f>IFERROR(__xludf.DUMMYFUNCTION("""COMPUTED_VALUE"""),13.12)</f>
        <v>13.12</v>
      </c>
      <c r="G1997" s="11">
        <f>IFERROR(__xludf.DUMMYFUNCTION("""COMPUTED_VALUE"""),5.0)</f>
        <v>5</v>
      </c>
      <c r="H1997" s="11">
        <f>IFERROR(__xludf.DUMMYFUNCTION("""COMPUTED_VALUE"""),1.476)</f>
        <v>1.476</v>
      </c>
    </row>
    <row r="1998">
      <c r="A1998" s="8" t="str">
        <f>IFERROR(__xludf.DUMMYFUNCTION("""COMPUTED_VALUE"""),"US-2015-164448")</f>
        <v>US-2015-164448</v>
      </c>
      <c r="B1998" s="9">
        <f>IFERROR(__xludf.DUMMYFUNCTION("""COMPUTED_VALUE"""),42308.0)</f>
        <v>42308</v>
      </c>
      <c r="C1998" s="8" t="str">
        <f>IFERROR(__xludf.DUMMYFUNCTION("""COMPUTED_VALUE"""),"Damala Kotsonis")</f>
        <v>Damala Kotsonis</v>
      </c>
      <c r="D1998" s="8" t="str">
        <f>IFERROR(__xludf.DUMMYFUNCTION("""COMPUTED_VALUE"""),"Corporate")</f>
        <v>Corporate</v>
      </c>
      <c r="E1998" s="8" t="str">
        <f>IFERROR(__xludf.DUMMYFUNCTION("""COMPUTED_VALUE"""),"West")</f>
        <v>West</v>
      </c>
      <c r="F1998" s="10">
        <f>IFERROR(__xludf.DUMMYFUNCTION("""COMPUTED_VALUE"""),9.728)</f>
        <v>9.728</v>
      </c>
      <c r="G1998" s="11">
        <f>IFERROR(__xludf.DUMMYFUNCTION("""COMPUTED_VALUE"""),2.0)</f>
        <v>2</v>
      </c>
      <c r="H1998" s="11">
        <f>IFERROR(__xludf.DUMMYFUNCTION("""COMPUTED_VALUE"""),3.2832)</f>
        <v>3.2832</v>
      </c>
    </row>
    <row r="1999">
      <c r="A1999" s="8" t="str">
        <f>IFERROR(__xludf.DUMMYFUNCTION("""COMPUTED_VALUE"""),"US-2015-164966")</f>
        <v>US-2015-164966</v>
      </c>
      <c r="B1999" s="9">
        <f>IFERROR(__xludf.DUMMYFUNCTION("""COMPUTED_VALUE"""),42215.0)</f>
        <v>42215</v>
      </c>
      <c r="C1999" s="8" t="str">
        <f>IFERROR(__xludf.DUMMYFUNCTION("""COMPUTED_VALUE"""),"Gary Hansen")</f>
        <v>Gary Hansen</v>
      </c>
      <c r="D1999" s="8" t="str">
        <f>IFERROR(__xludf.DUMMYFUNCTION("""COMPUTED_VALUE"""),"Home Office")</f>
        <v>Home Office</v>
      </c>
      <c r="E1999" s="8" t="str">
        <f>IFERROR(__xludf.DUMMYFUNCTION("""COMPUTED_VALUE"""),"Central")</f>
        <v>Central</v>
      </c>
      <c r="F1999" s="10">
        <f>IFERROR(__xludf.DUMMYFUNCTION("""COMPUTED_VALUE"""),155.88)</f>
        <v>155.88</v>
      </c>
      <c r="G1999" s="11">
        <f>IFERROR(__xludf.DUMMYFUNCTION("""COMPUTED_VALUE"""),6.0)</f>
        <v>6</v>
      </c>
      <c r="H1999" s="11">
        <f>IFERROR(__xludf.DUMMYFUNCTION("""COMPUTED_VALUE"""),38.97)</f>
        <v>38.97</v>
      </c>
    </row>
    <row r="2000">
      <c r="A2000" s="8" t="str">
        <f>IFERROR(__xludf.DUMMYFUNCTION("""COMPUTED_VALUE"""),"US-2015-165449")</f>
        <v>US-2015-165449</v>
      </c>
      <c r="B2000" s="9">
        <f>IFERROR(__xludf.DUMMYFUNCTION("""COMPUTED_VALUE"""),42330.0)</f>
        <v>42330</v>
      </c>
      <c r="C2000" s="8" t="str">
        <f>IFERROR(__xludf.DUMMYFUNCTION("""COMPUTED_VALUE"""),"Anne Pryor")</f>
        <v>Anne Pryor</v>
      </c>
      <c r="D2000" s="8" t="str">
        <f>IFERROR(__xludf.DUMMYFUNCTION("""COMPUTED_VALUE"""),"Home Office")</f>
        <v>Home Office</v>
      </c>
      <c r="E2000" s="8" t="str">
        <f>IFERROR(__xludf.DUMMYFUNCTION("""COMPUTED_VALUE"""),"Central")</f>
        <v>Central</v>
      </c>
      <c r="F2000" s="10">
        <f>IFERROR(__xludf.DUMMYFUNCTION("""COMPUTED_VALUE"""),27.168)</f>
        <v>27.168</v>
      </c>
      <c r="G2000" s="11">
        <f>IFERROR(__xludf.DUMMYFUNCTION("""COMPUTED_VALUE"""),4.0)</f>
        <v>4</v>
      </c>
      <c r="H2000" s="11">
        <f>IFERROR(__xludf.DUMMYFUNCTION("""COMPUTED_VALUE"""),-1.3584)</f>
        <v>-1.3584</v>
      </c>
    </row>
    <row r="2001">
      <c r="A2001" s="8" t="str">
        <f>IFERROR(__xludf.DUMMYFUNCTION("""COMPUTED_VALUE"""),"US-2015-165512")</f>
        <v>US-2015-165512</v>
      </c>
      <c r="B2001" s="9">
        <f>IFERROR(__xludf.DUMMYFUNCTION("""COMPUTED_VALUE"""),42148.0)</f>
        <v>42148</v>
      </c>
      <c r="C2001" s="8" t="str">
        <f>IFERROR(__xludf.DUMMYFUNCTION("""COMPUTED_VALUE"""),"Vivek Sundaresam")</f>
        <v>Vivek Sundaresam</v>
      </c>
      <c r="D2001" s="8" t="str">
        <f>IFERROR(__xludf.DUMMYFUNCTION("""COMPUTED_VALUE"""),"Consumer")</f>
        <v>Consumer</v>
      </c>
      <c r="E2001" s="8" t="str">
        <f>IFERROR(__xludf.DUMMYFUNCTION("""COMPUTED_VALUE"""),"Central")</f>
        <v>Central</v>
      </c>
      <c r="F2001" s="10">
        <f>IFERROR(__xludf.DUMMYFUNCTION("""COMPUTED_VALUE"""),602.651)</f>
        <v>602.651</v>
      </c>
      <c r="G2001" s="11">
        <f>IFERROR(__xludf.DUMMYFUNCTION("""COMPUTED_VALUE"""),7.0)</f>
        <v>7</v>
      </c>
      <c r="H2001" s="11">
        <f>IFERROR(__xludf.DUMMYFUNCTION("""COMPUTED_VALUE"""),-163.5767)</f>
        <v>-163.5767</v>
      </c>
    </row>
    <row r="2002">
      <c r="A2002" s="8" t="str">
        <f>IFERROR(__xludf.DUMMYFUNCTION("""COMPUTED_VALUE"""),"US-2015-165743")</f>
        <v>US-2015-165743</v>
      </c>
      <c r="B2002" s="9">
        <f>IFERROR(__xludf.DUMMYFUNCTION("""COMPUTED_VALUE"""),42328.0)</f>
        <v>42328</v>
      </c>
      <c r="C2002" s="8" t="str">
        <f>IFERROR(__xludf.DUMMYFUNCTION("""COMPUTED_VALUE"""),"Michelle Moray")</f>
        <v>Michelle Moray</v>
      </c>
      <c r="D2002" s="8" t="str">
        <f>IFERROR(__xludf.DUMMYFUNCTION("""COMPUTED_VALUE"""),"Consumer")</f>
        <v>Consumer</v>
      </c>
      <c r="E2002" s="8" t="str">
        <f>IFERROR(__xludf.DUMMYFUNCTION("""COMPUTED_VALUE"""),"West")</f>
        <v>West</v>
      </c>
      <c r="F2002" s="10">
        <f>IFERROR(__xludf.DUMMYFUNCTION("""COMPUTED_VALUE"""),4.896)</f>
        <v>4.896</v>
      </c>
      <c r="G2002" s="11">
        <f>IFERROR(__xludf.DUMMYFUNCTION("""COMPUTED_VALUE"""),3.0)</f>
        <v>3</v>
      </c>
      <c r="H2002" s="11">
        <f>IFERROR(__xludf.DUMMYFUNCTION("""COMPUTED_VALUE"""),-3.4272)</f>
        <v>-3.4272</v>
      </c>
    </row>
    <row r="2003">
      <c r="A2003" s="8" t="str">
        <f>IFERROR(__xludf.DUMMYFUNCTION("""COMPUTED_VALUE"""),"US-2015-166520")</f>
        <v>US-2015-166520</v>
      </c>
      <c r="B2003" s="9">
        <f>IFERROR(__xludf.DUMMYFUNCTION("""COMPUTED_VALUE"""),42201.0)</f>
        <v>42201</v>
      </c>
      <c r="C2003" s="8" t="str">
        <f>IFERROR(__xludf.DUMMYFUNCTION("""COMPUTED_VALUE"""),"Katrina Edelman")</f>
        <v>Katrina Edelman</v>
      </c>
      <c r="D2003" s="8" t="str">
        <f>IFERROR(__xludf.DUMMYFUNCTION("""COMPUTED_VALUE"""),"Corporate")</f>
        <v>Corporate</v>
      </c>
      <c r="E2003" s="8" t="str">
        <f>IFERROR(__xludf.DUMMYFUNCTION("""COMPUTED_VALUE"""),"East")</f>
        <v>East</v>
      </c>
      <c r="F2003" s="10">
        <f>IFERROR(__xludf.DUMMYFUNCTION("""COMPUTED_VALUE"""),80.88)</f>
        <v>80.88</v>
      </c>
      <c r="G2003" s="11">
        <f>IFERROR(__xludf.DUMMYFUNCTION("""COMPUTED_VALUE"""),3.0)</f>
        <v>3</v>
      </c>
      <c r="H2003" s="11">
        <f>IFERROR(__xludf.DUMMYFUNCTION("""COMPUTED_VALUE"""),39.6312)</f>
        <v>39.6312</v>
      </c>
    </row>
    <row r="2004">
      <c r="A2004" s="8" t="str">
        <f>IFERROR(__xludf.DUMMYFUNCTION("""COMPUTED_VALUE"""),"US-2015-167220")</f>
        <v>US-2015-167220</v>
      </c>
      <c r="B2004" s="9">
        <f>IFERROR(__xludf.DUMMYFUNCTION("""COMPUTED_VALUE"""),42350.0)</f>
        <v>42350</v>
      </c>
      <c r="C2004" s="8" t="str">
        <f>IFERROR(__xludf.DUMMYFUNCTION("""COMPUTED_VALUE"""),"Joni Blumstein")</f>
        <v>Joni Blumstein</v>
      </c>
      <c r="D2004" s="8" t="str">
        <f>IFERROR(__xludf.DUMMYFUNCTION("""COMPUTED_VALUE"""),"Consumer")</f>
        <v>Consumer</v>
      </c>
      <c r="E2004" s="8" t="str">
        <f>IFERROR(__xludf.DUMMYFUNCTION("""COMPUTED_VALUE"""),"Central")</f>
        <v>Central</v>
      </c>
      <c r="F2004" s="10">
        <f>IFERROR(__xludf.DUMMYFUNCTION("""COMPUTED_VALUE"""),22.368)</f>
        <v>22.368</v>
      </c>
      <c r="G2004" s="11">
        <f>IFERROR(__xludf.DUMMYFUNCTION("""COMPUTED_VALUE"""),4.0)</f>
        <v>4</v>
      </c>
      <c r="H2004" s="11">
        <f>IFERROR(__xludf.DUMMYFUNCTION("""COMPUTED_VALUE"""),6.4308)</f>
        <v>6.4308</v>
      </c>
    </row>
    <row r="2005">
      <c r="A2005" s="8" t="str">
        <f>IFERROR(__xludf.DUMMYFUNCTION("""COMPUTED_VALUE"""),"US-2015-168704")</f>
        <v>US-2015-168704</v>
      </c>
      <c r="B2005" s="9">
        <f>IFERROR(__xludf.DUMMYFUNCTION("""COMPUTED_VALUE"""),42107.0)</f>
        <v>42107</v>
      </c>
      <c r="C2005" s="8" t="str">
        <f>IFERROR(__xludf.DUMMYFUNCTION("""COMPUTED_VALUE"""),"Frank Preis")</f>
        <v>Frank Preis</v>
      </c>
      <c r="D2005" s="8" t="str">
        <f>IFERROR(__xludf.DUMMYFUNCTION("""COMPUTED_VALUE"""),"Consumer")</f>
        <v>Consumer</v>
      </c>
      <c r="E2005" s="8" t="str">
        <f>IFERROR(__xludf.DUMMYFUNCTION("""COMPUTED_VALUE"""),"Central")</f>
        <v>Central</v>
      </c>
      <c r="F2005" s="10">
        <f>IFERROR(__xludf.DUMMYFUNCTION("""COMPUTED_VALUE"""),609.98)</f>
        <v>609.98</v>
      </c>
      <c r="G2005" s="11">
        <f>IFERROR(__xludf.DUMMYFUNCTION("""COMPUTED_VALUE"""),4.0)</f>
        <v>4</v>
      </c>
      <c r="H2005" s="11">
        <f>IFERROR(__xludf.DUMMYFUNCTION("""COMPUTED_VALUE"""),-113.282)</f>
        <v>-113.282</v>
      </c>
    </row>
    <row r="2006">
      <c r="A2006" s="8" t="str">
        <f>IFERROR(__xludf.DUMMYFUNCTION("""COMPUTED_VALUE"""),"US-2015-168732")</f>
        <v>US-2015-168732</v>
      </c>
      <c r="B2006" s="9">
        <f>IFERROR(__xludf.DUMMYFUNCTION("""COMPUTED_VALUE"""),42348.0)</f>
        <v>42348</v>
      </c>
      <c r="C2006" s="8" t="str">
        <f>IFERROR(__xludf.DUMMYFUNCTION("""COMPUTED_VALUE"""),"Khloe Miller")</f>
        <v>Khloe Miller</v>
      </c>
      <c r="D2006" s="8" t="str">
        <f>IFERROR(__xludf.DUMMYFUNCTION("""COMPUTED_VALUE"""),"Consumer")</f>
        <v>Consumer</v>
      </c>
      <c r="E2006" s="8" t="str">
        <f>IFERROR(__xludf.DUMMYFUNCTION("""COMPUTED_VALUE"""),"South")</f>
        <v>South</v>
      </c>
      <c r="F2006" s="10">
        <f>IFERROR(__xludf.DUMMYFUNCTION("""COMPUTED_VALUE"""),1.78)</f>
        <v>1.78</v>
      </c>
      <c r="G2006" s="11">
        <f>IFERROR(__xludf.DUMMYFUNCTION("""COMPUTED_VALUE"""),1.0)</f>
        <v>1</v>
      </c>
      <c r="H2006" s="11">
        <f>IFERROR(__xludf.DUMMYFUNCTION("""COMPUTED_VALUE"""),0.4984)</f>
        <v>0.4984</v>
      </c>
    </row>
    <row r="2007">
      <c r="A2007" s="8" t="str">
        <f>IFERROR(__xludf.DUMMYFUNCTION("""COMPUTED_VALUE"""),"US-2015-168914")</f>
        <v>US-2015-168914</v>
      </c>
      <c r="B2007" s="9">
        <f>IFERROR(__xludf.DUMMYFUNCTION("""COMPUTED_VALUE"""),42145.0)</f>
        <v>42145</v>
      </c>
      <c r="C2007" s="8" t="str">
        <f>IFERROR(__xludf.DUMMYFUNCTION("""COMPUTED_VALUE"""),"Joel Eaton")</f>
        <v>Joel Eaton</v>
      </c>
      <c r="D2007" s="8" t="str">
        <f>IFERROR(__xludf.DUMMYFUNCTION("""COMPUTED_VALUE"""),"Consumer")</f>
        <v>Consumer</v>
      </c>
      <c r="E2007" s="8" t="str">
        <f>IFERROR(__xludf.DUMMYFUNCTION("""COMPUTED_VALUE"""),"Central")</f>
        <v>Central</v>
      </c>
      <c r="F2007" s="10">
        <f>IFERROR(__xludf.DUMMYFUNCTION("""COMPUTED_VALUE"""),20.768)</f>
        <v>20.768</v>
      </c>
      <c r="G2007" s="11">
        <f>IFERROR(__xludf.DUMMYFUNCTION("""COMPUTED_VALUE"""),8.0)</f>
        <v>8</v>
      </c>
      <c r="H2007" s="11">
        <f>IFERROR(__xludf.DUMMYFUNCTION("""COMPUTED_VALUE"""),-52.9584)</f>
        <v>-52.9584</v>
      </c>
    </row>
    <row r="2008">
      <c r="A2008" s="8" t="str">
        <f>IFERROR(__xludf.DUMMYFUNCTION("""COMPUTED_VALUE"""),"US-2015-168935")</f>
        <v>US-2015-168935</v>
      </c>
      <c r="B2008" s="9">
        <f>IFERROR(__xludf.DUMMYFUNCTION("""COMPUTED_VALUE"""),42335.0)</f>
        <v>42335</v>
      </c>
      <c r="C2008" s="8" t="str">
        <f>IFERROR(__xludf.DUMMYFUNCTION("""COMPUTED_VALUE"""),"Denny Ordway")</f>
        <v>Denny Ordway</v>
      </c>
      <c r="D2008" s="8" t="str">
        <f>IFERROR(__xludf.DUMMYFUNCTION("""COMPUTED_VALUE"""),"Consumer")</f>
        <v>Consumer</v>
      </c>
      <c r="E2008" s="8" t="str">
        <f>IFERROR(__xludf.DUMMYFUNCTION("""COMPUTED_VALUE"""),"South")</f>
        <v>South</v>
      </c>
      <c r="F2008" s="10">
        <f>IFERROR(__xludf.DUMMYFUNCTION("""COMPUTED_VALUE"""),375.4575)</f>
        <v>375.4575</v>
      </c>
      <c r="G2008" s="11">
        <f>IFERROR(__xludf.DUMMYFUNCTION("""COMPUTED_VALUE"""),3.0)</f>
        <v>3</v>
      </c>
      <c r="H2008" s="11">
        <f>IFERROR(__xludf.DUMMYFUNCTION("""COMPUTED_VALUE"""),-157.0095)</f>
        <v>-157.0095</v>
      </c>
    </row>
    <row r="2009">
      <c r="A2009" s="2"/>
      <c r="B2009" s="13"/>
      <c r="C2009" s="2"/>
      <c r="D2009" s="2"/>
      <c r="E2009" s="2"/>
      <c r="F2009" s="14"/>
      <c r="G2009" s="2"/>
      <c r="H2009" s="2"/>
    </row>
    <row r="2010">
      <c r="A2010" s="2"/>
      <c r="B2010" s="13"/>
      <c r="C2010" s="2"/>
      <c r="D2010" s="2"/>
      <c r="E2010" s="2"/>
      <c r="F2010" s="14"/>
      <c r="G2010" s="2"/>
      <c r="H2010" s="2"/>
    </row>
    <row r="2011">
      <c r="A2011" s="2"/>
      <c r="B2011" s="13"/>
      <c r="C2011" s="2"/>
      <c r="D2011" s="2"/>
      <c r="E2011" s="2"/>
      <c r="F2011" s="14"/>
      <c r="G2011" s="2"/>
      <c r="H2011" s="2"/>
    </row>
    <row r="2012">
      <c r="A2012" s="2"/>
      <c r="B2012" s="13"/>
      <c r="C2012" s="2"/>
      <c r="D2012" s="2"/>
      <c r="E2012" s="2"/>
      <c r="F2012" s="14"/>
      <c r="G2012" s="2"/>
      <c r="H2012" s="2"/>
    </row>
    <row r="2013">
      <c r="A2013" s="2"/>
      <c r="B2013" s="13"/>
      <c r="C2013" s="2"/>
      <c r="D2013" s="2"/>
      <c r="E2013" s="2"/>
      <c r="F2013" s="14"/>
      <c r="G2013" s="2"/>
      <c r="H2013" s="2"/>
    </row>
    <row r="2014">
      <c r="A2014" s="2"/>
      <c r="B2014" s="13"/>
      <c r="C2014" s="2"/>
      <c r="D2014" s="2"/>
      <c r="E2014" s="2"/>
      <c r="F2014" s="14"/>
      <c r="G2014" s="2"/>
      <c r="H2014" s="2"/>
    </row>
    <row r="2015">
      <c r="A2015" s="2"/>
      <c r="B2015" s="13"/>
      <c r="C2015" s="2"/>
      <c r="D2015" s="2"/>
      <c r="E2015" s="2"/>
      <c r="F2015" s="14"/>
      <c r="G2015" s="2"/>
      <c r="H2015" s="2"/>
    </row>
    <row r="2016">
      <c r="A2016" s="2"/>
      <c r="B2016" s="13"/>
      <c r="C2016" s="2"/>
      <c r="D2016" s="2"/>
      <c r="E2016" s="2"/>
      <c r="F2016" s="14"/>
      <c r="G2016" s="2"/>
      <c r="H2016" s="2"/>
    </row>
    <row r="2017">
      <c r="A2017" s="2"/>
      <c r="B2017" s="13"/>
      <c r="C2017" s="2"/>
      <c r="D2017" s="2"/>
      <c r="E2017" s="2"/>
      <c r="F2017" s="14"/>
      <c r="G2017" s="2"/>
      <c r="H2017" s="2"/>
    </row>
    <row r="2018">
      <c r="A2018" s="2"/>
      <c r="B2018" s="13"/>
      <c r="C2018" s="2"/>
      <c r="D2018" s="2"/>
      <c r="E2018" s="2"/>
      <c r="F2018" s="14"/>
      <c r="G2018" s="2"/>
      <c r="H2018" s="2"/>
    </row>
    <row r="2019">
      <c r="A2019" s="2"/>
      <c r="B2019" s="13"/>
      <c r="C2019" s="2"/>
      <c r="D2019" s="2"/>
      <c r="E2019" s="2"/>
      <c r="F2019" s="14"/>
      <c r="G2019" s="2"/>
      <c r="H2019" s="2"/>
    </row>
    <row r="2020">
      <c r="A2020" s="2"/>
      <c r="B2020" s="13"/>
      <c r="C2020" s="2"/>
      <c r="D2020" s="2"/>
      <c r="E2020" s="2"/>
      <c r="F2020" s="14"/>
      <c r="G2020" s="2"/>
      <c r="H2020" s="2"/>
    </row>
    <row r="2021">
      <c r="A2021" s="2"/>
      <c r="B2021" s="13"/>
      <c r="C2021" s="2"/>
      <c r="D2021" s="2"/>
      <c r="E2021" s="2"/>
      <c r="F2021" s="14"/>
      <c r="G2021" s="2"/>
      <c r="H2021" s="2"/>
    </row>
    <row r="2022">
      <c r="A2022" s="2"/>
      <c r="B2022" s="13"/>
      <c r="C2022" s="2"/>
      <c r="D2022" s="2"/>
      <c r="E2022" s="2"/>
      <c r="F2022" s="14"/>
      <c r="G2022" s="2"/>
      <c r="H2022" s="2"/>
    </row>
    <row r="2023">
      <c r="A2023" s="2"/>
      <c r="B2023" s="13"/>
      <c r="C2023" s="2"/>
      <c r="D2023" s="2"/>
      <c r="E2023" s="2"/>
      <c r="F2023" s="14"/>
      <c r="G2023" s="2"/>
      <c r="H2023" s="2"/>
    </row>
    <row r="2024">
      <c r="A2024" s="2"/>
      <c r="B2024" s="13"/>
      <c r="C2024" s="2"/>
      <c r="D2024" s="2"/>
      <c r="E2024" s="2"/>
      <c r="F2024" s="14"/>
      <c r="G2024" s="2"/>
      <c r="H2024" s="2"/>
    </row>
    <row r="2025">
      <c r="A2025" s="2"/>
      <c r="B2025" s="13"/>
      <c r="C2025" s="2"/>
      <c r="D2025" s="2"/>
      <c r="E2025" s="2"/>
      <c r="F2025" s="14"/>
      <c r="G2025" s="2"/>
      <c r="H2025" s="2"/>
    </row>
    <row r="2026">
      <c r="A2026" s="2"/>
      <c r="B2026" s="13"/>
      <c r="C2026" s="2"/>
      <c r="D2026" s="2"/>
      <c r="E2026" s="2"/>
      <c r="F2026" s="14"/>
      <c r="G2026" s="2"/>
      <c r="H2026" s="2"/>
    </row>
    <row r="2027">
      <c r="A2027" s="2"/>
      <c r="B2027" s="13"/>
      <c r="C2027" s="2"/>
      <c r="D2027" s="2"/>
      <c r="E2027" s="2"/>
      <c r="F2027" s="14"/>
      <c r="G2027" s="2"/>
      <c r="H2027" s="2"/>
    </row>
    <row r="2028">
      <c r="A2028" s="2"/>
      <c r="B2028" s="13"/>
      <c r="C2028" s="2"/>
      <c r="D2028" s="2"/>
      <c r="E2028" s="2"/>
      <c r="F2028" s="14"/>
      <c r="G2028" s="2"/>
      <c r="H2028" s="2"/>
    </row>
    <row r="2029">
      <c r="A2029" s="2"/>
      <c r="B2029" s="13"/>
      <c r="C2029" s="2"/>
      <c r="D2029" s="2"/>
      <c r="E2029" s="2"/>
      <c r="F2029" s="14"/>
      <c r="G2029" s="2"/>
      <c r="H2029" s="2"/>
    </row>
    <row r="2030">
      <c r="A2030" s="2"/>
      <c r="B2030" s="13"/>
      <c r="C2030" s="2"/>
      <c r="D2030" s="2"/>
      <c r="E2030" s="2"/>
      <c r="F2030" s="14"/>
      <c r="G2030" s="2"/>
      <c r="H2030" s="2"/>
    </row>
    <row r="2031">
      <c r="A2031" s="2"/>
      <c r="B2031" s="13"/>
      <c r="C2031" s="2"/>
      <c r="D2031" s="2"/>
      <c r="E2031" s="2"/>
      <c r="F2031" s="14"/>
      <c r="G2031" s="2"/>
      <c r="H2031" s="2"/>
    </row>
    <row r="2032">
      <c r="A2032" s="2"/>
      <c r="B2032" s="13"/>
      <c r="C2032" s="2"/>
      <c r="D2032" s="2"/>
      <c r="E2032" s="2"/>
      <c r="F2032" s="14"/>
      <c r="G2032" s="2"/>
      <c r="H2032" s="2"/>
    </row>
    <row r="2033">
      <c r="A2033" s="2"/>
      <c r="B2033" s="13"/>
      <c r="C2033" s="2"/>
      <c r="D2033" s="2"/>
      <c r="E2033" s="2"/>
      <c r="F2033" s="14"/>
      <c r="G2033" s="2"/>
      <c r="H2033" s="2"/>
    </row>
    <row r="2034">
      <c r="A2034" s="2"/>
      <c r="B2034" s="13"/>
      <c r="C2034" s="2"/>
      <c r="D2034" s="2"/>
      <c r="E2034" s="2"/>
      <c r="F2034" s="14"/>
      <c r="G2034" s="2"/>
      <c r="H2034" s="2"/>
    </row>
    <row r="2035">
      <c r="A2035" s="2"/>
      <c r="B2035" s="13"/>
      <c r="C2035" s="2"/>
      <c r="D2035" s="2"/>
      <c r="E2035" s="2"/>
      <c r="F2035" s="14"/>
      <c r="G2035" s="2"/>
      <c r="H2035" s="2"/>
    </row>
    <row r="2036">
      <c r="A2036" s="2"/>
      <c r="B2036" s="13"/>
      <c r="C2036" s="2"/>
      <c r="D2036" s="2"/>
      <c r="E2036" s="2"/>
      <c r="F2036" s="14"/>
      <c r="G2036" s="2"/>
      <c r="H2036" s="2"/>
    </row>
    <row r="2037">
      <c r="A2037" s="2"/>
      <c r="B2037" s="13"/>
      <c r="C2037" s="2"/>
      <c r="D2037" s="2"/>
      <c r="E2037" s="2"/>
      <c r="F2037" s="14"/>
      <c r="G2037" s="2"/>
      <c r="H2037" s="2"/>
    </row>
    <row r="2038">
      <c r="A2038" s="2"/>
      <c r="B2038" s="13"/>
      <c r="C2038" s="2"/>
      <c r="D2038" s="2"/>
      <c r="E2038" s="2"/>
      <c r="F2038" s="14"/>
      <c r="G2038" s="2"/>
      <c r="H2038" s="2"/>
    </row>
    <row r="2039">
      <c r="A2039" s="2"/>
      <c r="B2039" s="13"/>
      <c r="C2039" s="2"/>
      <c r="D2039" s="2"/>
      <c r="E2039" s="2"/>
      <c r="F2039" s="14"/>
      <c r="G2039" s="2"/>
      <c r="H2039" s="2"/>
    </row>
    <row r="2040">
      <c r="A2040" s="2"/>
      <c r="B2040" s="13"/>
      <c r="C2040" s="2"/>
      <c r="D2040" s="2"/>
      <c r="E2040" s="2"/>
      <c r="F2040" s="14"/>
      <c r="G2040" s="2"/>
      <c r="H2040" s="2"/>
    </row>
    <row r="2041">
      <c r="A2041" s="2"/>
      <c r="B2041" s="13"/>
      <c r="C2041" s="2"/>
      <c r="D2041" s="2"/>
      <c r="E2041" s="2"/>
      <c r="F2041" s="14"/>
      <c r="G2041" s="2"/>
      <c r="H2041" s="2"/>
    </row>
    <row r="2042">
      <c r="A2042" s="2"/>
      <c r="B2042" s="13"/>
      <c r="C2042" s="2"/>
      <c r="D2042" s="2"/>
      <c r="E2042" s="2"/>
      <c r="F2042" s="14"/>
      <c r="G2042" s="2"/>
      <c r="H2042" s="2"/>
    </row>
    <row r="2043">
      <c r="A2043" s="2"/>
      <c r="B2043" s="13"/>
      <c r="C2043" s="2"/>
      <c r="D2043" s="2"/>
      <c r="E2043" s="2"/>
      <c r="F2043" s="14"/>
      <c r="G2043" s="2"/>
      <c r="H2043" s="2"/>
    </row>
    <row r="2044">
      <c r="A2044" s="2"/>
      <c r="B2044" s="13"/>
      <c r="C2044" s="2"/>
      <c r="D2044" s="2"/>
      <c r="E2044" s="2"/>
      <c r="F2044" s="14"/>
      <c r="G2044" s="2"/>
      <c r="H2044" s="2"/>
    </row>
    <row r="2045">
      <c r="A2045" s="2"/>
      <c r="B2045" s="13"/>
      <c r="C2045" s="2"/>
      <c r="D2045" s="2"/>
      <c r="E2045" s="2"/>
      <c r="F2045" s="14"/>
      <c r="G2045" s="2"/>
      <c r="H2045" s="2"/>
    </row>
    <row r="2046">
      <c r="A2046" s="2"/>
      <c r="B2046" s="13"/>
      <c r="C2046" s="2"/>
      <c r="D2046" s="2"/>
      <c r="E2046" s="2"/>
      <c r="F2046" s="14"/>
      <c r="G2046" s="2"/>
      <c r="H2046" s="2"/>
    </row>
    <row r="2047">
      <c r="A2047" s="2"/>
      <c r="B2047" s="13"/>
      <c r="C2047" s="2"/>
      <c r="D2047" s="2"/>
      <c r="E2047" s="2"/>
      <c r="F2047" s="14"/>
      <c r="G2047" s="2"/>
      <c r="H2047" s="2"/>
    </row>
    <row r="2048">
      <c r="A2048" s="2"/>
      <c r="B2048" s="13"/>
      <c r="C2048" s="2"/>
      <c r="D2048" s="2"/>
      <c r="E2048" s="2"/>
      <c r="F2048" s="14"/>
      <c r="G2048" s="2"/>
      <c r="H2048" s="2"/>
    </row>
    <row r="2049">
      <c r="A2049" s="2"/>
      <c r="B2049" s="13"/>
      <c r="C2049" s="2"/>
      <c r="D2049" s="2"/>
      <c r="E2049" s="2"/>
      <c r="F2049" s="14"/>
      <c r="G2049" s="2"/>
      <c r="H2049" s="2"/>
    </row>
    <row r="2050">
      <c r="A2050" s="2"/>
      <c r="B2050" s="13"/>
      <c r="C2050" s="2"/>
      <c r="D2050" s="2"/>
      <c r="E2050" s="2"/>
      <c r="F2050" s="14"/>
      <c r="G2050" s="2"/>
      <c r="H2050" s="2"/>
    </row>
    <row r="2051">
      <c r="A2051" s="2"/>
      <c r="B2051" s="13"/>
      <c r="C2051" s="2"/>
      <c r="D2051" s="2"/>
      <c r="E2051" s="2"/>
      <c r="F2051" s="14"/>
      <c r="G2051" s="2"/>
      <c r="H2051" s="2"/>
    </row>
    <row r="2052">
      <c r="A2052" s="2"/>
      <c r="B2052" s="13"/>
      <c r="C2052" s="2"/>
      <c r="D2052" s="2"/>
      <c r="E2052" s="2"/>
      <c r="F2052" s="14"/>
      <c r="G2052" s="2"/>
      <c r="H2052" s="2"/>
    </row>
    <row r="2053">
      <c r="A2053" s="2"/>
      <c r="B2053" s="13"/>
      <c r="C2053" s="2"/>
      <c r="D2053" s="2"/>
      <c r="E2053" s="2"/>
      <c r="F2053" s="14"/>
      <c r="G2053" s="2"/>
      <c r="H2053" s="2"/>
    </row>
    <row r="2054">
      <c r="A2054" s="2"/>
      <c r="B2054" s="13"/>
      <c r="C2054" s="2"/>
      <c r="D2054" s="2"/>
      <c r="E2054" s="2"/>
      <c r="F2054" s="14"/>
      <c r="G2054" s="2"/>
      <c r="H2054" s="2"/>
    </row>
    <row r="2055">
      <c r="A2055" s="2"/>
      <c r="B2055" s="13"/>
      <c r="C2055" s="2"/>
      <c r="D2055" s="2"/>
      <c r="E2055" s="2"/>
      <c r="F2055" s="14"/>
      <c r="G2055" s="2"/>
      <c r="H2055" s="2"/>
    </row>
    <row r="2056">
      <c r="A2056" s="2"/>
      <c r="B2056" s="13"/>
      <c r="C2056" s="2"/>
      <c r="D2056" s="2"/>
      <c r="E2056" s="2"/>
      <c r="F2056" s="14"/>
      <c r="G2056" s="2"/>
      <c r="H2056" s="2"/>
    </row>
    <row r="2057">
      <c r="A2057" s="2"/>
      <c r="B2057" s="13"/>
      <c r="C2057" s="2"/>
      <c r="D2057" s="2"/>
      <c r="E2057" s="2"/>
      <c r="F2057" s="14"/>
      <c r="G2057" s="2"/>
      <c r="H2057" s="2"/>
    </row>
    <row r="2058">
      <c r="A2058" s="2"/>
      <c r="B2058" s="13"/>
      <c r="C2058" s="2"/>
      <c r="D2058" s="2"/>
      <c r="E2058" s="2"/>
      <c r="F2058" s="14"/>
      <c r="G2058" s="2"/>
      <c r="H2058" s="2"/>
    </row>
    <row r="2059">
      <c r="A2059" s="2"/>
      <c r="B2059" s="13"/>
      <c r="C2059" s="2"/>
      <c r="D2059" s="2"/>
      <c r="E2059" s="2"/>
      <c r="F2059" s="14"/>
      <c r="G2059" s="2"/>
      <c r="H2059" s="2"/>
    </row>
    <row r="2060">
      <c r="A2060" s="2"/>
      <c r="B2060" s="13"/>
      <c r="C2060" s="2"/>
      <c r="D2060" s="2"/>
      <c r="E2060" s="2"/>
      <c r="F2060" s="14"/>
      <c r="G2060" s="2"/>
      <c r="H2060" s="2"/>
    </row>
    <row r="2061">
      <c r="A2061" s="2"/>
      <c r="B2061" s="13"/>
      <c r="C2061" s="2"/>
      <c r="D2061" s="2"/>
      <c r="E2061" s="2"/>
      <c r="F2061" s="14"/>
      <c r="G2061" s="2"/>
      <c r="H2061" s="2"/>
    </row>
    <row r="2062">
      <c r="A2062" s="2"/>
      <c r="B2062" s="13"/>
      <c r="C2062" s="2"/>
      <c r="D2062" s="2"/>
      <c r="E2062" s="2"/>
      <c r="F2062" s="14"/>
      <c r="G2062" s="2"/>
      <c r="H2062" s="2"/>
    </row>
    <row r="2063">
      <c r="A2063" s="2"/>
      <c r="B2063" s="13"/>
      <c r="C2063" s="2"/>
      <c r="D2063" s="2"/>
      <c r="E2063" s="2"/>
      <c r="F2063" s="14"/>
      <c r="G2063" s="2"/>
      <c r="H2063" s="2"/>
    </row>
    <row r="2064">
      <c r="A2064" s="2"/>
      <c r="B2064" s="13"/>
      <c r="C2064" s="2"/>
      <c r="D2064" s="2"/>
      <c r="E2064" s="2"/>
      <c r="F2064" s="14"/>
      <c r="G2064" s="2"/>
      <c r="H2064" s="2"/>
    </row>
    <row r="2065">
      <c r="A2065" s="2"/>
      <c r="B2065" s="13"/>
      <c r="C2065" s="2"/>
      <c r="D2065" s="2"/>
      <c r="E2065" s="2"/>
      <c r="F2065" s="14"/>
      <c r="G2065" s="2"/>
      <c r="H2065" s="2"/>
    </row>
    <row r="2066">
      <c r="A2066" s="2"/>
      <c r="B2066" s="13"/>
      <c r="C2066" s="2"/>
      <c r="D2066" s="2"/>
      <c r="E2066" s="2"/>
      <c r="F2066" s="14"/>
      <c r="G2066" s="2"/>
      <c r="H2066" s="2"/>
    </row>
    <row r="2067">
      <c r="A2067" s="2"/>
      <c r="B2067" s="13"/>
      <c r="C2067" s="2"/>
      <c r="D2067" s="2"/>
      <c r="E2067" s="2"/>
      <c r="F2067" s="14"/>
      <c r="G2067" s="2"/>
      <c r="H2067" s="2"/>
    </row>
    <row r="2068">
      <c r="A2068" s="2"/>
      <c r="B2068" s="13"/>
      <c r="C2068" s="2"/>
      <c r="D2068" s="2"/>
      <c r="E2068" s="2"/>
      <c r="F2068" s="14"/>
      <c r="G2068" s="2"/>
      <c r="H2068" s="2"/>
    </row>
    <row r="2069">
      <c r="A2069" s="2"/>
      <c r="B2069" s="13"/>
      <c r="C2069" s="2"/>
      <c r="D2069" s="2"/>
      <c r="E2069" s="2"/>
      <c r="F2069" s="14"/>
      <c r="G2069" s="2"/>
      <c r="H2069" s="2"/>
    </row>
    <row r="2070">
      <c r="A2070" s="2"/>
      <c r="B2070" s="13"/>
      <c r="C2070" s="2"/>
      <c r="D2070" s="2"/>
      <c r="E2070" s="2"/>
      <c r="F2070" s="14"/>
      <c r="G2070" s="2"/>
      <c r="H2070" s="2"/>
    </row>
    <row r="2071">
      <c r="A2071" s="2"/>
      <c r="B2071" s="13"/>
      <c r="C2071" s="2"/>
      <c r="D2071" s="2"/>
      <c r="E2071" s="2"/>
      <c r="F2071" s="14"/>
      <c r="G2071" s="2"/>
      <c r="H2071" s="2"/>
    </row>
    <row r="2072">
      <c r="A2072" s="2"/>
      <c r="B2072" s="13"/>
      <c r="C2072" s="2"/>
      <c r="D2072" s="2"/>
      <c r="E2072" s="2"/>
      <c r="F2072" s="14"/>
      <c r="G2072" s="2"/>
      <c r="H2072" s="2"/>
    </row>
    <row r="2073">
      <c r="A2073" s="2"/>
      <c r="B2073" s="13"/>
      <c r="C2073" s="2"/>
      <c r="D2073" s="2"/>
      <c r="E2073" s="2"/>
      <c r="F2073" s="14"/>
      <c r="G2073" s="2"/>
      <c r="H2073" s="2"/>
    </row>
    <row r="2074">
      <c r="A2074" s="2"/>
      <c r="B2074" s="13"/>
      <c r="C2074" s="2"/>
      <c r="D2074" s="2"/>
      <c r="E2074" s="2"/>
      <c r="F2074" s="14"/>
      <c r="G2074" s="2"/>
      <c r="H2074" s="2"/>
    </row>
    <row r="2075">
      <c r="A2075" s="2"/>
      <c r="B2075" s="13"/>
      <c r="C2075" s="2"/>
      <c r="D2075" s="2"/>
      <c r="E2075" s="2"/>
      <c r="F2075" s="14"/>
      <c r="G2075" s="2"/>
      <c r="H2075" s="2"/>
    </row>
    <row r="2076">
      <c r="A2076" s="2"/>
      <c r="B2076" s="13"/>
      <c r="C2076" s="2"/>
      <c r="D2076" s="2"/>
      <c r="E2076" s="2"/>
      <c r="F2076" s="14"/>
      <c r="G2076" s="2"/>
      <c r="H2076" s="2"/>
    </row>
    <row r="2077">
      <c r="A2077" s="2"/>
      <c r="B2077" s="13"/>
      <c r="C2077" s="2"/>
      <c r="D2077" s="2"/>
      <c r="E2077" s="2"/>
      <c r="F2077" s="14"/>
      <c r="G2077" s="2"/>
      <c r="H2077" s="2"/>
    </row>
    <row r="2078">
      <c r="A2078" s="2"/>
      <c r="B2078" s="13"/>
      <c r="C2078" s="2"/>
      <c r="D2078" s="2"/>
      <c r="E2078" s="2"/>
      <c r="F2078" s="14"/>
      <c r="G2078" s="2"/>
      <c r="H2078" s="2"/>
    </row>
    <row r="2079">
      <c r="A2079" s="2"/>
      <c r="B2079" s="13"/>
      <c r="C2079" s="2"/>
      <c r="D2079" s="2"/>
      <c r="E2079" s="2"/>
      <c r="F2079" s="14"/>
      <c r="G2079" s="2"/>
      <c r="H2079" s="2"/>
    </row>
    <row r="2080">
      <c r="A2080" s="2"/>
      <c r="B2080" s="13"/>
      <c r="C2080" s="2"/>
      <c r="D2080" s="2"/>
      <c r="E2080" s="2"/>
      <c r="F2080" s="14"/>
      <c r="G2080" s="2"/>
      <c r="H2080" s="2"/>
    </row>
    <row r="2081">
      <c r="A2081" s="2"/>
      <c r="B2081" s="13"/>
      <c r="C2081" s="2"/>
      <c r="D2081" s="2"/>
      <c r="E2081" s="2"/>
      <c r="F2081" s="14"/>
      <c r="G2081" s="2"/>
      <c r="H2081" s="2"/>
    </row>
    <row r="2082">
      <c r="A2082" s="2"/>
      <c r="B2082" s="13"/>
      <c r="C2082" s="2"/>
      <c r="D2082" s="2"/>
      <c r="E2082" s="2"/>
      <c r="F2082" s="14"/>
      <c r="G2082" s="2"/>
      <c r="H2082" s="2"/>
    </row>
    <row r="2083">
      <c r="A2083" s="2"/>
      <c r="B2083" s="13"/>
      <c r="C2083" s="2"/>
      <c r="D2083" s="2"/>
      <c r="E2083" s="2"/>
      <c r="F2083" s="14"/>
      <c r="G2083" s="2"/>
      <c r="H2083" s="2"/>
    </row>
    <row r="2084">
      <c r="A2084" s="2"/>
      <c r="B2084" s="13"/>
      <c r="C2084" s="2"/>
      <c r="D2084" s="2"/>
      <c r="E2084" s="2"/>
      <c r="F2084" s="14"/>
      <c r="G2084" s="2"/>
      <c r="H2084" s="2"/>
    </row>
    <row r="2085">
      <c r="A2085" s="2"/>
      <c r="B2085" s="13"/>
      <c r="C2085" s="2"/>
      <c r="D2085" s="2"/>
      <c r="E2085" s="2"/>
      <c r="F2085" s="14"/>
      <c r="G2085" s="2"/>
      <c r="H2085" s="2"/>
    </row>
    <row r="2086">
      <c r="A2086" s="2"/>
      <c r="B2086" s="13"/>
      <c r="C2086" s="2"/>
      <c r="D2086" s="2"/>
      <c r="E2086" s="2"/>
      <c r="F2086" s="14"/>
      <c r="G2086" s="2"/>
      <c r="H2086" s="2"/>
    </row>
    <row r="2087">
      <c r="A2087" s="2"/>
      <c r="B2087" s="13"/>
      <c r="C2087" s="2"/>
      <c r="D2087" s="2"/>
      <c r="E2087" s="2"/>
      <c r="F2087" s="14"/>
      <c r="G2087" s="2"/>
      <c r="H2087" s="2"/>
    </row>
    <row r="2088">
      <c r="A2088" s="2"/>
      <c r="B2088" s="13"/>
      <c r="C2088" s="2"/>
      <c r="D2088" s="2"/>
      <c r="E2088" s="2"/>
      <c r="F2088" s="14"/>
      <c r="G2088" s="2"/>
      <c r="H2088" s="2"/>
    </row>
    <row r="2089">
      <c r="A2089" s="2"/>
      <c r="B2089" s="13"/>
      <c r="C2089" s="2"/>
      <c r="D2089" s="2"/>
      <c r="E2089" s="2"/>
      <c r="F2089" s="14"/>
      <c r="G2089" s="2"/>
      <c r="H2089" s="2"/>
    </row>
    <row r="2090">
      <c r="A2090" s="2"/>
      <c r="B2090" s="13"/>
      <c r="C2090" s="2"/>
      <c r="D2090" s="2"/>
      <c r="E2090" s="2"/>
      <c r="F2090" s="14"/>
      <c r="G2090" s="2"/>
      <c r="H2090" s="2"/>
    </row>
    <row r="2091">
      <c r="A2091" s="2"/>
      <c r="B2091" s="13"/>
      <c r="C2091" s="2"/>
      <c r="D2091" s="2"/>
      <c r="E2091" s="2"/>
      <c r="F2091" s="14"/>
      <c r="G2091" s="2"/>
      <c r="H2091" s="2"/>
    </row>
    <row r="2092">
      <c r="A2092" s="2"/>
      <c r="B2092" s="13"/>
      <c r="C2092" s="2"/>
      <c r="D2092" s="2"/>
      <c r="E2092" s="2"/>
      <c r="F2092" s="14"/>
      <c r="G2092" s="2"/>
      <c r="H2092" s="2"/>
    </row>
    <row r="2093">
      <c r="A2093" s="2"/>
      <c r="B2093" s="13"/>
      <c r="C2093" s="2"/>
      <c r="D2093" s="2"/>
      <c r="E2093" s="2"/>
      <c r="F2093" s="14"/>
      <c r="G2093" s="2"/>
      <c r="H2093" s="2"/>
    </row>
    <row r="2094">
      <c r="A2094" s="2"/>
      <c r="B2094" s="13"/>
      <c r="C2094" s="2"/>
      <c r="D2094" s="2"/>
      <c r="E2094" s="2"/>
      <c r="F2094" s="14"/>
      <c r="G2094" s="2"/>
      <c r="H2094" s="2"/>
    </row>
    <row r="2095">
      <c r="A2095" s="2"/>
      <c r="B2095" s="13"/>
      <c r="C2095" s="2"/>
      <c r="D2095" s="2"/>
      <c r="E2095" s="2"/>
      <c r="F2095" s="14"/>
      <c r="G2095" s="2"/>
      <c r="H2095" s="2"/>
    </row>
    <row r="2096">
      <c r="A2096" s="2"/>
      <c r="B2096" s="13"/>
      <c r="C2096" s="2"/>
      <c r="D2096" s="2"/>
      <c r="E2096" s="2"/>
      <c r="F2096" s="14"/>
      <c r="G2096" s="2"/>
      <c r="H2096" s="2"/>
    </row>
    <row r="2097">
      <c r="A2097" s="2"/>
      <c r="B2097" s="13"/>
      <c r="C2097" s="2"/>
      <c r="D2097" s="2"/>
      <c r="E2097" s="2"/>
      <c r="F2097" s="14"/>
      <c r="G2097" s="2"/>
      <c r="H2097" s="2"/>
    </row>
    <row r="2098">
      <c r="A2098" s="2"/>
      <c r="B2098" s="13"/>
      <c r="C2098" s="2"/>
      <c r="D2098" s="2"/>
      <c r="E2098" s="2"/>
      <c r="F2098" s="14"/>
      <c r="G2098" s="2"/>
      <c r="H2098" s="2"/>
    </row>
    <row r="2099">
      <c r="A2099" s="2"/>
      <c r="B2099" s="13"/>
      <c r="C2099" s="2"/>
      <c r="D2099" s="2"/>
      <c r="E2099" s="2"/>
      <c r="F2099" s="14"/>
      <c r="G2099" s="2"/>
      <c r="H2099" s="2"/>
    </row>
    <row r="2100">
      <c r="A2100" s="2"/>
      <c r="B2100" s="13"/>
      <c r="C2100" s="2"/>
      <c r="D2100" s="2"/>
      <c r="E2100" s="2"/>
      <c r="F2100" s="14"/>
      <c r="G2100" s="2"/>
      <c r="H2100" s="2"/>
    </row>
    <row r="2101">
      <c r="A2101" s="2"/>
      <c r="B2101" s="13"/>
      <c r="C2101" s="2"/>
      <c r="D2101" s="2"/>
      <c r="E2101" s="2"/>
      <c r="F2101" s="14"/>
      <c r="G2101" s="2"/>
      <c r="H2101" s="2"/>
    </row>
    <row r="2102">
      <c r="A2102" s="2"/>
      <c r="B2102" s="13"/>
      <c r="C2102" s="2"/>
      <c r="D2102" s="2"/>
      <c r="E2102" s="2"/>
      <c r="F2102" s="14"/>
      <c r="G2102" s="2"/>
      <c r="H2102" s="2"/>
    </row>
    <row r="2103">
      <c r="A2103" s="2"/>
      <c r="B2103" s="13"/>
      <c r="C2103" s="2"/>
      <c r="D2103" s="2"/>
      <c r="E2103" s="2"/>
      <c r="F2103" s="14"/>
      <c r="G2103" s="2"/>
      <c r="H2103" s="2"/>
    </row>
    <row r="2104">
      <c r="A2104" s="2"/>
      <c r="B2104" s="13"/>
      <c r="C2104" s="2"/>
      <c r="D2104" s="2"/>
      <c r="E2104" s="2"/>
      <c r="F2104" s="14"/>
      <c r="G2104" s="2"/>
      <c r="H2104" s="2"/>
    </row>
    <row r="2105">
      <c r="A2105" s="2"/>
      <c r="B2105" s="13"/>
      <c r="C2105" s="2"/>
      <c r="D2105" s="2"/>
      <c r="E2105" s="2"/>
      <c r="F2105" s="14"/>
      <c r="G2105" s="2"/>
      <c r="H2105" s="2"/>
    </row>
    <row r="2106">
      <c r="A2106" s="2"/>
      <c r="B2106" s="13"/>
      <c r="C2106" s="2"/>
      <c r="D2106" s="2"/>
      <c r="E2106" s="2"/>
      <c r="F2106" s="14"/>
      <c r="G2106" s="2"/>
      <c r="H2106" s="2"/>
    </row>
    <row r="2107">
      <c r="A2107" s="2"/>
      <c r="B2107" s="13"/>
      <c r="C2107" s="2"/>
      <c r="D2107" s="2"/>
      <c r="E2107" s="2"/>
      <c r="F2107" s="14"/>
      <c r="G2107" s="2"/>
      <c r="H2107" s="2"/>
    </row>
    <row r="2108">
      <c r="A2108" s="2"/>
      <c r="B2108" s="13"/>
      <c r="C2108" s="2"/>
      <c r="D2108" s="2"/>
      <c r="E2108" s="2"/>
      <c r="F2108" s="14"/>
      <c r="G2108" s="2"/>
      <c r="H2108" s="2"/>
    </row>
    <row r="2109">
      <c r="A2109" s="2"/>
      <c r="B2109" s="13"/>
      <c r="C2109" s="2"/>
      <c r="D2109" s="2"/>
      <c r="E2109" s="2"/>
      <c r="F2109" s="14"/>
      <c r="G2109" s="2"/>
      <c r="H2109" s="2"/>
    </row>
    <row r="2110">
      <c r="A2110" s="2"/>
      <c r="B2110" s="13"/>
      <c r="C2110" s="2"/>
      <c r="D2110" s="2"/>
      <c r="E2110" s="2"/>
      <c r="F2110" s="14"/>
      <c r="G2110" s="2"/>
      <c r="H2110" s="2"/>
    </row>
    <row r="2111">
      <c r="A2111" s="2"/>
      <c r="B2111" s="13"/>
      <c r="C2111" s="2"/>
      <c r="D2111" s="2"/>
      <c r="E2111" s="2"/>
      <c r="F2111" s="14"/>
      <c r="G2111" s="2"/>
      <c r="H2111" s="2"/>
    </row>
    <row r="2112">
      <c r="A2112" s="2"/>
      <c r="B2112" s="13"/>
      <c r="C2112" s="2"/>
      <c r="D2112" s="2"/>
      <c r="E2112" s="2"/>
      <c r="F2112" s="14"/>
      <c r="G2112" s="2"/>
      <c r="H2112" s="2"/>
    </row>
    <row r="2113">
      <c r="A2113" s="2"/>
      <c r="B2113" s="13"/>
      <c r="C2113" s="2"/>
      <c r="D2113" s="2"/>
      <c r="E2113" s="2"/>
      <c r="F2113" s="14"/>
      <c r="G2113" s="2"/>
      <c r="H2113" s="2"/>
    </row>
    <row r="2114">
      <c r="A2114" s="2"/>
      <c r="B2114" s="13"/>
      <c r="C2114" s="2"/>
      <c r="D2114" s="2"/>
      <c r="E2114" s="2"/>
      <c r="F2114" s="14"/>
      <c r="G2114" s="2"/>
      <c r="H2114" s="2"/>
    </row>
    <row r="2115">
      <c r="A2115" s="2"/>
      <c r="B2115" s="13"/>
      <c r="C2115" s="2"/>
      <c r="D2115" s="2"/>
      <c r="E2115" s="2"/>
      <c r="F2115" s="14"/>
      <c r="G2115" s="2"/>
      <c r="H2115" s="2"/>
    </row>
    <row r="2116">
      <c r="A2116" s="2"/>
      <c r="B2116" s="13"/>
      <c r="C2116" s="2"/>
      <c r="D2116" s="2"/>
      <c r="E2116" s="2"/>
      <c r="F2116" s="14"/>
      <c r="G2116" s="2"/>
      <c r="H2116" s="2"/>
    </row>
    <row r="2117">
      <c r="A2117" s="2"/>
      <c r="B2117" s="13"/>
      <c r="C2117" s="2"/>
      <c r="D2117" s="2"/>
      <c r="E2117" s="2"/>
      <c r="F2117" s="14"/>
      <c r="G2117" s="2"/>
      <c r="H2117" s="2"/>
    </row>
    <row r="2118">
      <c r="A2118" s="2"/>
      <c r="B2118" s="13"/>
      <c r="C2118" s="2"/>
      <c r="D2118" s="2"/>
      <c r="E2118" s="2"/>
      <c r="F2118" s="14"/>
      <c r="G2118" s="2"/>
      <c r="H2118" s="2"/>
    </row>
    <row r="2119">
      <c r="A2119" s="2"/>
      <c r="B2119" s="13"/>
      <c r="C2119" s="2"/>
      <c r="D2119" s="2"/>
      <c r="E2119" s="2"/>
      <c r="F2119" s="14"/>
      <c r="G2119" s="2"/>
      <c r="H2119" s="2"/>
    </row>
    <row r="2120">
      <c r="A2120" s="2"/>
      <c r="B2120" s="13"/>
      <c r="C2120" s="2"/>
      <c r="D2120" s="2"/>
      <c r="E2120" s="2"/>
      <c r="F2120" s="14"/>
      <c r="G2120" s="2"/>
      <c r="H2120" s="2"/>
    </row>
    <row r="2121">
      <c r="A2121" s="2"/>
      <c r="B2121" s="13"/>
      <c r="C2121" s="2"/>
      <c r="D2121" s="2"/>
      <c r="E2121" s="2"/>
      <c r="F2121" s="14"/>
      <c r="G2121" s="2"/>
      <c r="H2121" s="2"/>
    </row>
    <row r="2122">
      <c r="A2122" s="2"/>
      <c r="B2122" s="13"/>
      <c r="C2122" s="2"/>
      <c r="D2122" s="2"/>
      <c r="E2122" s="2"/>
      <c r="F2122" s="14"/>
      <c r="G2122" s="2"/>
      <c r="H2122" s="2"/>
    </row>
    <row r="2123">
      <c r="A2123" s="2"/>
      <c r="B2123" s="13"/>
      <c r="C2123" s="2"/>
      <c r="D2123" s="2"/>
      <c r="E2123" s="2"/>
      <c r="F2123" s="14"/>
      <c r="G2123" s="2"/>
      <c r="H2123" s="2"/>
    </row>
    <row r="2124">
      <c r="A2124" s="2"/>
      <c r="B2124" s="13"/>
      <c r="C2124" s="2"/>
      <c r="D2124" s="2"/>
      <c r="E2124" s="2"/>
      <c r="F2124" s="14"/>
      <c r="G2124" s="2"/>
      <c r="H2124" s="2"/>
    </row>
    <row r="2125">
      <c r="A2125" s="2"/>
      <c r="B2125" s="13"/>
      <c r="C2125" s="2"/>
      <c r="D2125" s="2"/>
      <c r="E2125" s="2"/>
      <c r="F2125" s="14"/>
      <c r="G2125" s="2"/>
      <c r="H2125" s="2"/>
    </row>
    <row r="2126">
      <c r="A2126" s="2"/>
      <c r="B2126" s="13"/>
      <c r="C2126" s="2"/>
      <c r="D2126" s="2"/>
      <c r="E2126" s="2"/>
      <c r="F2126" s="14"/>
      <c r="G2126" s="2"/>
      <c r="H2126" s="2"/>
    </row>
    <row r="2127">
      <c r="A2127" s="2"/>
      <c r="B2127" s="13"/>
      <c r="C2127" s="2"/>
      <c r="D2127" s="2"/>
      <c r="E2127" s="2"/>
      <c r="F2127" s="14"/>
      <c r="G2127" s="2"/>
      <c r="H2127" s="2"/>
    </row>
    <row r="2128">
      <c r="A2128" s="2"/>
      <c r="B2128" s="13"/>
      <c r="C2128" s="2"/>
      <c r="D2128" s="2"/>
      <c r="E2128" s="2"/>
      <c r="F2128" s="14"/>
      <c r="G2128" s="2"/>
      <c r="H2128" s="2"/>
    </row>
    <row r="2129">
      <c r="A2129" s="2"/>
      <c r="B2129" s="13"/>
      <c r="C2129" s="2"/>
      <c r="D2129" s="2"/>
      <c r="E2129" s="2"/>
      <c r="F2129" s="14"/>
      <c r="G2129" s="2"/>
      <c r="H2129" s="2"/>
    </row>
    <row r="2130">
      <c r="A2130" s="2"/>
      <c r="B2130" s="13"/>
      <c r="C2130" s="2"/>
      <c r="D2130" s="2"/>
      <c r="E2130" s="2"/>
      <c r="F2130" s="14"/>
      <c r="G2130" s="2"/>
      <c r="H2130" s="2"/>
    </row>
    <row r="2131">
      <c r="A2131" s="2"/>
      <c r="B2131" s="13"/>
      <c r="C2131" s="2"/>
      <c r="D2131" s="2"/>
      <c r="E2131" s="2"/>
      <c r="F2131" s="14"/>
      <c r="G2131" s="2"/>
      <c r="H2131" s="2"/>
    </row>
    <row r="2132">
      <c r="A2132" s="2"/>
      <c r="B2132" s="13"/>
      <c r="C2132" s="2"/>
      <c r="D2132" s="2"/>
      <c r="E2132" s="2"/>
      <c r="F2132" s="14"/>
      <c r="G2132" s="2"/>
      <c r="H2132" s="2"/>
    </row>
    <row r="2133">
      <c r="A2133" s="2"/>
      <c r="B2133" s="13"/>
      <c r="C2133" s="2"/>
      <c r="D2133" s="2"/>
      <c r="E2133" s="2"/>
      <c r="F2133" s="14"/>
      <c r="G2133" s="2"/>
      <c r="H2133" s="2"/>
    </row>
    <row r="2134">
      <c r="A2134" s="2"/>
      <c r="B2134" s="13"/>
      <c r="C2134" s="2"/>
      <c r="D2134" s="2"/>
      <c r="E2134" s="2"/>
      <c r="F2134" s="14"/>
      <c r="G2134" s="2"/>
      <c r="H2134" s="2"/>
    </row>
    <row r="2135">
      <c r="A2135" s="2"/>
      <c r="B2135" s="13"/>
      <c r="C2135" s="2"/>
      <c r="D2135" s="2"/>
      <c r="E2135" s="2"/>
      <c r="F2135" s="14"/>
      <c r="G2135" s="2"/>
      <c r="H2135" s="2"/>
    </row>
    <row r="2136">
      <c r="A2136" s="2"/>
      <c r="B2136" s="13"/>
      <c r="C2136" s="2"/>
      <c r="D2136" s="2"/>
      <c r="E2136" s="2"/>
      <c r="F2136" s="14"/>
      <c r="G2136" s="2"/>
      <c r="H2136" s="2"/>
    </row>
    <row r="2137">
      <c r="A2137" s="2"/>
      <c r="B2137" s="13"/>
      <c r="C2137" s="2"/>
      <c r="D2137" s="2"/>
      <c r="E2137" s="2"/>
      <c r="F2137" s="14"/>
      <c r="G2137" s="2"/>
      <c r="H2137" s="2"/>
    </row>
    <row r="2138">
      <c r="A2138" s="2"/>
      <c r="B2138" s="13"/>
      <c r="C2138" s="2"/>
      <c r="D2138" s="2"/>
      <c r="E2138" s="2"/>
      <c r="F2138" s="14"/>
      <c r="G2138" s="2"/>
      <c r="H2138" s="2"/>
    </row>
    <row r="2139">
      <c r="A2139" s="2"/>
      <c r="B2139" s="13"/>
      <c r="C2139" s="2"/>
      <c r="D2139" s="2"/>
      <c r="E2139" s="2"/>
      <c r="F2139" s="14"/>
      <c r="G2139" s="2"/>
      <c r="H2139" s="2"/>
    </row>
    <row r="2140">
      <c r="A2140" s="2"/>
      <c r="B2140" s="13"/>
      <c r="C2140" s="2"/>
      <c r="D2140" s="2"/>
      <c r="E2140" s="2"/>
      <c r="F2140" s="14"/>
      <c r="G2140" s="2"/>
      <c r="H2140" s="2"/>
    </row>
    <row r="2141">
      <c r="A2141" s="2"/>
      <c r="B2141" s="13"/>
      <c r="C2141" s="2"/>
      <c r="D2141" s="2"/>
      <c r="E2141" s="2"/>
      <c r="F2141" s="14"/>
      <c r="G2141" s="2"/>
      <c r="H2141" s="2"/>
    </row>
    <row r="2142">
      <c r="A2142" s="2"/>
      <c r="B2142" s="13"/>
      <c r="C2142" s="2"/>
      <c r="D2142" s="2"/>
      <c r="E2142" s="2"/>
      <c r="F2142" s="14"/>
      <c r="G2142" s="2"/>
      <c r="H2142" s="2"/>
    </row>
    <row r="2143">
      <c r="A2143" s="2"/>
      <c r="B2143" s="13"/>
      <c r="C2143" s="2"/>
      <c r="D2143" s="2"/>
      <c r="E2143" s="2"/>
      <c r="F2143" s="14"/>
      <c r="G2143" s="2"/>
      <c r="H2143" s="2"/>
    </row>
    <row r="2144">
      <c r="A2144" s="2"/>
      <c r="B2144" s="13"/>
      <c r="C2144" s="2"/>
      <c r="D2144" s="2"/>
      <c r="E2144" s="2"/>
      <c r="F2144" s="14"/>
      <c r="G2144" s="2"/>
      <c r="H2144" s="2"/>
    </row>
    <row r="2145">
      <c r="A2145" s="2"/>
      <c r="B2145" s="13"/>
      <c r="C2145" s="2"/>
      <c r="D2145" s="2"/>
      <c r="E2145" s="2"/>
      <c r="F2145" s="14"/>
      <c r="G2145" s="2"/>
      <c r="H2145" s="2"/>
    </row>
    <row r="2146">
      <c r="A2146" s="2"/>
      <c r="B2146" s="13"/>
      <c r="C2146" s="2"/>
      <c r="D2146" s="2"/>
      <c r="E2146" s="2"/>
      <c r="F2146" s="14"/>
      <c r="G2146" s="2"/>
      <c r="H2146" s="2"/>
    </row>
    <row r="2147">
      <c r="A2147" s="2"/>
      <c r="B2147" s="13"/>
      <c r="C2147" s="2"/>
      <c r="D2147" s="2"/>
      <c r="E2147" s="2"/>
      <c r="F2147" s="14"/>
      <c r="G2147" s="2"/>
      <c r="H2147" s="2"/>
    </row>
    <row r="2148">
      <c r="A2148" s="2"/>
      <c r="B2148" s="13"/>
      <c r="C2148" s="2"/>
      <c r="D2148" s="2"/>
      <c r="E2148" s="2"/>
      <c r="F2148" s="14"/>
      <c r="G2148" s="2"/>
      <c r="H2148" s="2"/>
    </row>
    <row r="2149">
      <c r="A2149" s="2"/>
      <c r="B2149" s="13"/>
      <c r="C2149" s="2"/>
      <c r="D2149" s="2"/>
      <c r="E2149" s="2"/>
      <c r="F2149" s="14"/>
      <c r="G2149" s="2"/>
      <c r="H2149" s="2"/>
    </row>
    <row r="2150">
      <c r="A2150" s="2"/>
      <c r="B2150" s="13"/>
      <c r="C2150" s="2"/>
      <c r="D2150" s="2"/>
      <c r="E2150" s="2"/>
      <c r="F2150" s="14"/>
      <c r="G2150" s="2"/>
      <c r="H2150" s="2"/>
    </row>
    <row r="2151">
      <c r="A2151" s="2"/>
      <c r="B2151" s="13"/>
      <c r="C2151" s="2"/>
      <c r="D2151" s="2"/>
      <c r="E2151" s="2"/>
      <c r="F2151" s="14"/>
      <c r="G2151" s="2"/>
      <c r="H2151" s="2"/>
    </row>
    <row r="2152">
      <c r="A2152" s="2"/>
      <c r="B2152" s="13"/>
      <c r="C2152" s="2"/>
      <c r="D2152" s="2"/>
      <c r="E2152" s="2"/>
      <c r="F2152" s="14"/>
      <c r="G2152" s="2"/>
      <c r="H2152" s="2"/>
    </row>
    <row r="2153">
      <c r="A2153" s="2"/>
      <c r="B2153" s="13"/>
      <c r="C2153" s="2"/>
      <c r="D2153" s="2"/>
      <c r="E2153" s="2"/>
      <c r="F2153" s="14"/>
      <c r="G2153" s="2"/>
      <c r="H2153" s="2"/>
    </row>
    <row r="2154">
      <c r="A2154" s="2"/>
      <c r="B2154" s="13"/>
      <c r="C2154" s="2"/>
      <c r="D2154" s="2"/>
      <c r="E2154" s="2"/>
      <c r="F2154" s="14"/>
      <c r="G2154" s="2"/>
      <c r="H2154" s="2"/>
    </row>
    <row r="2155">
      <c r="A2155" s="2"/>
      <c r="B2155" s="13"/>
      <c r="C2155" s="2"/>
      <c r="D2155" s="2"/>
      <c r="E2155" s="2"/>
      <c r="F2155" s="14"/>
      <c r="G2155" s="2"/>
      <c r="H2155" s="2"/>
    </row>
    <row r="2156">
      <c r="A2156" s="2"/>
      <c r="B2156" s="13"/>
      <c r="C2156" s="2"/>
      <c r="D2156" s="2"/>
      <c r="E2156" s="2"/>
      <c r="F2156" s="14"/>
      <c r="G2156" s="2"/>
      <c r="H2156" s="2"/>
    </row>
    <row r="2157">
      <c r="A2157" s="2"/>
      <c r="B2157" s="13"/>
      <c r="C2157" s="2"/>
      <c r="D2157" s="2"/>
      <c r="E2157" s="2"/>
      <c r="F2157" s="14"/>
      <c r="G2157" s="2"/>
      <c r="H2157" s="2"/>
    </row>
    <row r="2158">
      <c r="A2158" s="2"/>
      <c r="B2158" s="13"/>
      <c r="C2158" s="2"/>
      <c r="D2158" s="2"/>
      <c r="E2158" s="2"/>
      <c r="F2158" s="14"/>
      <c r="G2158" s="2"/>
      <c r="H2158" s="2"/>
    </row>
    <row r="2159">
      <c r="A2159" s="2"/>
      <c r="B2159" s="13"/>
      <c r="C2159" s="2"/>
      <c r="D2159" s="2"/>
      <c r="E2159" s="2"/>
      <c r="F2159" s="14"/>
      <c r="G2159" s="2"/>
      <c r="H2159" s="2"/>
    </row>
    <row r="2160">
      <c r="A2160" s="2"/>
      <c r="B2160" s="13"/>
      <c r="C2160" s="2"/>
      <c r="D2160" s="2"/>
      <c r="E2160" s="2"/>
      <c r="F2160" s="14"/>
      <c r="G2160" s="2"/>
      <c r="H2160" s="2"/>
    </row>
    <row r="2161">
      <c r="A2161" s="2"/>
      <c r="B2161" s="13"/>
      <c r="C2161" s="2"/>
      <c r="D2161" s="2"/>
      <c r="E2161" s="2"/>
      <c r="F2161" s="14"/>
      <c r="G2161" s="2"/>
      <c r="H2161" s="2"/>
    </row>
    <row r="2162">
      <c r="A2162" s="2"/>
      <c r="B2162" s="13"/>
      <c r="C2162" s="2"/>
      <c r="D2162" s="2"/>
      <c r="E2162" s="2"/>
      <c r="F2162" s="14"/>
      <c r="G2162" s="2"/>
      <c r="H2162" s="2"/>
    </row>
    <row r="2163">
      <c r="A2163" s="2"/>
      <c r="B2163" s="13"/>
      <c r="C2163" s="2"/>
      <c r="D2163" s="2"/>
      <c r="E2163" s="2"/>
      <c r="F2163" s="14"/>
      <c r="G2163" s="2"/>
      <c r="H2163" s="2"/>
    </row>
    <row r="2164">
      <c r="A2164" s="2"/>
      <c r="B2164" s="13"/>
      <c r="C2164" s="2"/>
      <c r="D2164" s="2"/>
      <c r="E2164" s="2"/>
      <c r="F2164" s="14"/>
      <c r="G2164" s="2"/>
      <c r="H2164" s="2"/>
    </row>
    <row r="2165">
      <c r="A2165" s="2"/>
      <c r="B2165" s="13"/>
      <c r="C2165" s="2"/>
      <c r="D2165" s="2"/>
      <c r="E2165" s="2"/>
      <c r="F2165" s="14"/>
      <c r="G2165" s="2"/>
      <c r="H2165" s="2"/>
    </row>
    <row r="2166">
      <c r="A2166" s="2"/>
      <c r="B2166" s="13"/>
      <c r="C2166" s="2"/>
      <c r="D2166" s="2"/>
      <c r="E2166" s="2"/>
      <c r="F2166" s="14"/>
      <c r="G2166" s="2"/>
      <c r="H2166" s="2"/>
    </row>
    <row r="2167">
      <c r="A2167" s="2"/>
      <c r="B2167" s="13"/>
      <c r="C2167" s="2"/>
      <c r="D2167" s="2"/>
      <c r="E2167" s="2"/>
      <c r="F2167" s="14"/>
      <c r="G2167" s="2"/>
      <c r="H2167" s="2"/>
    </row>
    <row r="2168">
      <c r="A2168" s="2"/>
      <c r="B2168" s="13"/>
      <c r="C2168" s="2"/>
      <c r="D2168" s="2"/>
      <c r="E2168" s="2"/>
      <c r="F2168" s="14"/>
      <c r="G2168" s="2"/>
      <c r="H2168" s="2"/>
    </row>
    <row r="2169">
      <c r="A2169" s="2"/>
      <c r="B2169" s="13"/>
      <c r="C2169" s="2"/>
      <c r="D2169" s="2"/>
      <c r="E2169" s="2"/>
      <c r="F2169" s="14"/>
      <c r="G2169" s="2"/>
      <c r="H2169" s="2"/>
    </row>
    <row r="2170">
      <c r="A2170" s="2"/>
      <c r="B2170" s="13"/>
      <c r="C2170" s="2"/>
      <c r="D2170" s="2"/>
      <c r="E2170" s="2"/>
      <c r="F2170" s="14"/>
      <c r="G2170" s="2"/>
      <c r="H2170" s="2"/>
    </row>
    <row r="2171">
      <c r="A2171" s="2"/>
      <c r="B2171" s="13"/>
      <c r="C2171" s="2"/>
      <c r="D2171" s="2"/>
      <c r="E2171" s="2"/>
      <c r="F2171" s="14"/>
      <c r="G2171" s="2"/>
      <c r="H2171" s="2"/>
    </row>
    <row r="2172">
      <c r="A2172" s="2"/>
      <c r="B2172" s="13"/>
      <c r="C2172" s="2"/>
      <c r="D2172" s="2"/>
      <c r="E2172" s="2"/>
      <c r="F2172" s="14"/>
      <c r="G2172" s="2"/>
      <c r="H2172" s="2"/>
    </row>
    <row r="2173">
      <c r="A2173" s="2"/>
      <c r="B2173" s="13"/>
      <c r="C2173" s="2"/>
      <c r="D2173" s="2"/>
      <c r="E2173" s="2"/>
      <c r="F2173" s="14"/>
      <c r="G2173" s="2"/>
      <c r="H2173" s="2"/>
    </row>
    <row r="2174">
      <c r="A2174" s="2"/>
      <c r="B2174" s="13"/>
      <c r="C2174" s="2"/>
      <c r="D2174" s="2"/>
      <c r="E2174" s="2"/>
      <c r="F2174" s="14"/>
      <c r="G2174" s="2"/>
      <c r="H2174" s="2"/>
    </row>
    <row r="2175">
      <c r="A2175" s="2"/>
      <c r="B2175" s="13"/>
      <c r="C2175" s="2"/>
      <c r="D2175" s="2"/>
      <c r="E2175" s="2"/>
      <c r="F2175" s="14"/>
      <c r="G2175" s="2"/>
      <c r="H2175" s="2"/>
    </row>
    <row r="2176">
      <c r="A2176" s="2"/>
      <c r="B2176" s="13"/>
      <c r="C2176" s="2"/>
      <c r="D2176" s="2"/>
      <c r="E2176" s="2"/>
      <c r="F2176" s="14"/>
      <c r="G2176" s="2"/>
      <c r="H2176" s="2"/>
    </row>
    <row r="2177">
      <c r="A2177" s="2"/>
      <c r="B2177" s="13"/>
      <c r="C2177" s="2"/>
      <c r="D2177" s="2"/>
      <c r="E2177" s="2"/>
      <c r="F2177" s="14"/>
      <c r="G2177" s="2"/>
      <c r="H2177" s="2"/>
    </row>
    <row r="2178">
      <c r="A2178" s="2"/>
      <c r="B2178" s="13"/>
      <c r="C2178" s="2"/>
      <c r="D2178" s="2"/>
      <c r="E2178" s="2"/>
      <c r="F2178" s="14"/>
      <c r="G2178" s="2"/>
      <c r="H2178" s="2"/>
    </row>
    <row r="2179">
      <c r="A2179" s="2"/>
      <c r="B2179" s="13"/>
      <c r="C2179" s="2"/>
      <c r="D2179" s="2"/>
      <c r="E2179" s="2"/>
      <c r="F2179" s="14"/>
      <c r="G2179" s="2"/>
      <c r="H2179" s="2"/>
    </row>
    <row r="2180">
      <c r="A2180" s="2"/>
      <c r="B2180" s="13"/>
      <c r="C2180" s="2"/>
      <c r="D2180" s="2"/>
      <c r="E2180" s="2"/>
      <c r="F2180" s="14"/>
      <c r="G2180" s="2"/>
      <c r="H2180" s="2"/>
    </row>
    <row r="2181">
      <c r="A2181" s="2"/>
      <c r="B2181" s="13"/>
      <c r="C2181" s="2"/>
      <c r="D2181" s="2"/>
      <c r="E2181" s="2"/>
      <c r="F2181" s="14"/>
      <c r="G2181" s="2"/>
      <c r="H2181" s="2"/>
    </row>
    <row r="2182">
      <c r="A2182" s="2"/>
      <c r="B2182" s="13"/>
      <c r="C2182" s="2"/>
      <c r="D2182" s="2"/>
      <c r="E2182" s="2"/>
      <c r="F2182" s="14"/>
      <c r="G2182" s="2"/>
      <c r="H2182" s="2"/>
    </row>
    <row r="2183">
      <c r="A2183" s="2"/>
      <c r="B2183" s="13"/>
      <c r="C2183" s="2"/>
      <c r="D2183" s="2"/>
      <c r="E2183" s="2"/>
      <c r="F2183" s="14"/>
      <c r="G2183" s="2"/>
      <c r="H2183" s="2"/>
    </row>
    <row r="2184">
      <c r="A2184" s="2"/>
      <c r="B2184" s="13"/>
      <c r="C2184" s="2"/>
      <c r="D2184" s="2"/>
      <c r="E2184" s="2"/>
      <c r="F2184" s="14"/>
      <c r="G2184" s="2"/>
      <c r="H2184" s="2"/>
    </row>
    <row r="2185">
      <c r="A2185" s="2"/>
      <c r="B2185" s="13"/>
      <c r="C2185" s="2"/>
      <c r="D2185" s="2"/>
      <c r="E2185" s="2"/>
      <c r="F2185" s="14"/>
      <c r="G2185" s="2"/>
      <c r="H2185" s="2"/>
    </row>
    <row r="2186">
      <c r="A2186" s="2"/>
      <c r="B2186" s="13"/>
      <c r="C2186" s="2"/>
      <c r="D2186" s="2"/>
      <c r="E2186" s="2"/>
      <c r="F2186" s="14"/>
      <c r="G2186" s="2"/>
      <c r="H2186" s="2"/>
    </row>
    <row r="2187">
      <c r="A2187" s="2"/>
      <c r="B2187" s="13"/>
      <c r="C2187" s="2"/>
      <c r="D2187" s="2"/>
      <c r="E2187" s="2"/>
      <c r="F2187" s="14"/>
      <c r="G2187" s="2"/>
      <c r="H2187" s="2"/>
    </row>
    <row r="2188">
      <c r="A2188" s="2"/>
      <c r="B2188" s="13"/>
      <c r="C2188" s="2"/>
      <c r="D2188" s="2"/>
      <c r="E2188" s="2"/>
      <c r="F2188" s="14"/>
      <c r="G2188" s="2"/>
      <c r="H2188" s="2"/>
    </row>
    <row r="2189">
      <c r="A2189" s="2"/>
      <c r="B2189" s="13"/>
      <c r="C2189" s="2"/>
      <c r="D2189" s="2"/>
      <c r="E2189" s="2"/>
      <c r="F2189" s="14"/>
      <c r="G2189" s="2"/>
      <c r="H2189" s="2"/>
    </row>
    <row r="2190">
      <c r="A2190" s="2"/>
      <c r="B2190" s="13"/>
      <c r="C2190" s="2"/>
      <c r="D2190" s="2"/>
      <c r="E2190" s="2"/>
      <c r="F2190" s="14"/>
      <c r="G2190" s="2"/>
      <c r="H2190" s="2"/>
    </row>
    <row r="2191">
      <c r="A2191" s="2"/>
      <c r="B2191" s="13"/>
      <c r="C2191" s="2"/>
      <c r="D2191" s="2"/>
      <c r="E2191" s="2"/>
      <c r="F2191" s="14"/>
      <c r="G2191" s="2"/>
      <c r="H2191" s="2"/>
    </row>
    <row r="2192">
      <c r="A2192" s="2"/>
      <c r="B2192" s="13"/>
      <c r="C2192" s="2"/>
      <c r="D2192" s="2"/>
      <c r="E2192" s="2"/>
      <c r="F2192" s="14"/>
      <c r="G2192" s="2"/>
      <c r="H2192" s="2"/>
    </row>
    <row r="2193">
      <c r="A2193" s="2"/>
      <c r="B2193" s="13"/>
      <c r="C2193" s="2"/>
      <c r="D2193" s="2"/>
      <c r="E2193" s="2"/>
      <c r="F2193" s="14"/>
      <c r="G2193" s="2"/>
      <c r="H2193" s="2"/>
    </row>
    <row r="2194">
      <c r="A2194" s="2"/>
      <c r="B2194" s="13"/>
      <c r="C2194" s="2"/>
      <c r="D2194" s="2"/>
      <c r="E2194" s="2"/>
      <c r="F2194" s="14"/>
      <c r="G2194" s="2"/>
      <c r="H2194" s="2"/>
    </row>
    <row r="2195">
      <c r="A2195" s="2"/>
      <c r="B2195" s="13"/>
      <c r="C2195" s="2"/>
      <c r="D2195" s="2"/>
      <c r="E2195" s="2"/>
      <c r="F2195" s="14"/>
      <c r="G2195" s="2"/>
      <c r="H2195" s="2"/>
    </row>
    <row r="2196">
      <c r="A2196" s="2"/>
      <c r="B2196" s="13"/>
      <c r="C2196" s="2"/>
      <c r="D2196" s="2"/>
      <c r="E2196" s="2"/>
      <c r="F2196" s="14"/>
      <c r="G2196" s="2"/>
      <c r="H2196" s="2"/>
    </row>
    <row r="2197">
      <c r="A2197" s="2"/>
      <c r="B2197" s="13"/>
      <c r="C2197" s="2"/>
      <c r="D2197" s="2"/>
      <c r="E2197" s="2"/>
      <c r="F2197" s="14"/>
      <c r="G2197" s="2"/>
      <c r="H2197" s="2"/>
    </row>
    <row r="2198">
      <c r="A2198" s="2"/>
      <c r="B2198" s="13"/>
      <c r="C2198" s="2"/>
      <c r="D2198" s="2"/>
      <c r="E2198" s="2"/>
      <c r="F2198" s="14"/>
      <c r="G2198" s="2"/>
      <c r="H2198" s="2"/>
    </row>
    <row r="2199">
      <c r="A2199" s="2"/>
      <c r="B2199" s="13"/>
      <c r="C2199" s="2"/>
      <c r="D2199" s="2"/>
      <c r="E2199" s="2"/>
      <c r="F2199" s="14"/>
      <c r="G2199" s="2"/>
      <c r="H2199" s="2"/>
    </row>
    <row r="2200">
      <c r="A2200" s="2"/>
      <c r="B2200" s="13"/>
      <c r="C2200" s="2"/>
      <c r="D2200" s="2"/>
      <c r="E2200" s="2"/>
      <c r="F2200" s="14"/>
      <c r="G2200" s="2"/>
      <c r="H2200" s="2"/>
    </row>
    <row r="2201">
      <c r="A2201" s="2"/>
      <c r="B2201" s="13"/>
      <c r="C2201" s="2"/>
      <c r="D2201" s="2"/>
      <c r="E2201" s="2"/>
      <c r="F2201" s="14"/>
      <c r="G2201" s="2"/>
      <c r="H2201" s="2"/>
    </row>
    <row r="2202">
      <c r="A2202" s="2"/>
      <c r="B2202" s="13"/>
      <c r="C2202" s="2"/>
      <c r="D2202" s="2"/>
      <c r="E2202" s="2"/>
      <c r="F2202" s="14"/>
      <c r="G2202" s="2"/>
      <c r="H2202" s="2"/>
    </row>
    <row r="2203">
      <c r="A2203" s="2"/>
      <c r="B2203" s="13"/>
      <c r="C2203" s="2"/>
      <c r="D2203" s="2"/>
      <c r="E2203" s="2"/>
      <c r="F2203" s="14"/>
      <c r="G2203" s="2"/>
      <c r="H2203" s="2"/>
    </row>
    <row r="2204">
      <c r="A2204" s="2"/>
      <c r="B2204" s="13"/>
      <c r="C2204" s="2"/>
      <c r="D2204" s="2"/>
      <c r="E2204" s="2"/>
      <c r="F2204" s="14"/>
      <c r="G2204" s="2"/>
      <c r="H2204" s="2"/>
    </row>
    <row r="2205">
      <c r="A2205" s="2"/>
      <c r="B2205" s="13"/>
      <c r="C2205" s="2"/>
      <c r="D2205" s="2"/>
      <c r="E2205" s="2"/>
      <c r="F2205" s="14"/>
      <c r="G2205" s="2"/>
      <c r="H2205" s="2"/>
    </row>
    <row r="2206">
      <c r="A2206" s="2"/>
      <c r="B2206" s="13"/>
      <c r="C2206" s="2"/>
      <c r="D2206" s="2"/>
      <c r="E2206" s="2"/>
      <c r="F2206" s="14"/>
      <c r="G2206" s="2"/>
      <c r="H2206" s="2"/>
    </row>
    <row r="2207">
      <c r="A2207" s="2"/>
      <c r="B2207" s="13"/>
      <c r="C2207" s="2"/>
      <c r="D2207" s="2"/>
      <c r="E2207" s="2"/>
      <c r="F2207" s="14"/>
      <c r="G2207" s="2"/>
      <c r="H2207" s="2"/>
    </row>
    <row r="2208">
      <c r="A2208" s="2"/>
      <c r="B2208" s="13"/>
      <c r="C2208" s="2"/>
      <c r="D2208" s="2"/>
      <c r="E2208" s="2"/>
      <c r="F2208" s="14"/>
      <c r="G2208" s="2"/>
      <c r="H2208" s="2"/>
    </row>
    <row r="2209">
      <c r="A2209" s="2"/>
      <c r="B2209" s="13"/>
      <c r="C2209" s="2"/>
      <c r="D2209" s="2"/>
      <c r="E2209" s="2"/>
      <c r="F2209" s="14"/>
      <c r="G2209" s="2"/>
      <c r="H2209" s="2"/>
    </row>
    <row r="2210">
      <c r="A2210" s="2"/>
      <c r="B2210" s="13"/>
      <c r="C2210" s="2"/>
      <c r="D2210" s="2"/>
      <c r="E2210" s="2"/>
      <c r="F2210" s="14"/>
      <c r="G2210" s="2"/>
      <c r="H2210" s="2"/>
    </row>
    <row r="2211">
      <c r="A2211" s="2"/>
      <c r="B2211" s="13"/>
      <c r="C2211" s="2"/>
      <c r="D2211" s="2"/>
      <c r="E2211" s="2"/>
      <c r="F2211" s="14"/>
      <c r="G2211" s="2"/>
      <c r="H2211" s="2"/>
    </row>
    <row r="2212">
      <c r="A2212" s="2"/>
      <c r="B2212" s="13"/>
      <c r="C2212" s="2"/>
      <c r="D2212" s="2"/>
      <c r="E2212" s="2"/>
      <c r="F2212" s="14"/>
      <c r="G2212" s="2"/>
      <c r="H2212" s="2"/>
    </row>
    <row r="2213">
      <c r="A2213" s="2"/>
      <c r="B2213" s="13"/>
      <c r="C2213" s="2"/>
      <c r="D2213" s="2"/>
      <c r="E2213" s="2"/>
      <c r="F2213" s="14"/>
      <c r="G2213" s="2"/>
      <c r="H2213" s="2"/>
    </row>
    <row r="2214">
      <c r="A2214" s="2"/>
      <c r="B2214" s="13"/>
      <c r="C2214" s="2"/>
      <c r="D2214" s="2"/>
      <c r="E2214" s="2"/>
      <c r="F2214" s="14"/>
      <c r="G2214" s="2"/>
      <c r="H2214" s="2"/>
    </row>
    <row r="2215">
      <c r="A2215" s="2"/>
      <c r="B2215" s="13"/>
      <c r="C2215" s="2"/>
      <c r="D2215" s="2"/>
      <c r="E2215" s="2"/>
      <c r="F2215" s="14"/>
      <c r="G2215" s="2"/>
      <c r="H2215" s="2"/>
    </row>
    <row r="2216">
      <c r="A2216" s="2"/>
      <c r="B2216" s="13"/>
      <c r="C2216" s="2"/>
      <c r="D2216" s="2"/>
      <c r="E2216" s="2"/>
      <c r="F2216" s="14"/>
      <c r="G2216" s="2"/>
      <c r="H2216" s="2"/>
    </row>
    <row r="2217">
      <c r="A2217" s="2"/>
      <c r="B2217" s="13"/>
      <c r="C2217" s="2"/>
      <c r="D2217" s="2"/>
      <c r="E2217" s="2"/>
      <c r="F2217" s="14"/>
      <c r="G2217" s="2"/>
      <c r="H2217" s="2"/>
    </row>
    <row r="2218">
      <c r="A2218" s="2"/>
      <c r="B2218" s="13"/>
      <c r="C2218" s="2"/>
      <c r="D2218" s="2"/>
      <c r="E2218" s="2"/>
      <c r="F2218" s="14"/>
      <c r="G2218" s="2"/>
      <c r="H2218" s="2"/>
    </row>
    <row r="2219">
      <c r="A2219" s="2"/>
      <c r="B2219" s="13"/>
      <c r="C2219" s="2"/>
      <c r="D2219" s="2"/>
      <c r="E2219" s="2"/>
      <c r="F2219" s="14"/>
      <c r="G2219" s="2"/>
      <c r="H2219" s="2"/>
    </row>
    <row r="2220">
      <c r="A2220" s="2"/>
      <c r="B2220" s="13"/>
      <c r="C2220" s="2"/>
      <c r="D2220" s="2"/>
      <c r="E2220" s="2"/>
      <c r="F2220" s="14"/>
      <c r="G2220" s="2"/>
      <c r="H2220" s="2"/>
    </row>
    <row r="2221">
      <c r="A2221" s="2"/>
      <c r="B2221" s="13"/>
      <c r="C2221" s="2"/>
      <c r="D2221" s="2"/>
      <c r="E2221" s="2"/>
      <c r="F2221" s="14"/>
      <c r="G2221" s="2"/>
      <c r="H2221" s="2"/>
    </row>
    <row r="2222">
      <c r="A2222" s="2"/>
      <c r="B2222" s="13"/>
      <c r="C2222" s="2"/>
      <c r="D2222" s="2"/>
      <c r="E2222" s="2"/>
      <c r="F2222" s="14"/>
      <c r="G2222" s="2"/>
      <c r="H2222" s="2"/>
    </row>
    <row r="2223">
      <c r="A2223" s="2"/>
      <c r="B2223" s="13"/>
      <c r="C2223" s="2"/>
      <c r="D2223" s="2"/>
      <c r="E2223" s="2"/>
      <c r="F2223" s="14"/>
      <c r="G2223" s="2"/>
      <c r="H2223" s="2"/>
    </row>
    <row r="2224">
      <c r="A2224" s="2"/>
      <c r="B2224" s="13"/>
      <c r="C2224" s="2"/>
      <c r="D2224" s="2"/>
      <c r="E2224" s="2"/>
      <c r="F2224" s="14"/>
      <c r="G2224" s="2"/>
      <c r="H2224" s="2"/>
    </row>
    <row r="2225">
      <c r="A2225" s="2"/>
      <c r="B2225" s="13"/>
      <c r="C2225" s="2"/>
      <c r="D2225" s="2"/>
      <c r="E2225" s="2"/>
      <c r="F2225" s="14"/>
      <c r="G2225" s="2"/>
      <c r="H2225" s="2"/>
    </row>
    <row r="2226">
      <c r="A2226" s="2"/>
      <c r="B2226" s="13"/>
      <c r="C2226" s="2"/>
      <c r="D2226" s="2"/>
      <c r="E2226" s="2"/>
      <c r="F2226" s="14"/>
      <c r="G2226" s="2"/>
      <c r="H2226" s="2"/>
    </row>
    <row r="2227">
      <c r="A2227" s="2"/>
      <c r="B2227" s="13"/>
      <c r="C2227" s="2"/>
      <c r="D2227" s="2"/>
      <c r="E2227" s="2"/>
      <c r="F2227" s="14"/>
      <c r="G2227" s="2"/>
      <c r="H2227" s="2"/>
    </row>
    <row r="2228">
      <c r="A2228" s="2"/>
      <c r="B2228" s="13"/>
      <c r="C2228" s="2"/>
      <c r="D2228" s="2"/>
      <c r="E2228" s="2"/>
      <c r="F2228" s="14"/>
      <c r="G2228" s="2"/>
      <c r="H2228" s="2"/>
    </row>
    <row r="2229">
      <c r="A2229" s="2"/>
      <c r="B2229" s="13"/>
      <c r="C2229" s="2"/>
      <c r="D2229" s="2"/>
      <c r="E2229" s="2"/>
      <c r="F2229" s="14"/>
      <c r="G2229" s="2"/>
      <c r="H2229" s="2"/>
    </row>
    <row r="2230">
      <c r="A2230" s="2"/>
      <c r="B2230" s="13"/>
      <c r="C2230" s="2"/>
      <c r="D2230" s="2"/>
      <c r="E2230" s="2"/>
      <c r="F2230" s="14"/>
      <c r="G2230" s="2"/>
      <c r="H2230" s="2"/>
    </row>
    <row r="2231">
      <c r="A2231" s="2"/>
      <c r="B2231" s="13"/>
      <c r="C2231" s="2"/>
      <c r="D2231" s="2"/>
      <c r="E2231" s="2"/>
      <c r="F2231" s="14"/>
      <c r="G2231" s="2"/>
      <c r="H2231" s="2"/>
    </row>
    <row r="2232">
      <c r="A2232" s="2"/>
      <c r="B2232" s="13"/>
      <c r="C2232" s="2"/>
      <c r="D2232" s="2"/>
      <c r="E2232" s="2"/>
      <c r="F2232" s="14"/>
      <c r="G2232" s="2"/>
      <c r="H2232" s="2"/>
    </row>
    <row r="2233">
      <c r="A2233" s="2"/>
      <c r="B2233" s="13"/>
      <c r="C2233" s="2"/>
      <c r="D2233" s="2"/>
      <c r="E2233" s="2"/>
      <c r="F2233" s="14"/>
      <c r="G2233" s="2"/>
      <c r="H2233" s="2"/>
    </row>
    <row r="2234">
      <c r="A2234" s="2"/>
      <c r="B2234" s="13"/>
      <c r="C2234" s="2"/>
      <c r="D2234" s="2"/>
      <c r="E2234" s="2"/>
      <c r="F2234" s="14"/>
      <c r="G2234" s="2"/>
      <c r="H2234" s="2"/>
    </row>
    <row r="2235">
      <c r="A2235" s="2"/>
      <c r="B2235" s="13"/>
      <c r="C2235" s="2"/>
      <c r="D2235" s="2"/>
      <c r="E2235" s="2"/>
      <c r="F2235" s="14"/>
      <c r="G2235" s="2"/>
      <c r="H2235" s="2"/>
    </row>
    <row r="2236">
      <c r="A2236" s="2"/>
      <c r="B2236" s="13"/>
      <c r="C2236" s="2"/>
      <c r="D2236" s="2"/>
      <c r="E2236" s="2"/>
      <c r="F2236" s="14"/>
      <c r="G2236" s="2"/>
      <c r="H2236" s="2"/>
    </row>
    <row r="2237">
      <c r="A2237" s="2"/>
      <c r="B2237" s="13"/>
      <c r="C2237" s="2"/>
      <c r="D2237" s="2"/>
      <c r="E2237" s="2"/>
      <c r="F2237" s="14"/>
      <c r="G2237" s="2"/>
      <c r="H2237" s="2"/>
    </row>
    <row r="2238">
      <c r="A2238" s="2"/>
      <c r="B2238" s="13"/>
      <c r="C2238" s="2"/>
      <c r="D2238" s="2"/>
      <c r="E2238" s="2"/>
      <c r="F2238" s="14"/>
      <c r="G2238" s="2"/>
      <c r="H2238" s="2"/>
    </row>
    <row r="2239">
      <c r="A2239" s="2"/>
      <c r="B2239" s="13"/>
      <c r="C2239" s="2"/>
      <c r="D2239" s="2"/>
      <c r="E2239" s="2"/>
      <c r="F2239" s="14"/>
      <c r="G2239" s="2"/>
      <c r="H2239" s="2"/>
    </row>
    <row r="2240">
      <c r="A2240" s="2"/>
      <c r="B2240" s="13"/>
      <c r="C2240" s="2"/>
      <c r="D2240" s="2"/>
      <c r="E2240" s="2"/>
      <c r="F2240" s="14"/>
      <c r="G2240" s="2"/>
      <c r="H2240" s="2"/>
    </row>
    <row r="2241">
      <c r="A2241" s="2"/>
      <c r="B2241" s="13"/>
      <c r="C2241" s="2"/>
      <c r="D2241" s="2"/>
      <c r="E2241" s="2"/>
      <c r="F2241" s="14"/>
      <c r="G2241" s="2"/>
      <c r="H2241" s="2"/>
    </row>
    <row r="2242">
      <c r="A2242" s="2"/>
      <c r="B2242" s="13"/>
      <c r="C2242" s="2"/>
      <c r="D2242" s="2"/>
      <c r="E2242" s="2"/>
      <c r="F2242" s="14"/>
      <c r="G2242" s="2"/>
      <c r="H2242" s="2"/>
    </row>
    <row r="2243">
      <c r="A2243" s="2"/>
      <c r="B2243" s="13"/>
      <c r="C2243" s="2"/>
      <c r="D2243" s="2"/>
      <c r="E2243" s="2"/>
      <c r="F2243" s="14"/>
      <c r="G2243" s="2"/>
      <c r="H2243" s="2"/>
    </row>
    <row r="2244">
      <c r="A2244" s="2"/>
      <c r="B2244" s="13"/>
      <c r="C2244" s="2"/>
      <c r="D2244" s="2"/>
      <c r="E2244" s="2"/>
      <c r="F2244" s="14"/>
      <c r="G2244" s="2"/>
      <c r="H2244" s="2"/>
    </row>
    <row r="2245">
      <c r="A2245" s="2"/>
      <c r="B2245" s="13"/>
      <c r="C2245" s="2"/>
      <c r="D2245" s="2"/>
      <c r="E2245" s="2"/>
      <c r="F2245" s="14"/>
      <c r="G2245" s="2"/>
      <c r="H2245" s="2"/>
    </row>
    <row r="2246">
      <c r="A2246" s="2"/>
      <c r="B2246" s="13"/>
      <c r="C2246" s="2"/>
      <c r="D2246" s="2"/>
      <c r="E2246" s="2"/>
      <c r="F2246" s="14"/>
      <c r="G2246" s="2"/>
      <c r="H2246" s="2"/>
    </row>
    <row r="2247">
      <c r="A2247" s="2"/>
      <c r="B2247" s="13"/>
      <c r="C2247" s="2"/>
      <c r="D2247" s="2"/>
      <c r="E2247" s="2"/>
      <c r="F2247" s="14"/>
      <c r="G2247" s="2"/>
      <c r="H2247" s="2"/>
    </row>
    <row r="2248">
      <c r="A2248" s="2"/>
      <c r="B2248" s="13"/>
      <c r="C2248" s="2"/>
      <c r="D2248" s="2"/>
      <c r="E2248" s="2"/>
      <c r="F2248" s="14"/>
      <c r="G2248" s="2"/>
      <c r="H2248" s="2"/>
    </row>
    <row r="2249">
      <c r="A2249" s="2"/>
      <c r="B2249" s="13"/>
      <c r="C2249" s="2"/>
      <c r="D2249" s="2"/>
      <c r="E2249" s="2"/>
      <c r="F2249" s="14"/>
      <c r="G2249" s="2"/>
      <c r="H2249" s="2"/>
    </row>
    <row r="2250">
      <c r="A2250" s="2"/>
      <c r="B2250" s="13"/>
      <c r="C2250" s="2"/>
      <c r="D2250" s="2"/>
      <c r="E2250" s="2"/>
      <c r="F2250" s="14"/>
      <c r="G2250" s="2"/>
      <c r="H2250" s="2"/>
    </row>
    <row r="2251">
      <c r="A2251" s="2"/>
      <c r="B2251" s="13"/>
      <c r="C2251" s="2"/>
      <c r="D2251" s="2"/>
      <c r="E2251" s="2"/>
      <c r="F2251" s="14"/>
      <c r="G2251" s="2"/>
      <c r="H2251" s="2"/>
    </row>
    <row r="2252">
      <c r="A2252" s="2"/>
      <c r="B2252" s="13"/>
      <c r="C2252" s="2"/>
      <c r="D2252" s="2"/>
      <c r="E2252" s="2"/>
      <c r="F2252" s="14"/>
      <c r="G2252" s="2"/>
      <c r="H2252" s="2"/>
    </row>
    <row r="2253">
      <c r="A2253" s="2"/>
      <c r="B2253" s="13"/>
      <c r="C2253" s="2"/>
      <c r="D2253" s="2"/>
      <c r="E2253" s="2"/>
      <c r="F2253" s="14"/>
      <c r="G2253" s="2"/>
      <c r="H2253" s="2"/>
    </row>
    <row r="2254">
      <c r="A2254" s="2"/>
      <c r="B2254" s="13"/>
      <c r="C2254" s="2"/>
      <c r="D2254" s="2"/>
      <c r="E2254" s="2"/>
      <c r="F2254" s="14"/>
      <c r="G2254" s="2"/>
      <c r="H2254" s="2"/>
    </row>
    <row r="2255">
      <c r="A2255" s="2"/>
      <c r="B2255" s="13"/>
      <c r="C2255" s="2"/>
      <c r="D2255" s="2"/>
      <c r="E2255" s="2"/>
      <c r="F2255" s="14"/>
      <c r="G2255" s="2"/>
      <c r="H2255" s="2"/>
    </row>
    <row r="2256">
      <c r="A2256" s="2"/>
      <c r="B2256" s="13"/>
      <c r="C2256" s="2"/>
      <c r="D2256" s="2"/>
      <c r="E2256" s="2"/>
      <c r="F2256" s="14"/>
      <c r="G2256" s="2"/>
      <c r="H2256" s="2"/>
    </row>
    <row r="2257">
      <c r="A2257" s="2"/>
      <c r="B2257" s="13"/>
      <c r="C2257" s="2"/>
      <c r="D2257" s="2"/>
      <c r="E2257" s="2"/>
      <c r="F2257" s="14"/>
      <c r="G2257" s="2"/>
      <c r="H2257" s="2"/>
    </row>
    <row r="2258">
      <c r="A2258" s="2"/>
      <c r="B2258" s="13"/>
      <c r="C2258" s="2"/>
      <c r="D2258" s="2"/>
      <c r="E2258" s="2"/>
      <c r="F2258" s="14"/>
      <c r="G2258" s="2"/>
      <c r="H2258" s="2"/>
    </row>
    <row r="2259">
      <c r="A2259" s="2"/>
      <c r="B2259" s="13"/>
      <c r="C2259" s="2"/>
      <c r="D2259" s="2"/>
      <c r="E2259" s="2"/>
      <c r="F2259" s="14"/>
      <c r="G2259" s="2"/>
      <c r="H2259" s="2"/>
    </row>
    <row r="2260">
      <c r="A2260" s="2"/>
      <c r="B2260" s="13"/>
      <c r="C2260" s="2"/>
      <c r="D2260" s="2"/>
      <c r="E2260" s="2"/>
      <c r="F2260" s="14"/>
      <c r="G2260" s="2"/>
      <c r="H2260" s="2"/>
    </row>
    <row r="2261">
      <c r="A2261" s="2"/>
      <c r="B2261" s="13"/>
      <c r="C2261" s="2"/>
      <c r="D2261" s="2"/>
      <c r="E2261" s="2"/>
      <c r="F2261" s="14"/>
      <c r="G2261" s="2"/>
      <c r="H2261" s="2"/>
    </row>
    <row r="2262">
      <c r="A2262" s="2"/>
      <c r="B2262" s="13"/>
      <c r="C2262" s="2"/>
      <c r="D2262" s="2"/>
      <c r="E2262" s="2"/>
      <c r="F2262" s="14"/>
      <c r="G2262" s="2"/>
      <c r="H2262" s="2"/>
    </row>
    <row r="2263">
      <c r="A2263" s="2"/>
      <c r="B2263" s="13"/>
      <c r="C2263" s="2"/>
      <c r="D2263" s="2"/>
      <c r="E2263" s="2"/>
      <c r="F2263" s="14"/>
      <c r="G2263" s="2"/>
      <c r="H2263" s="2"/>
    </row>
    <row r="2264">
      <c r="A2264" s="2"/>
      <c r="B2264" s="13"/>
      <c r="C2264" s="2"/>
      <c r="D2264" s="2"/>
      <c r="E2264" s="2"/>
      <c r="F2264" s="14"/>
      <c r="G2264" s="2"/>
      <c r="H2264" s="2"/>
    </row>
    <row r="2265">
      <c r="A2265" s="2"/>
      <c r="B2265" s="13"/>
      <c r="C2265" s="2"/>
      <c r="D2265" s="2"/>
      <c r="E2265" s="2"/>
      <c r="F2265" s="14"/>
      <c r="G2265" s="2"/>
      <c r="H2265" s="2"/>
    </row>
    <row r="2266">
      <c r="A2266" s="2"/>
      <c r="B2266" s="13"/>
      <c r="C2266" s="2"/>
      <c r="D2266" s="2"/>
      <c r="E2266" s="2"/>
      <c r="F2266" s="14"/>
      <c r="G2266" s="2"/>
      <c r="H2266" s="2"/>
    </row>
    <row r="2267">
      <c r="A2267" s="2"/>
      <c r="B2267" s="13"/>
      <c r="C2267" s="2"/>
      <c r="D2267" s="2"/>
      <c r="E2267" s="2"/>
      <c r="F2267" s="14"/>
      <c r="G2267" s="2"/>
      <c r="H2267" s="2"/>
    </row>
    <row r="2268">
      <c r="A2268" s="2"/>
      <c r="B2268" s="13"/>
      <c r="C2268" s="2"/>
      <c r="D2268" s="2"/>
      <c r="E2268" s="2"/>
      <c r="F2268" s="14"/>
      <c r="G2268" s="2"/>
      <c r="H2268" s="2"/>
    </row>
    <row r="2269">
      <c r="A2269" s="2"/>
      <c r="B2269" s="13"/>
      <c r="C2269" s="2"/>
      <c r="D2269" s="2"/>
      <c r="E2269" s="2"/>
      <c r="F2269" s="14"/>
      <c r="G2269" s="2"/>
      <c r="H2269" s="2"/>
    </row>
    <row r="2270">
      <c r="A2270" s="2"/>
      <c r="B2270" s="13"/>
      <c r="C2270" s="2"/>
      <c r="D2270" s="2"/>
      <c r="E2270" s="2"/>
      <c r="F2270" s="14"/>
      <c r="G2270" s="2"/>
      <c r="H2270" s="2"/>
    </row>
    <row r="2271">
      <c r="A2271" s="2"/>
      <c r="B2271" s="13"/>
      <c r="C2271" s="2"/>
      <c r="D2271" s="2"/>
      <c r="E2271" s="2"/>
      <c r="F2271" s="14"/>
      <c r="G2271" s="2"/>
      <c r="H2271" s="2"/>
    </row>
    <row r="2272">
      <c r="A2272" s="2"/>
      <c r="B2272" s="13"/>
      <c r="C2272" s="2"/>
      <c r="D2272" s="2"/>
      <c r="E2272" s="2"/>
      <c r="F2272" s="14"/>
      <c r="G2272" s="2"/>
      <c r="H2272" s="2"/>
    </row>
    <row r="2273">
      <c r="A2273" s="2"/>
      <c r="B2273" s="13"/>
      <c r="C2273" s="2"/>
      <c r="D2273" s="2"/>
      <c r="E2273" s="2"/>
      <c r="F2273" s="14"/>
      <c r="G2273" s="2"/>
      <c r="H2273" s="2"/>
    </row>
    <row r="2274">
      <c r="A2274" s="2"/>
      <c r="B2274" s="13"/>
      <c r="C2274" s="2"/>
      <c r="D2274" s="2"/>
      <c r="E2274" s="2"/>
      <c r="F2274" s="14"/>
      <c r="G2274" s="2"/>
      <c r="H2274" s="2"/>
    </row>
    <row r="2275">
      <c r="A2275" s="2"/>
      <c r="B2275" s="13"/>
      <c r="C2275" s="2"/>
      <c r="D2275" s="2"/>
      <c r="E2275" s="2"/>
      <c r="F2275" s="14"/>
      <c r="G2275" s="2"/>
      <c r="H2275" s="2"/>
    </row>
    <row r="2276">
      <c r="A2276" s="2"/>
      <c r="B2276" s="13"/>
      <c r="C2276" s="2"/>
      <c r="D2276" s="2"/>
      <c r="E2276" s="2"/>
      <c r="F2276" s="14"/>
      <c r="G2276" s="2"/>
      <c r="H2276" s="2"/>
    </row>
    <row r="2277">
      <c r="A2277" s="2"/>
      <c r="B2277" s="13"/>
      <c r="C2277" s="2"/>
      <c r="D2277" s="2"/>
      <c r="E2277" s="2"/>
      <c r="F2277" s="14"/>
      <c r="G2277" s="2"/>
      <c r="H2277" s="2"/>
    </row>
    <row r="2278">
      <c r="A2278" s="2"/>
      <c r="B2278" s="13"/>
      <c r="C2278" s="2"/>
      <c r="D2278" s="2"/>
      <c r="E2278" s="2"/>
      <c r="F2278" s="14"/>
      <c r="G2278" s="2"/>
      <c r="H2278" s="2"/>
    </row>
    <row r="2279">
      <c r="A2279" s="2"/>
      <c r="B2279" s="13"/>
      <c r="C2279" s="2"/>
      <c r="D2279" s="2"/>
      <c r="E2279" s="2"/>
      <c r="F2279" s="14"/>
      <c r="G2279" s="2"/>
      <c r="H2279" s="2"/>
    </row>
    <row r="2280">
      <c r="A2280" s="2"/>
      <c r="B2280" s="13"/>
      <c r="C2280" s="2"/>
      <c r="D2280" s="2"/>
      <c r="E2280" s="2"/>
      <c r="F2280" s="14"/>
      <c r="G2280" s="2"/>
      <c r="H2280" s="2"/>
    </row>
    <row r="2281">
      <c r="A2281" s="2"/>
      <c r="B2281" s="13"/>
      <c r="C2281" s="2"/>
      <c r="D2281" s="2"/>
      <c r="E2281" s="2"/>
      <c r="F2281" s="14"/>
      <c r="G2281" s="2"/>
      <c r="H2281" s="2"/>
    </row>
    <row r="2282">
      <c r="A2282" s="2"/>
      <c r="B2282" s="13"/>
      <c r="C2282" s="2"/>
      <c r="D2282" s="2"/>
      <c r="E2282" s="2"/>
      <c r="F2282" s="14"/>
      <c r="G2282" s="2"/>
      <c r="H2282" s="2"/>
    </row>
    <row r="2283">
      <c r="A2283" s="2"/>
      <c r="B2283" s="13"/>
      <c r="C2283" s="2"/>
      <c r="D2283" s="2"/>
      <c r="E2283" s="2"/>
      <c r="F2283" s="14"/>
      <c r="G2283" s="2"/>
      <c r="H2283" s="2"/>
    </row>
    <row r="2284">
      <c r="A2284" s="2"/>
      <c r="B2284" s="13"/>
      <c r="C2284" s="2"/>
      <c r="D2284" s="2"/>
      <c r="E2284" s="2"/>
      <c r="F2284" s="14"/>
      <c r="G2284" s="2"/>
      <c r="H2284" s="2"/>
    </row>
    <row r="2285">
      <c r="A2285" s="2"/>
      <c r="B2285" s="13"/>
      <c r="C2285" s="2"/>
      <c r="D2285" s="2"/>
      <c r="E2285" s="2"/>
      <c r="F2285" s="14"/>
      <c r="G2285" s="2"/>
      <c r="H2285" s="2"/>
    </row>
    <row r="2286">
      <c r="A2286" s="2"/>
      <c r="B2286" s="13"/>
      <c r="C2286" s="2"/>
      <c r="D2286" s="2"/>
      <c r="E2286" s="2"/>
      <c r="F2286" s="14"/>
      <c r="G2286" s="2"/>
      <c r="H2286" s="2"/>
    </row>
    <row r="2287">
      <c r="A2287" s="2"/>
      <c r="B2287" s="13"/>
      <c r="C2287" s="2"/>
      <c r="D2287" s="2"/>
      <c r="E2287" s="2"/>
      <c r="F2287" s="14"/>
      <c r="G2287" s="2"/>
      <c r="H2287" s="2"/>
    </row>
    <row r="2288">
      <c r="A2288" s="2"/>
      <c r="B2288" s="13"/>
      <c r="C2288" s="2"/>
      <c r="D2288" s="2"/>
      <c r="E2288" s="2"/>
      <c r="F2288" s="14"/>
      <c r="G2288" s="2"/>
      <c r="H2288" s="2"/>
    </row>
    <row r="2289">
      <c r="A2289" s="2"/>
      <c r="B2289" s="13"/>
      <c r="C2289" s="2"/>
      <c r="D2289" s="2"/>
      <c r="E2289" s="2"/>
      <c r="F2289" s="14"/>
      <c r="G2289" s="2"/>
      <c r="H2289" s="2"/>
    </row>
    <row r="2290">
      <c r="A2290" s="2"/>
      <c r="B2290" s="13"/>
      <c r="C2290" s="2"/>
      <c r="D2290" s="2"/>
      <c r="E2290" s="2"/>
      <c r="F2290" s="14"/>
      <c r="G2290" s="2"/>
      <c r="H2290" s="2"/>
    </row>
    <row r="2291">
      <c r="A2291" s="2"/>
      <c r="B2291" s="13"/>
      <c r="C2291" s="2"/>
      <c r="D2291" s="2"/>
      <c r="E2291" s="2"/>
      <c r="F2291" s="14"/>
      <c r="G2291" s="2"/>
      <c r="H2291" s="2"/>
    </row>
    <row r="2292">
      <c r="A2292" s="2"/>
      <c r="B2292" s="13"/>
      <c r="C2292" s="2"/>
      <c r="D2292" s="2"/>
      <c r="E2292" s="2"/>
      <c r="F2292" s="14"/>
      <c r="G2292" s="2"/>
      <c r="H2292" s="2"/>
    </row>
    <row r="2293">
      <c r="A2293" s="2"/>
      <c r="B2293" s="13"/>
      <c r="C2293" s="2"/>
      <c r="D2293" s="2"/>
      <c r="E2293" s="2"/>
      <c r="F2293" s="14"/>
      <c r="G2293" s="2"/>
      <c r="H2293" s="2"/>
    </row>
    <row r="2294">
      <c r="A2294" s="2"/>
      <c r="B2294" s="13"/>
      <c r="C2294" s="2"/>
      <c r="D2294" s="2"/>
      <c r="E2294" s="2"/>
      <c r="F2294" s="14"/>
      <c r="G2294" s="2"/>
      <c r="H2294" s="2"/>
    </row>
    <row r="2295">
      <c r="A2295" s="2"/>
      <c r="B2295" s="13"/>
      <c r="C2295" s="2"/>
      <c r="D2295" s="2"/>
      <c r="E2295" s="2"/>
      <c r="F2295" s="14"/>
      <c r="G2295" s="2"/>
      <c r="H2295" s="2"/>
    </row>
    <row r="2296">
      <c r="A2296" s="2"/>
      <c r="B2296" s="13"/>
      <c r="C2296" s="2"/>
      <c r="D2296" s="2"/>
      <c r="E2296" s="2"/>
      <c r="F2296" s="14"/>
      <c r="G2296" s="2"/>
      <c r="H2296" s="2"/>
    </row>
    <row r="2297">
      <c r="A2297" s="2"/>
      <c r="B2297" s="13"/>
      <c r="C2297" s="2"/>
      <c r="D2297" s="2"/>
      <c r="E2297" s="2"/>
      <c r="F2297" s="14"/>
      <c r="G2297" s="2"/>
      <c r="H2297" s="2"/>
    </row>
    <row r="2298">
      <c r="A2298" s="2"/>
      <c r="B2298" s="13"/>
      <c r="C2298" s="2"/>
      <c r="D2298" s="2"/>
      <c r="E2298" s="2"/>
      <c r="F2298" s="14"/>
      <c r="G2298" s="2"/>
      <c r="H2298" s="2"/>
    </row>
    <row r="2299">
      <c r="A2299" s="2"/>
      <c r="B2299" s="13"/>
      <c r="C2299" s="2"/>
      <c r="D2299" s="2"/>
      <c r="E2299" s="2"/>
      <c r="F2299" s="14"/>
      <c r="G2299" s="2"/>
      <c r="H2299" s="2"/>
    </row>
    <row r="2300">
      <c r="A2300" s="2"/>
      <c r="B2300" s="13"/>
      <c r="C2300" s="2"/>
      <c r="D2300" s="2"/>
      <c r="E2300" s="2"/>
      <c r="F2300" s="14"/>
      <c r="G2300" s="2"/>
      <c r="H2300" s="2"/>
    </row>
    <row r="2301">
      <c r="A2301" s="2"/>
      <c r="B2301" s="13"/>
      <c r="C2301" s="2"/>
      <c r="D2301" s="2"/>
      <c r="E2301" s="2"/>
      <c r="F2301" s="14"/>
      <c r="G2301" s="2"/>
      <c r="H2301" s="2"/>
    </row>
    <row r="2302">
      <c r="A2302" s="2"/>
      <c r="B2302" s="13"/>
      <c r="C2302" s="2"/>
      <c r="D2302" s="2"/>
      <c r="E2302" s="2"/>
      <c r="F2302" s="14"/>
      <c r="G2302" s="2"/>
      <c r="H2302" s="2"/>
    </row>
    <row r="2303">
      <c r="A2303" s="2"/>
      <c r="B2303" s="13"/>
      <c r="C2303" s="2"/>
      <c r="D2303" s="2"/>
      <c r="E2303" s="2"/>
      <c r="F2303" s="14"/>
      <c r="G2303" s="2"/>
      <c r="H2303" s="2"/>
    </row>
    <row r="2304">
      <c r="A2304" s="2"/>
      <c r="B2304" s="13"/>
      <c r="C2304" s="2"/>
      <c r="D2304" s="2"/>
      <c r="E2304" s="2"/>
      <c r="F2304" s="14"/>
      <c r="G2304" s="2"/>
      <c r="H2304" s="2"/>
    </row>
    <row r="2305">
      <c r="A2305" s="2"/>
      <c r="B2305" s="13"/>
      <c r="C2305" s="2"/>
      <c r="D2305" s="2"/>
      <c r="E2305" s="2"/>
      <c r="F2305" s="14"/>
      <c r="G2305" s="2"/>
      <c r="H2305" s="2"/>
    </row>
    <row r="2306">
      <c r="A2306" s="2"/>
      <c r="B2306" s="13"/>
      <c r="C2306" s="2"/>
      <c r="D2306" s="2"/>
      <c r="E2306" s="2"/>
      <c r="F2306" s="14"/>
      <c r="G2306" s="2"/>
      <c r="H2306" s="2"/>
    </row>
    <row r="2307">
      <c r="A2307" s="2"/>
      <c r="B2307" s="13"/>
      <c r="C2307" s="2"/>
      <c r="D2307" s="2"/>
      <c r="E2307" s="2"/>
      <c r="F2307" s="14"/>
      <c r="G2307" s="2"/>
      <c r="H2307" s="2"/>
    </row>
    <row r="2308">
      <c r="A2308" s="2"/>
      <c r="B2308" s="13"/>
      <c r="C2308" s="2"/>
      <c r="D2308" s="2"/>
      <c r="E2308" s="2"/>
      <c r="F2308" s="14"/>
      <c r="G2308" s="2"/>
      <c r="H2308" s="2"/>
    </row>
    <row r="2309">
      <c r="A2309" s="2"/>
      <c r="B2309" s="13"/>
      <c r="C2309" s="2"/>
      <c r="D2309" s="2"/>
      <c r="E2309" s="2"/>
      <c r="F2309" s="14"/>
      <c r="G2309" s="2"/>
      <c r="H2309" s="2"/>
    </row>
    <row r="2310">
      <c r="A2310" s="2"/>
      <c r="B2310" s="13"/>
      <c r="C2310" s="2"/>
      <c r="D2310" s="2"/>
      <c r="E2310" s="2"/>
      <c r="F2310" s="14"/>
      <c r="G2310" s="2"/>
      <c r="H2310" s="2"/>
    </row>
    <row r="2311">
      <c r="A2311" s="2"/>
      <c r="B2311" s="13"/>
      <c r="C2311" s="2"/>
      <c r="D2311" s="2"/>
      <c r="E2311" s="2"/>
      <c r="F2311" s="14"/>
      <c r="G2311" s="2"/>
      <c r="H2311" s="2"/>
    </row>
    <row r="2312">
      <c r="A2312" s="2"/>
      <c r="B2312" s="13"/>
      <c r="C2312" s="2"/>
      <c r="D2312" s="2"/>
      <c r="E2312" s="2"/>
      <c r="F2312" s="14"/>
      <c r="G2312" s="2"/>
      <c r="H2312" s="2"/>
    </row>
    <row r="2313">
      <c r="A2313" s="2"/>
      <c r="B2313" s="13"/>
      <c r="C2313" s="2"/>
      <c r="D2313" s="2"/>
      <c r="E2313" s="2"/>
      <c r="F2313" s="14"/>
      <c r="G2313" s="2"/>
      <c r="H2313" s="2"/>
    </row>
    <row r="2314">
      <c r="A2314" s="2"/>
      <c r="B2314" s="13"/>
      <c r="C2314" s="2"/>
      <c r="D2314" s="2"/>
      <c r="E2314" s="2"/>
      <c r="F2314" s="14"/>
      <c r="G2314" s="2"/>
      <c r="H2314" s="2"/>
    </row>
    <row r="2315">
      <c r="A2315" s="2"/>
      <c r="B2315" s="13"/>
      <c r="C2315" s="2"/>
      <c r="D2315" s="2"/>
      <c r="E2315" s="2"/>
      <c r="F2315" s="14"/>
      <c r="G2315" s="2"/>
      <c r="H2315" s="2"/>
    </row>
    <row r="2316">
      <c r="A2316" s="2"/>
      <c r="B2316" s="13"/>
      <c r="C2316" s="2"/>
      <c r="D2316" s="2"/>
      <c r="E2316" s="2"/>
      <c r="F2316" s="14"/>
      <c r="G2316" s="2"/>
      <c r="H2316" s="2"/>
    </row>
    <row r="2317">
      <c r="A2317" s="2"/>
      <c r="B2317" s="13"/>
      <c r="C2317" s="2"/>
      <c r="D2317" s="2"/>
      <c r="E2317" s="2"/>
      <c r="F2317" s="14"/>
      <c r="G2317" s="2"/>
      <c r="H2317" s="2"/>
    </row>
    <row r="2318">
      <c r="A2318" s="2"/>
      <c r="B2318" s="13"/>
      <c r="C2318" s="2"/>
      <c r="D2318" s="2"/>
      <c r="E2318" s="2"/>
      <c r="F2318" s="14"/>
      <c r="G2318" s="2"/>
      <c r="H2318" s="2"/>
    </row>
    <row r="2319">
      <c r="A2319" s="2"/>
      <c r="B2319" s="13"/>
      <c r="C2319" s="2"/>
      <c r="D2319" s="2"/>
      <c r="E2319" s="2"/>
      <c r="F2319" s="14"/>
      <c r="G2319" s="2"/>
      <c r="H2319" s="2"/>
    </row>
    <row r="2320">
      <c r="A2320" s="2"/>
      <c r="B2320" s="13"/>
      <c r="C2320" s="2"/>
      <c r="D2320" s="2"/>
      <c r="E2320" s="2"/>
      <c r="F2320" s="14"/>
      <c r="G2320" s="2"/>
      <c r="H2320" s="2"/>
    </row>
    <row r="2321">
      <c r="A2321" s="2"/>
      <c r="B2321" s="13"/>
      <c r="C2321" s="2"/>
      <c r="D2321" s="2"/>
      <c r="E2321" s="2"/>
      <c r="F2321" s="14"/>
      <c r="G2321" s="2"/>
      <c r="H2321" s="2"/>
    </row>
    <row r="2322">
      <c r="A2322" s="2"/>
      <c r="B2322" s="13"/>
      <c r="C2322" s="2"/>
      <c r="D2322" s="2"/>
      <c r="E2322" s="2"/>
      <c r="F2322" s="14"/>
      <c r="G2322" s="2"/>
      <c r="H2322" s="2"/>
    </row>
    <row r="2323">
      <c r="A2323" s="2"/>
      <c r="B2323" s="13"/>
      <c r="C2323" s="2"/>
      <c r="D2323" s="2"/>
      <c r="E2323" s="2"/>
      <c r="F2323" s="14"/>
      <c r="G2323" s="2"/>
      <c r="H2323" s="2"/>
    </row>
    <row r="2324">
      <c r="A2324" s="2"/>
      <c r="B2324" s="13"/>
      <c r="C2324" s="2"/>
      <c r="D2324" s="2"/>
      <c r="E2324" s="2"/>
      <c r="F2324" s="14"/>
      <c r="G2324" s="2"/>
      <c r="H2324" s="2"/>
    </row>
    <row r="2325">
      <c r="A2325" s="2"/>
      <c r="B2325" s="13"/>
      <c r="C2325" s="2"/>
      <c r="D2325" s="2"/>
      <c r="E2325" s="2"/>
      <c r="F2325" s="14"/>
      <c r="G2325" s="2"/>
      <c r="H2325" s="2"/>
    </row>
    <row r="2326">
      <c r="A2326" s="2"/>
      <c r="B2326" s="13"/>
      <c r="C2326" s="2"/>
      <c r="D2326" s="2"/>
      <c r="E2326" s="2"/>
      <c r="F2326" s="14"/>
      <c r="G2326" s="2"/>
      <c r="H2326" s="2"/>
    </row>
    <row r="2327">
      <c r="A2327" s="2"/>
      <c r="B2327" s="13"/>
      <c r="C2327" s="2"/>
      <c r="D2327" s="2"/>
      <c r="E2327" s="2"/>
      <c r="F2327" s="14"/>
      <c r="G2327" s="2"/>
      <c r="H2327" s="2"/>
    </row>
    <row r="2328">
      <c r="A2328" s="2"/>
      <c r="B2328" s="13"/>
      <c r="C2328" s="2"/>
      <c r="D2328" s="2"/>
      <c r="E2328" s="2"/>
      <c r="F2328" s="14"/>
      <c r="G2328" s="2"/>
      <c r="H2328" s="2"/>
    </row>
    <row r="2329">
      <c r="A2329" s="2"/>
      <c r="B2329" s="13"/>
      <c r="C2329" s="2"/>
      <c r="D2329" s="2"/>
      <c r="E2329" s="2"/>
      <c r="F2329" s="14"/>
      <c r="G2329" s="2"/>
      <c r="H2329" s="2"/>
    </row>
    <row r="2330">
      <c r="A2330" s="2"/>
      <c r="B2330" s="13"/>
      <c r="C2330" s="2"/>
      <c r="D2330" s="2"/>
      <c r="E2330" s="2"/>
      <c r="F2330" s="14"/>
      <c r="G2330" s="2"/>
      <c r="H2330" s="2"/>
    </row>
    <row r="2331">
      <c r="A2331" s="2"/>
      <c r="B2331" s="13"/>
      <c r="C2331" s="2"/>
      <c r="D2331" s="2"/>
      <c r="E2331" s="2"/>
      <c r="F2331" s="14"/>
      <c r="G2331" s="2"/>
      <c r="H2331" s="2"/>
    </row>
    <row r="2332">
      <c r="A2332" s="2"/>
      <c r="B2332" s="13"/>
      <c r="C2332" s="2"/>
      <c r="D2332" s="2"/>
      <c r="E2332" s="2"/>
      <c r="F2332" s="14"/>
      <c r="G2332" s="2"/>
      <c r="H2332" s="2"/>
    </row>
    <row r="2333">
      <c r="A2333" s="2"/>
      <c r="B2333" s="13"/>
      <c r="C2333" s="2"/>
      <c r="D2333" s="2"/>
      <c r="E2333" s="2"/>
      <c r="F2333" s="14"/>
      <c r="G2333" s="2"/>
      <c r="H2333" s="2"/>
    </row>
    <row r="2334">
      <c r="A2334" s="2"/>
      <c r="B2334" s="13"/>
      <c r="C2334" s="2"/>
      <c r="D2334" s="2"/>
      <c r="E2334" s="2"/>
      <c r="F2334" s="14"/>
      <c r="G2334" s="2"/>
      <c r="H2334" s="2"/>
    </row>
    <row r="2335">
      <c r="A2335" s="2"/>
      <c r="B2335" s="13"/>
      <c r="C2335" s="2"/>
      <c r="D2335" s="2"/>
      <c r="E2335" s="2"/>
      <c r="F2335" s="14"/>
      <c r="G2335" s="2"/>
      <c r="H2335" s="2"/>
    </row>
    <row r="2336">
      <c r="A2336" s="2"/>
      <c r="B2336" s="13"/>
      <c r="C2336" s="2"/>
      <c r="D2336" s="2"/>
      <c r="E2336" s="2"/>
      <c r="F2336" s="14"/>
      <c r="G2336" s="2"/>
      <c r="H2336" s="2"/>
    </row>
    <row r="2337">
      <c r="A2337" s="2"/>
      <c r="B2337" s="13"/>
      <c r="C2337" s="2"/>
      <c r="D2337" s="2"/>
      <c r="E2337" s="2"/>
      <c r="F2337" s="14"/>
      <c r="G2337" s="2"/>
      <c r="H2337" s="2"/>
    </row>
    <row r="2338">
      <c r="A2338" s="2"/>
      <c r="B2338" s="13"/>
      <c r="C2338" s="2"/>
      <c r="D2338" s="2"/>
      <c r="E2338" s="2"/>
      <c r="F2338" s="14"/>
      <c r="G2338" s="2"/>
      <c r="H2338" s="2"/>
    </row>
    <row r="2339">
      <c r="A2339" s="2"/>
      <c r="B2339" s="13"/>
      <c r="C2339" s="2"/>
      <c r="D2339" s="2"/>
      <c r="E2339" s="2"/>
      <c r="F2339" s="14"/>
      <c r="G2339" s="2"/>
      <c r="H2339" s="2"/>
    </row>
    <row r="2340">
      <c r="A2340" s="2"/>
      <c r="B2340" s="13"/>
      <c r="C2340" s="2"/>
      <c r="D2340" s="2"/>
      <c r="E2340" s="2"/>
      <c r="F2340" s="14"/>
      <c r="G2340" s="2"/>
      <c r="H2340" s="2"/>
    </row>
    <row r="2341">
      <c r="A2341" s="2"/>
      <c r="B2341" s="13"/>
      <c r="C2341" s="2"/>
      <c r="D2341" s="2"/>
      <c r="E2341" s="2"/>
      <c r="F2341" s="14"/>
      <c r="G2341" s="2"/>
      <c r="H2341" s="2"/>
    </row>
    <row r="2342">
      <c r="A2342" s="2"/>
      <c r="B2342" s="13"/>
      <c r="C2342" s="2"/>
      <c r="D2342" s="2"/>
      <c r="E2342" s="2"/>
      <c r="F2342" s="14"/>
      <c r="G2342" s="2"/>
      <c r="H2342" s="2"/>
    </row>
    <row r="2343">
      <c r="A2343" s="2"/>
      <c r="B2343" s="13"/>
      <c r="C2343" s="2"/>
      <c r="D2343" s="2"/>
      <c r="E2343" s="2"/>
      <c r="F2343" s="14"/>
      <c r="G2343" s="2"/>
      <c r="H2343" s="2"/>
    </row>
    <row r="2344">
      <c r="A2344" s="2"/>
      <c r="B2344" s="13"/>
      <c r="C2344" s="2"/>
      <c r="D2344" s="2"/>
      <c r="E2344" s="2"/>
      <c r="F2344" s="14"/>
      <c r="G2344" s="2"/>
      <c r="H2344" s="2"/>
    </row>
    <row r="2345">
      <c r="A2345" s="2"/>
      <c r="B2345" s="13"/>
      <c r="C2345" s="2"/>
      <c r="D2345" s="2"/>
      <c r="E2345" s="2"/>
      <c r="F2345" s="14"/>
      <c r="G2345" s="2"/>
      <c r="H2345" s="2"/>
    </row>
    <row r="2346">
      <c r="A2346" s="2"/>
      <c r="B2346" s="13"/>
      <c r="C2346" s="2"/>
      <c r="D2346" s="2"/>
      <c r="E2346" s="2"/>
      <c r="F2346" s="14"/>
      <c r="G2346" s="2"/>
      <c r="H2346" s="2"/>
    </row>
    <row r="2347">
      <c r="A2347" s="2"/>
      <c r="B2347" s="13"/>
      <c r="C2347" s="2"/>
      <c r="D2347" s="2"/>
      <c r="E2347" s="2"/>
      <c r="F2347" s="14"/>
      <c r="G2347" s="2"/>
      <c r="H2347" s="2"/>
    </row>
    <row r="2348">
      <c r="A2348" s="2"/>
      <c r="B2348" s="13"/>
      <c r="C2348" s="2"/>
      <c r="D2348" s="2"/>
      <c r="E2348" s="2"/>
      <c r="F2348" s="14"/>
      <c r="G2348" s="2"/>
      <c r="H2348" s="2"/>
    </row>
    <row r="2349">
      <c r="A2349" s="2"/>
      <c r="B2349" s="13"/>
      <c r="C2349" s="2"/>
      <c r="D2349" s="2"/>
      <c r="E2349" s="2"/>
      <c r="F2349" s="14"/>
      <c r="G2349" s="2"/>
      <c r="H2349" s="2"/>
    </row>
    <row r="2350">
      <c r="A2350" s="2"/>
      <c r="B2350" s="13"/>
      <c r="C2350" s="2"/>
      <c r="D2350" s="2"/>
      <c r="E2350" s="2"/>
      <c r="F2350" s="14"/>
      <c r="G2350" s="2"/>
      <c r="H2350" s="2"/>
    </row>
    <row r="2351">
      <c r="A2351" s="2"/>
      <c r="B2351" s="13"/>
      <c r="C2351" s="2"/>
      <c r="D2351" s="2"/>
      <c r="E2351" s="2"/>
      <c r="F2351" s="14"/>
      <c r="G2351" s="2"/>
      <c r="H2351" s="2"/>
    </row>
    <row r="2352">
      <c r="A2352" s="2"/>
      <c r="B2352" s="13"/>
      <c r="C2352" s="2"/>
      <c r="D2352" s="2"/>
      <c r="E2352" s="2"/>
      <c r="F2352" s="14"/>
      <c r="G2352" s="2"/>
      <c r="H2352" s="2"/>
    </row>
    <row r="2353">
      <c r="A2353" s="2"/>
      <c r="B2353" s="13"/>
      <c r="C2353" s="2"/>
      <c r="D2353" s="2"/>
      <c r="E2353" s="2"/>
      <c r="F2353" s="14"/>
      <c r="G2353" s="2"/>
      <c r="H2353" s="2"/>
    </row>
    <row r="2354">
      <c r="A2354" s="2"/>
      <c r="B2354" s="13"/>
      <c r="C2354" s="2"/>
      <c r="D2354" s="2"/>
      <c r="E2354" s="2"/>
      <c r="F2354" s="14"/>
      <c r="G2354" s="2"/>
      <c r="H2354" s="2"/>
    </row>
    <row r="2355">
      <c r="A2355" s="2"/>
      <c r="B2355" s="13"/>
      <c r="C2355" s="2"/>
      <c r="D2355" s="2"/>
      <c r="E2355" s="2"/>
      <c r="F2355" s="14"/>
      <c r="G2355" s="2"/>
      <c r="H2355" s="2"/>
    </row>
    <row r="2356">
      <c r="A2356" s="2"/>
      <c r="B2356" s="13"/>
      <c r="C2356" s="2"/>
      <c r="D2356" s="2"/>
      <c r="E2356" s="2"/>
      <c r="F2356" s="14"/>
      <c r="G2356" s="2"/>
      <c r="H2356" s="2"/>
    </row>
    <row r="2357">
      <c r="A2357" s="2"/>
      <c r="B2357" s="13"/>
      <c r="C2357" s="2"/>
      <c r="D2357" s="2"/>
      <c r="E2357" s="2"/>
      <c r="F2357" s="14"/>
      <c r="G2357" s="2"/>
      <c r="H2357" s="2"/>
    </row>
    <row r="2358">
      <c r="A2358" s="2"/>
      <c r="B2358" s="13"/>
      <c r="C2358" s="2"/>
      <c r="D2358" s="2"/>
      <c r="E2358" s="2"/>
      <c r="F2358" s="14"/>
      <c r="G2358" s="2"/>
      <c r="H2358" s="2"/>
    </row>
    <row r="2359">
      <c r="A2359" s="2"/>
      <c r="B2359" s="13"/>
      <c r="C2359" s="2"/>
      <c r="D2359" s="2"/>
      <c r="E2359" s="2"/>
      <c r="F2359" s="14"/>
      <c r="G2359" s="2"/>
      <c r="H2359" s="2"/>
    </row>
    <row r="2360">
      <c r="A2360" s="2"/>
      <c r="B2360" s="13"/>
      <c r="C2360" s="2"/>
      <c r="D2360" s="2"/>
      <c r="E2360" s="2"/>
      <c r="F2360" s="14"/>
      <c r="G2360" s="2"/>
      <c r="H2360" s="2"/>
    </row>
    <row r="2361">
      <c r="A2361" s="2"/>
      <c r="B2361" s="13"/>
      <c r="C2361" s="2"/>
      <c r="D2361" s="2"/>
      <c r="E2361" s="2"/>
      <c r="F2361" s="14"/>
      <c r="G2361" s="2"/>
      <c r="H2361" s="2"/>
    </row>
    <row r="2362">
      <c r="A2362" s="2"/>
      <c r="B2362" s="13"/>
      <c r="C2362" s="2"/>
      <c r="D2362" s="2"/>
      <c r="E2362" s="2"/>
      <c r="F2362" s="14"/>
      <c r="G2362" s="2"/>
      <c r="H2362" s="2"/>
    </row>
    <row r="2363">
      <c r="A2363" s="2"/>
      <c r="B2363" s="13"/>
      <c r="C2363" s="2"/>
      <c r="D2363" s="2"/>
      <c r="E2363" s="2"/>
      <c r="F2363" s="14"/>
      <c r="G2363" s="2"/>
      <c r="H2363" s="2"/>
    </row>
    <row r="2364">
      <c r="A2364" s="2"/>
      <c r="B2364" s="13"/>
      <c r="C2364" s="2"/>
      <c r="D2364" s="2"/>
      <c r="E2364" s="2"/>
      <c r="F2364" s="14"/>
      <c r="G2364" s="2"/>
      <c r="H2364" s="2"/>
    </row>
    <row r="2365">
      <c r="A2365" s="2"/>
      <c r="B2365" s="13"/>
      <c r="C2365" s="2"/>
      <c r="D2365" s="2"/>
      <c r="E2365" s="2"/>
      <c r="F2365" s="14"/>
      <c r="G2365" s="2"/>
      <c r="H2365" s="2"/>
    </row>
    <row r="2366">
      <c r="A2366" s="2"/>
      <c r="B2366" s="13"/>
      <c r="C2366" s="2"/>
      <c r="D2366" s="2"/>
      <c r="E2366" s="2"/>
      <c r="F2366" s="14"/>
      <c r="G2366" s="2"/>
      <c r="H2366" s="2"/>
    </row>
    <row r="2367">
      <c r="A2367" s="2"/>
      <c r="B2367" s="13"/>
      <c r="C2367" s="2"/>
      <c r="D2367" s="2"/>
      <c r="E2367" s="2"/>
      <c r="F2367" s="14"/>
      <c r="G2367" s="2"/>
      <c r="H2367" s="2"/>
    </row>
    <row r="2368">
      <c r="A2368" s="2"/>
      <c r="B2368" s="13"/>
      <c r="C2368" s="2"/>
      <c r="D2368" s="2"/>
      <c r="E2368" s="2"/>
      <c r="F2368" s="14"/>
      <c r="G2368" s="2"/>
      <c r="H2368" s="2"/>
    </row>
    <row r="2369">
      <c r="A2369" s="2"/>
      <c r="B2369" s="13"/>
      <c r="C2369" s="2"/>
      <c r="D2369" s="2"/>
      <c r="E2369" s="2"/>
      <c r="F2369" s="14"/>
      <c r="G2369" s="2"/>
      <c r="H2369" s="2"/>
    </row>
    <row r="2370">
      <c r="A2370" s="2"/>
      <c r="B2370" s="13"/>
      <c r="C2370" s="2"/>
      <c r="D2370" s="2"/>
      <c r="E2370" s="2"/>
      <c r="F2370" s="14"/>
      <c r="G2370" s="2"/>
      <c r="H2370" s="2"/>
    </row>
    <row r="2371">
      <c r="A2371" s="2"/>
      <c r="B2371" s="13"/>
      <c r="C2371" s="2"/>
      <c r="D2371" s="2"/>
      <c r="E2371" s="2"/>
      <c r="F2371" s="14"/>
      <c r="G2371" s="2"/>
      <c r="H2371" s="2"/>
    </row>
    <row r="2372">
      <c r="A2372" s="2"/>
      <c r="B2372" s="13"/>
      <c r="C2372" s="2"/>
      <c r="D2372" s="2"/>
      <c r="E2372" s="2"/>
      <c r="F2372" s="14"/>
      <c r="G2372" s="2"/>
      <c r="H2372" s="2"/>
    </row>
    <row r="2373">
      <c r="A2373" s="2"/>
      <c r="B2373" s="13"/>
      <c r="C2373" s="2"/>
      <c r="D2373" s="2"/>
      <c r="E2373" s="2"/>
      <c r="F2373" s="14"/>
      <c r="G2373" s="2"/>
      <c r="H2373" s="2"/>
    </row>
    <row r="2374">
      <c r="A2374" s="2"/>
      <c r="B2374" s="13"/>
      <c r="C2374" s="2"/>
      <c r="D2374" s="2"/>
      <c r="E2374" s="2"/>
      <c r="F2374" s="14"/>
      <c r="G2374" s="2"/>
      <c r="H2374" s="2"/>
    </row>
    <row r="2375">
      <c r="A2375" s="2"/>
      <c r="B2375" s="13"/>
      <c r="C2375" s="2"/>
      <c r="D2375" s="2"/>
      <c r="E2375" s="2"/>
      <c r="F2375" s="14"/>
      <c r="G2375" s="2"/>
      <c r="H2375" s="2"/>
    </row>
    <row r="2376">
      <c r="A2376" s="2"/>
      <c r="B2376" s="13"/>
      <c r="C2376" s="2"/>
      <c r="D2376" s="2"/>
      <c r="E2376" s="2"/>
      <c r="F2376" s="14"/>
      <c r="G2376" s="2"/>
      <c r="H2376" s="2"/>
    </row>
    <row r="2377">
      <c r="A2377" s="2"/>
      <c r="B2377" s="13"/>
      <c r="C2377" s="2"/>
      <c r="D2377" s="2"/>
      <c r="E2377" s="2"/>
      <c r="F2377" s="14"/>
      <c r="G2377" s="2"/>
      <c r="H2377" s="2"/>
    </row>
    <row r="2378">
      <c r="A2378" s="2"/>
      <c r="B2378" s="13"/>
      <c r="C2378" s="2"/>
      <c r="D2378" s="2"/>
      <c r="E2378" s="2"/>
      <c r="F2378" s="14"/>
      <c r="G2378" s="2"/>
      <c r="H2378" s="2"/>
    </row>
    <row r="2379">
      <c r="A2379" s="2"/>
      <c r="B2379" s="13"/>
      <c r="C2379" s="2"/>
      <c r="D2379" s="2"/>
      <c r="E2379" s="2"/>
      <c r="F2379" s="14"/>
      <c r="G2379" s="2"/>
      <c r="H2379" s="2"/>
    </row>
    <row r="2380">
      <c r="A2380" s="2"/>
      <c r="B2380" s="13"/>
      <c r="C2380" s="2"/>
      <c r="D2380" s="2"/>
      <c r="E2380" s="2"/>
      <c r="F2380" s="14"/>
      <c r="G2380" s="2"/>
      <c r="H2380" s="2"/>
    </row>
    <row r="2381">
      <c r="A2381" s="2"/>
      <c r="B2381" s="13"/>
      <c r="C2381" s="2"/>
      <c r="D2381" s="2"/>
      <c r="E2381" s="2"/>
      <c r="F2381" s="14"/>
      <c r="G2381" s="2"/>
      <c r="H2381" s="2"/>
    </row>
    <row r="2382">
      <c r="A2382" s="2"/>
      <c r="B2382" s="13"/>
      <c r="C2382" s="2"/>
      <c r="D2382" s="2"/>
      <c r="E2382" s="2"/>
      <c r="F2382" s="14"/>
      <c r="G2382" s="2"/>
      <c r="H2382" s="2"/>
    </row>
    <row r="2383">
      <c r="A2383" s="2"/>
      <c r="B2383" s="13"/>
      <c r="C2383" s="2"/>
      <c r="D2383" s="2"/>
      <c r="E2383" s="2"/>
      <c r="F2383" s="14"/>
      <c r="G2383" s="2"/>
      <c r="H2383" s="2"/>
    </row>
    <row r="2384">
      <c r="A2384" s="2"/>
      <c r="B2384" s="13"/>
      <c r="C2384" s="2"/>
      <c r="D2384" s="2"/>
      <c r="E2384" s="2"/>
      <c r="F2384" s="14"/>
      <c r="G2384" s="2"/>
      <c r="H2384" s="2"/>
    </row>
    <row r="2385">
      <c r="A2385" s="2"/>
      <c r="B2385" s="13"/>
      <c r="C2385" s="2"/>
      <c r="D2385" s="2"/>
      <c r="E2385" s="2"/>
      <c r="F2385" s="14"/>
      <c r="G2385" s="2"/>
      <c r="H2385" s="2"/>
    </row>
    <row r="2386">
      <c r="A2386" s="2"/>
      <c r="B2386" s="13"/>
      <c r="C2386" s="2"/>
      <c r="D2386" s="2"/>
      <c r="E2386" s="2"/>
      <c r="F2386" s="14"/>
      <c r="G2386" s="2"/>
      <c r="H2386" s="2"/>
    </row>
    <row r="2387">
      <c r="A2387" s="2"/>
      <c r="B2387" s="13"/>
      <c r="C2387" s="2"/>
      <c r="D2387" s="2"/>
      <c r="E2387" s="2"/>
      <c r="F2387" s="14"/>
      <c r="G2387" s="2"/>
      <c r="H2387" s="2"/>
    </row>
    <row r="2388">
      <c r="A2388" s="2"/>
      <c r="B2388" s="13"/>
      <c r="C2388" s="2"/>
      <c r="D2388" s="2"/>
      <c r="E2388" s="2"/>
      <c r="F2388" s="14"/>
      <c r="G2388" s="2"/>
      <c r="H2388" s="2"/>
    </row>
    <row r="2389">
      <c r="A2389" s="2"/>
      <c r="B2389" s="13"/>
      <c r="C2389" s="2"/>
      <c r="D2389" s="2"/>
      <c r="E2389" s="2"/>
      <c r="F2389" s="14"/>
      <c r="G2389" s="2"/>
      <c r="H2389" s="2"/>
    </row>
    <row r="2390">
      <c r="A2390" s="2"/>
      <c r="B2390" s="13"/>
      <c r="C2390" s="2"/>
      <c r="D2390" s="2"/>
      <c r="E2390" s="2"/>
      <c r="F2390" s="14"/>
      <c r="G2390" s="2"/>
      <c r="H2390" s="2"/>
    </row>
    <row r="2391">
      <c r="A2391" s="2"/>
      <c r="B2391" s="13"/>
      <c r="C2391" s="2"/>
      <c r="D2391" s="2"/>
      <c r="E2391" s="2"/>
      <c r="F2391" s="14"/>
      <c r="G2391" s="2"/>
      <c r="H2391" s="2"/>
    </row>
    <row r="2392">
      <c r="A2392" s="2"/>
      <c r="B2392" s="13"/>
      <c r="C2392" s="2"/>
      <c r="D2392" s="2"/>
      <c r="E2392" s="2"/>
      <c r="F2392" s="14"/>
      <c r="G2392" s="2"/>
      <c r="H2392" s="2"/>
    </row>
    <row r="2393">
      <c r="A2393" s="2"/>
      <c r="B2393" s="13"/>
      <c r="C2393" s="2"/>
      <c r="D2393" s="2"/>
      <c r="E2393" s="2"/>
      <c r="F2393" s="14"/>
      <c r="G2393" s="2"/>
      <c r="H2393" s="2"/>
    </row>
    <row r="2394">
      <c r="A2394" s="2"/>
      <c r="B2394" s="13"/>
      <c r="C2394" s="2"/>
      <c r="D2394" s="2"/>
      <c r="E2394" s="2"/>
      <c r="F2394" s="14"/>
      <c r="G2394" s="2"/>
      <c r="H2394" s="2"/>
    </row>
    <row r="2395">
      <c r="A2395" s="2"/>
      <c r="B2395" s="13"/>
      <c r="C2395" s="2"/>
      <c r="D2395" s="2"/>
      <c r="E2395" s="2"/>
      <c r="F2395" s="14"/>
      <c r="G2395" s="2"/>
      <c r="H2395" s="2"/>
    </row>
    <row r="2396">
      <c r="A2396" s="2"/>
      <c r="B2396" s="13"/>
      <c r="C2396" s="2"/>
      <c r="D2396" s="2"/>
      <c r="E2396" s="2"/>
      <c r="F2396" s="14"/>
      <c r="G2396" s="2"/>
      <c r="H2396" s="2"/>
    </row>
    <row r="2397">
      <c r="A2397" s="2"/>
      <c r="B2397" s="13"/>
      <c r="C2397" s="2"/>
      <c r="D2397" s="2"/>
      <c r="E2397" s="2"/>
      <c r="F2397" s="14"/>
      <c r="G2397" s="2"/>
      <c r="H2397" s="2"/>
    </row>
    <row r="2398">
      <c r="A2398" s="2"/>
      <c r="B2398" s="13"/>
      <c r="C2398" s="2"/>
      <c r="D2398" s="2"/>
      <c r="E2398" s="2"/>
      <c r="F2398" s="14"/>
      <c r="G2398" s="2"/>
      <c r="H2398" s="2"/>
    </row>
    <row r="2399">
      <c r="A2399" s="2"/>
      <c r="B2399" s="13"/>
      <c r="C2399" s="2"/>
      <c r="D2399" s="2"/>
      <c r="E2399" s="2"/>
      <c r="F2399" s="14"/>
      <c r="G2399" s="2"/>
      <c r="H2399" s="2"/>
    </row>
    <row r="2400">
      <c r="A2400" s="2"/>
      <c r="B2400" s="13"/>
      <c r="C2400" s="2"/>
      <c r="D2400" s="2"/>
      <c r="E2400" s="2"/>
      <c r="F2400" s="14"/>
      <c r="G2400" s="2"/>
      <c r="H2400" s="2"/>
    </row>
    <row r="2401">
      <c r="A2401" s="2"/>
      <c r="B2401" s="13"/>
      <c r="C2401" s="2"/>
      <c r="D2401" s="2"/>
      <c r="E2401" s="2"/>
      <c r="F2401" s="14"/>
      <c r="G2401" s="2"/>
      <c r="H2401" s="2"/>
    </row>
    <row r="2402">
      <c r="A2402" s="2"/>
      <c r="B2402" s="13"/>
      <c r="C2402" s="2"/>
      <c r="D2402" s="2"/>
      <c r="E2402" s="2"/>
      <c r="F2402" s="14"/>
      <c r="G2402" s="2"/>
      <c r="H2402" s="2"/>
    </row>
    <row r="2403">
      <c r="A2403" s="2"/>
      <c r="B2403" s="13"/>
      <c r="C2403" s="2"/>
      <c r="D2403" s="2"/>
      <c r="E2403" s="2"/>
      <c r="F2403" s="14"/>
      <c r="G2403" s="2"/>
      <c r="H2403" s="2"/>
    </row>
    <row r="2404">
      <c r="A2404" s="2"/>
      <c r="B2404" s="13"/>
      <c r="C2404" s="2"/>
      <c r="D2404" s="2"/>
      <c r="E2404" s="2"/>
      <c r="F2404" s="14"/>
      <c r="G2404" s="2"/>
      <c r="H2404" s="2"/>
    </row>
    <row r="2405">
      <c r="A2405" s="2"/>
      <c r="B2405" s="13"/>
      <c r="C2405" s="2"/>
      <c r="D2405" s="2"/>
      <c r="E2405" s="2"/>
      <c r="F2405" s="14"/>
      <c r="G2405" s="2"/>
      <c r="H2405" s="2"/>
    </row>
    <row r="2406">
      <c r="A2406" s="2"/>
      <c r="B2406" s="13"/>
      <c r="C2406" s="2"/>
      <c r="D2406" s="2"/>
      <c r="E2406" s="2"/>
      <c r="F2406" s="14"/>
      <c r="G2406" s="2"/>
      <c r="H2406" s="2"/>
    </row>
    <row r="2407">
      <c r="A2407" s="2"/>
      <c r="B2407" s="13"/>
      <c r="C2407" s="2"/>
      <c r="D2407" s="2"/>
      <c r="E2407" s="2"/>
      <c r="F2407" s="14"/>
      <c r="G2407" s="2"/>
      <c r="H2407" s="2"/>
    </row>
    <row r="2408">
      <c r="A2408" s="2"/>
      <c r="B2408" s="13"/>
      <c r="C2408" s="2"/>
      <c r="D2408" s="2"/>
      <c r="E2408" s="2"/>
      <c r="F2408" s="14"/>
      <c r="G2408" s="2"/>
      <c r="H2408" s="2"/>
    </row>
    <row r="2409">
      <c r="A2409" s="2"/>
      <c r="B2409" s="13"/>
      <c r="C2409" s="2"/>
      <c r="D2409" s="2"/>
      <c r="E2409" s="2"/>
      <c r="F2409" s="14"/>
      <c r="G2409" s="2"/>
      <c r="H2409" s="2"/>
    </row>
    <row r="2410">
      <c r="A2410" s="2"/>
      <c r="B2410" s="13"/>
      <c r="C2410" s="2"/>
      <c r="D2410" s="2"/>
      <c r="E2410" s="2"/>
      <c r="F2410" s="14"/>
      <c r="G2410" s="2"/>
      <c r="H2410" s="2"/>
    </row>
    <row r="2411">
      <c r="A2411" s="2"/>
      <c r="B2411" s="13"/>
      <c r="C2411" s="2"/>
      <c r="D2411" s="2"/>
      <c r="E2411" s="2"/>
      <c r="F2411" s="14"/>
      <c r="G2411" s="2"/>
      <c r="H2411" s="2"/>
    </row>
    <row r="2412">
      <c r="A2412" s="2"/>
      <c r="B2412" s="13"/>
      <c r="C2412" s="2"/>
      <c r="D2412" s="2"/>
      <c r="E2412" s="2"/>
      <c r="F2412" s="14"/>
      <c r="G2412" s="2"/>
      <c r="H2412" s="2"/>
    </row>
    <row r="2413">
      <c r="A2413" s="2"/>
      <c r="B2413" s="13"/>
      <c r="C2413" s="2"/>
      <c r="D2413" s="2"/>
      <c r="E2413" s="2"/>
      <c r="F2413" s="14"/>
      <c r="G2413" s="2"/>
      <c r="H2413" s="2"/>
    </row>
    <row r="2414">
      <c r="A2414" s="2"/>
      <c r="B2414" s="13"/>
      <c r="C2414" s="2"/>
      <c r="D2414" s="2"/>
      <c r="E2414" s="2"/>
      <c r="F2414" s="14"/>
      <c r="G2414" s="2"/>
      <c r="H2414" s="2"/>
    </row>
    <row r="2415">
      <c r="A2415" s="2"/>
      <c r="B2415" s="13"/>
      <c r="C2415" s="2"/>
      <c r="D2415" s="2"/>
      <c r="E2415" s="2"/>
      <c r="F2415" s="14"/>
      <c r="G2415" s="2"/>
      <c r="H2415" s="2"/>
    </row>
    <row r="2416">
      <c r="A2416" s="2"/>
      <c r="B2416" s="13"/>
      <c r="C2416" s="2"/>
      <c r="D2416" s="2"/>
      <c r="E2416" s="2"/>
      <c r="F2416" s="14"/>
      <c r="G2416" s="2"/>
      <c r="H2416" s="2"/>
    </row>
    <row r="2417">
      <c r="A2417" s="2"/>
      <c r="B2417" s="13"/>
      <c r="C2417" s="2"/>
      <c r="D2417" s="2"/>
      <c r="E2417" s="2"/>
      <c r="F2417" s="14"/>
      <c r="G2417" s="2"/>
      <c r="H2417" s="2"/>
    </row>
    <row r="2418">
      <c r="A2418" s="2"/>
      <c r="B2418" s="13"/>
      <c r="C2418" s="2"/>
      <c r="D2418" s="2"/>
      <c r="E2418" s="2"/>
      <c r="F2418" s="14"/>
      <c r="G2418" s="2"/>
      <c r="H2418" s="2"/>
    </row>
    <row r="2419">
      <c r="A2419" s="2"/>
      <c r="B2419" s="13"/>
      <c r="C2419" s="2"/>
      <c r="D2419" s="2"/>
      <c r="E2419" s="2"/>
      <c r="F2419" s="14"/>
      <c r="G2419" s="2"/>
      <c r="H2419" s="2"/>
    </row>
    <row r="2420">
      <c r="A2420" s="2"/>
      <c r="B2420" s="13"/>
      <c r="C2420" s="2"/>
      <c r="D2420" s="2"/>
      <c r="E2420" s="2"/>
      <c r="F2420" s="14"/>
      <c r="G2420" s="2"/>
      <c r="H2420" s="2"/>
    </row>
    <row r="2421">
      <c r="A2421" s="2"/>
      <c r="B2421" s="13"/>
      <c r="C2421" s="2"/>
      <c r="D2421" s="2"/>
      <c r="E2421" s="2"/>
      <c r="F2421" s="14"/>
      <c r="G2421" s="2"/>
      <c r="H2421" s="2"/>
    </row>
    <row r="2422">
      <c r="A2422" s="2"/>
      <c r="B2422" s="13"/>
      <c r="C2422" s="2"/>
      <c r="D2422" s="2"/>
      <c r="E2422" s="2"/>
      <c r="F2422" s="14"/>
      <c r="G2422" s="2"/>
      <c r="H2422" s="2"/>
    </row>
    <row r="2423">
      <c r="A2423" s="2"/>
      <c r="B2423" s="13"/>
      <c r="C2423" s="2"/>
      <c r="D2423" s="2"/>
      <c r="E2423" s="2"/>
      <c r="F2423" s="14"/>
      <c r="G2423" s="2"/>
      <c r="H2423" s="2"/>
    </row>
    <row r="2424">
      <c r="A2424" s="2"/>
      <c r="B2424" s="13"/>
      <c r="C2424" s="2"/>
      <c r="D2424" s="2"/>
      <c r="E2424" s="2"/>
      <c r="F2424" s="14"/>
      <c r="G2424" s="2"/>
      <c r="H2424" s="2"/>
    </row>
    <row r="2425">
      <c r="A2425" s="2"/>
      <c r="B2425" s="13"/>
      <c r="C2425" s="2"/>
      <c r="D2425" s="2"/>
      <c r="E2425" s="2"/>
      <c r="F2425" s="14"/>
      <c r="G2425" s="2"/>
      <c r="H2425" s="2"/>
    </row>
    <row r="2426">
      <c r="A2426" s="2"/>
      <c r="B2426" s="13"/>
      <c r="C2426" s="2"/>
      <c r="D2426" s="2"/>
      <c r="E2426" s="2"/>
      <c r="F2426" s="14"/>
      <c r="G2426" s="2"/>
      <c r="H2426" s="2"/>
    </row>
    <row r="2427">
      <c r="A2427" s="2"/>
      <c r="B2427" s="13"/>
      <c r="C2427" s="2"/>
      <c r="D2427" s="2"/>
      <c r="E2427" s="2"/>
      <c r="F2427" s="14"/>
      <c r="G2427" s="2"/>
      <c r="H2427" s="2"/>
    </row>
    <row r="2428">
      <c r="A2428" s="2"/>
      <c r="B2428" s="13"/>
      <c r="C2428" s="2"/>
      <c r="D2428" s="2"/>
      <c r="E2428" s="2"/>
      <c r="F2428" s="14"/>
      <c r="G2428" s="2"/>
      <c r="H2428" s="2"/>
    </row>
    <row r="2429">
      <c r="A2429" s="2"/>
      <c r="B2429" s="13"/>
      <c r="C2429" s="2"/>
      <c r="D2429" s="2"/>
      <c r="E2429" s="2"/>
      <c r="F2429" s="14"/>
      <c r="G2429" s="2"/>
      <c r="H2429" s="2"/>
    </row>
    <row r="2430">
      <c r="A2430" s="2"/>
      <c r="B2430" s="13"/>
      <c r="C2430" s="2"/>
      <c r="D2430" s="2"/>
      <c r="E2430" s="2"/>
      <c r="F2430" s="14"/>
      <c r="G2430" s="2"/>
      <c r="H2430" s="2"/>
    </row>
    <row r="2431">
      <c r="A2431" s="2"/>
      <c r="B2431" s="13"/>
      <c r="C2431" s="2"/>
      <c r="D2431" s="2"/>
      <c r="E2431" s="2"/>
      <c r="F2431" s="14"/>
      <c r="G2431" s="2"/>
      <c r="H2431" s="2"/>
    </row>
    <row r="2432">
      <c r="A2432" s="2"/>
      <c r="B2432" s="13"/>
      <c r="C2432" s="2"/>
      <c r="D2432" s="2"/>
      <c r="E2432" s="2"/>
      <c r="F2432" s="14"/>
      <c r="G2432" s="2"/>
      <c r="H2432" s="2"/>
    </row>
    <row r="2433">
      <c r="A2433" s="2"/>
      <c r="B2433" s="13"/>
      <c r="C2433" s="2"/>
      <c r="D2433" s="2"/>
      <c r="E2433" s="2"/>
      <c r="F2433" s="14"/>
      <c r="G2433" s="2"/>
      <c r="H2433" s="2"/>
    </row>
    <row r="2434">
      <c r="A2434" s="2"/>
      <c r="B2434" s="13"/>
      <c r="C2434" s="2"/>
      <c r="D2434" s="2"/>
      <c r="E2434" s="2"/>
      <c r="F2434" s="14"/>
      <c r="G2434" s="2"/>
      <c r="H2434" s="2"/>
    </row>
    <row r="2435">
      <c r="A2435" s="2"/>
      <c r="B2435" s="13"/>
      <c r="C2435" s="2"/>
      <c r="D2435" s="2"/>
      <c r="E2435" s="2"/>
      <c r="F2435" s="14"/>
      <c r="G2435" s="2"/>
      <c r="H2435" s="2"/>
    </row>
    <row r="2436">
      <c r="A2436" s="2"/>
      <c r="B2436" s="13"/>
      <c r="C2436" s="2"/>
      <c r="D2436" s="2"/>
      <c r="E2436" s="2"/>
      <c r="F2436" s="14"/>
      <c r="G2436" s="2"/>
      <c r="H2436" s="2"/>
    </row>
    <row r="2437">
      <c r="A2437" s="2"/>
      <c r="B2437" s="13"/>
      <c r="C2437" s="2"/>
      <c r="D2437" s="2"/>
      <c r="E2437" s="2"/>
      <c r="F2437" s="14"/>
      <c r="G2437" s="2"/>
      <c r="H2437" s="2"/>
    </row>
    <row r="2438">
      <c r="A2438" s="2"/>
      <c r="B2438" s="13"/>
      <c r="C2438" s="2"/>
      <c r="D2438" s="2"/>
      <c r="E2438" s="2"/>
      <c r="F2438" s="14"/>
      <c r="G2438" s="2"/>
      <c r="H2438" s="2"/>
    </row>
    <row r="2439">
      <c r="A2439" s="2"/>
      <c r="B2439" s="13"/>
      <c r="C2439" s="2"/>
      <c r="D2439" s="2"/>
      <c r="E2439" s="2"/>
      <c r="F2439" s="14"/>
      <c r="G2439" s="2"/>
      <c r="H2439" s="2"/>
    </row>
    <row r="2440">
      <c r="A2440" s="2"/>
      <c r="B2440" s="13"/>
      <c r="C2440" s="2"/>
      <c r="D2440" s="2"/>
      <c r="E2440" s="2"/>
      <c r="F2440" s="14"/>
      <c r="G2440" s="2"/>
      <c r="H2440" s="2"/>
    </row>
    <row r="2441">
      <c r="A2441" s="2"/>
      <c r="B2441" s="13"/>
      <c r="C2441" s="2"/>
      <c r="D2441" s="2"/>
      <c r="E2441" s="2"/>
      <c r="F2441" s="14"/>
      <c r="G2441" s="2"/>
      <c r="H2441" s="2"/>
    </row>
    <row r="2442">
      <c r="A2442" s="2"/>
      <c r="B2442" s="13"/>
      <c r="C2442" s="2"/>
      <c r="D2442" s="2"/>
      <c r="E2442" s="2"/>
      <c r="F2442" s="14"/>
      <c r="G2442" s="2"/>
      <c r="H2442" s="2"/>
    </row>
    <row r="2443">
      <c r="A2443" s="2"/>
      <c r="B2443" s="13"/>
      <c r="C2443" s="2"/>
      <c r="D2443" s="2"/>
      <c r="E2443" s="2"/>
      <c r="F2443" s="14"/>
      <c r="G2443" s="2"/>
      <c r="H2443" s="2"/>
    </row>
    <row r="2444">
      <c r="A2444" s="2"/>
      <c r="B2444" s="13"/>
      <c r="C2444" s="2"/>
      <c r="D2444" s="2"/>
      <c r="E2444" s="2"/>
      <c r="F2444" s="14"/>
      <c r="G2444" s="2"/>
      <c r="H2444" s="2"/>
    </row>
    <row r="2445">
      <c r="A2445" s="2"/>
      <c r="B2445" s="13"/>
      <c r="C2445" s="2"/>
      <c r="D2445" s="2"/>
      <c r="E2445" s="2"/>
      <c r="F2445" s="14"/>
      <c r="G2445" s="2"/>
      <c r="H2445" s="2"/>
    </row>
    <row r="2446">
      <c r="A2446" s="2"/>
      <c r="B2446" s="13"/>
      <c r="C2446" s="2"/>
      <c r="D2446" s="2"/>
      <c r="E2446" s="2"/>
      <c r="F2446" s="14"/>
      <c r="G2446" s="2"/>
      <c r="H2446" s="2"/>
    </row>
    <row r="2447">
      <c r="A2447" s="2"/>
      <c r="B2447" s="13"/>
      <c r="C2447" s="2"/>
      <c r="D2447" s="2"/>
      <c r="E2447" s="2"/>
      <c r="F2447" s="14"/>
      <c r="G2447" s="2"/>
      <c r="H2447" s="2"/>
    </row>
    <row r="2448">
      <c r="A2448" s="2"/>
      <c r="B2448" s="13"/>
      <c r="C2448" s="2"/>
      <c r="D2448" s="2"/>
      <c r="E2448" s="2"/>
      <c r="F2448" s="14"/>
      <c r="G2448" s="2"/>
      <c r="H2448" s="2"/>
    </row>
    <row r="2449">
      <c r="A2449" s="2"/>
      <c r="B2449" s="13"/>
      <c r="C2449" s="2"/>
      <c r="D2449" s="2"/>
      <c r="E2449" s="2"/>
      <c r="F2449" s="14"/>
      <c r="G2449" s="2"/>
      <c r="H2449" s="2"/>
    </row>
    <row r="2450">
      <c r="A2450" s="2"/>
      <c r="B2450" s="13"/>
      <c r="C2450" s="2"/>
      <c r="D2450" s="2"/>
      <c r="E2450" s="2"/>
      <c r="F2450" s="14"/>
      <c r="G2450" s="2"/>
      <c r="H2450" s="2"/>
    </row>
    <row r="2451">
      <c r="A2451" s="2"/>
      <c r="B2451" s="13"/>
      <c r="C2451" s="2"/>
      <c r="D2451" s="2"/>
      <c r="E2451" s="2"/>
      <c r="F2451" s="14"/>
      <c r="G2451" s="2"/>
      <c r="H2451" s="2"/>
    </row>
    <row r="2452">
      <c r="A2452" s="2"/>
      <c r="B2452" s="13"/>
      <c r="C2452" s="2"/>
      <c r="D2452" s="2"/>
      <c r="E2452" s="2"/>
      <c r="F2452" s="14"/>
      <c r="G2452" s="2"/>
      <c r="H2452" s="2"/>
    </row>
    <row r="2453">
      <c r="A2453" s="2"/>
      <c r="B2453" s="13"/>
      <c r="C2453" s="2"/>
      <c r="D2453" s="2"/>
      <c r="E2453" s="2"/>
      <c r="F2453" s="14"/>
      <c r="G2453" s="2"/>
      <c r="H2453" s="2"/>
    </row>
    <row r="2454">
      <c r="A2454" s="2"/>
      <c r="B2454" s="13"/>
      <c r="C2454" s="2"/>
      <c r="D2454" s="2"/>
      <c r="E2454" s="2"/>
      <c r="F2454" s="14"/>
      <c r="G2454" s="2"/>
      <c r="H2454" s="2"/>
    </row>
    <row r="2455">
      <c r="A2455" s="2"/>
      <c r="B2455" s="13"/>
      <c r="C2455" s="2"/>
      <c r="D2455" s="2"/>
      <c r="E2455" s="2"/>
      <c r="F2455" s="14"/>
      <c r="G2455" s="2"/>
      <c r="H2455" s="2"/>
    </row>
    <row r="2456">
      <c r="A2456" s="2"/>
      <c r="B2456" s="13"/>
      <c r="C2456" s="2"/>
      <c r="D2456" s="2"/>
      <c r="E2456" s="2"/>
      <c r="F2456" s="14"/>
      <c r="G2456" s="2"/>
      <c r="H2456" s="2"/>
    </row>
    <row r="2457">
      <c r="A2457" s="2"/>
      <c r="B2457" s="13"/>
      <c r="C2457" s="2"/>
      <c r="D2457" s="2"/>
      <c r="E2457" s="2"/>
      <c r="F2457" s="14"/>
      <c r="G2457" s="2"/>
      <c r="H2457" s="2"/>
    </row>
    <row r="2458">
      <c r="A2458" s="2"/>
      <c r="B2458" s="13"/>
      <c r="C2458" s="2"/>
      <c r="D2458" s="2"/>
      <c r="E2458" s="2"/>
      <c r="F2458" s="14"/>
      <c r="G2458" s="2"/>
      <c r="H2458" s="2"/>
    </row>
    <row r="2459">
      <c r="A2459" s="2"/>
      <c r="B2459" s="13"/>
      <c r="C2459" s="2"/>
      <c r="D2459" s="2"/>
      <c r="E2459" s="2"/>
      <c r="F2459" s="14"/>
      <c r="G2459" s="2"/>
      <c r="H2459" s="2"/>
    </row>
    <row r="2460">
      <c r="A2460" s="2"/>
      <c r="B2460" s="13"/>
      <c r="C2460" s="2"/>
      <c r="D2460" s="2"/>
      <c r="E2460" s="2"/>
      <c r="F2460" s="14"/>
      <c r="G2460" s="2"/>
      <c r="H2460" s="2"/>
    </row>
    <row r="2461">
      <c r="A2461" s="2"/>
      <c r="B2461" s="13"/>
      <c r="C2461" s="2"/>
      <c r="D2461" s="2"/>
      <c r="E2461" s="2"/>
      <c r="F2461" s="14"/>
      <c r="G2461" s="2"/>
      <c r="H2461" s="2"/>
    </row>
    <row r="2462">
      <c r="A2462" s="2"/>
      <c r="B2462" s="13"/>
      <c r="C2462" s="2"/>
      <c r="D2462" s="2"/>
      <c r="E2462" s="2"/>
      <c r="F2462" s="14"/>
      <c r="G2462" s="2"/>
      <c r="H2462" s="2"/>
    </row>
    <row r="2463">
      <c r="A2463" s="2"/>
      <c r="B2463" s="13"/>
      <c r="C2463" s="2"/>
      <c r="D2463" s="2"/>
      <c r="E2463" s="2"/>
      <c r="F2463" s="14"/>
      <c r="G2463" s="2"/>
      <c r="H2463" s="2"/>
    </row>
    <row r="2464">
      <c r="A2464" s="2"/>
      <c r="B2464" s="13"/>
      <c r="C2464" s="2"/>
      <c r="D2464" s="2"/>
      <c r="E2464" s="2"/>
      <c r="F2464" s="14"/>
      <c r="G2464" s="2"/>
      <c r="H2464" s="2"/>
    </row>
    <row r="2465">
      <c r="A2465" s="2"/>
      <c r="B2465" s="13"/>
      <c r="C2465" s="2"/>
      <c r="D2465" s="2"/>
      <c r="E2465" s="2"/>
      <c r="F2465" s="14"/>
      <c r="G2465" s="2"/>
      <c r="H2465" s="2"/>
    </row>
    <row r="2466">
      <c r="A2466" s="2"/>
      <c r="B2466" s="13"/>
      <c r="C2466" s="2"/>
      <c r="D2466" s="2"/>
      <c r="E2466" s="2"/>
      <c r="F2466" s="14"/>
      <c r="G2466" s="2"/>
      <c r="H2466" s="2"/>
    </row>
    <row r="2467">
      <c r="A2467" s="2"/>
      <c r="B2467" s="13"/>
      <c r="C2467" s="2"/>
      <c r="D2467" s="2"/>
      <c r="E2467" s="2"/>
      <c r="F2467" s="14"/>
      <c r="G2467" s="2"/>
      <c r="H2467" s="2"/>
    </row>
    <row r="2468">
      <c r="A2468" s="2"/>
      <c r="B2468" s="13"/>
      <c r="C2468" s="2"/>
      <c r="D2468" s="2"/>
      <c r="E2468" s="2"/>
      <c r="F2468" s="14"/>
      <c r="G2468" s="2"/>
      <c r="H2468" s="2"/>
    </row>
    <row r="2469">
      <c r="A2469" s="2"/>
      <c r="B2469" s="13"/>
      <c r="C2469" s="2"/>
      <c r="D2469" s="2"/>
      <c r="E2469" s="2"/>
      <c r="F2469" s="14"/>
      <c r="G2469" s="2"/>
      <c r="H2469" s="2"/>
    </row>
    <row r="2470">
      <c r="A2470" s="2"/>
      <c r="B2470" s="13"/>
      <c r="C2470" s="2"/>
      <c r="D2470" s="2"/>
      <c r="E2470" s="2"/>
      <c r="F2470" s="14"/>
      <c r="G2470" s="2"/>
      <c r="H2470" s="2"/>
    </row>
    <row r="2471">
      <c r="A2471" s="2"/>
      <c r="B2471" s="13"/>
      <c r="C2471" s="2"/>
      <c r="D2471" s="2"/>
      <c r="E2471" s="2"/>
      <c r="F2471" s="14"/>
      <c r="G2471" s="2"/>
      <c r="H2471" s="2"/>
    </row>
    <row r="2472">
      <c r="A2472" s="2"/>
      <c r="B2472" s="13"/>
      <c r="C2472" s="2"/>
      <c r="D2472" s="2"/>
      <c r="E2472" s="2"/>
      <c r="F2472" s="14"/>
      <c r="G2472" s="2"/>
      <c r="H2472" s="2"/>
    </row>
    <row r="2473">
      <c r="A2473" s="2"/>
      <c r="B2473" s="13"/>
      <c r="C2473" s="2"/>
      <c r="D2473" s="2"/>
      <c r="E2473" s="2"/>
      <c r="F2473" s="14"/>
      <c r="G2473" s="2"/>
      <c r="H2473" s="2"/>
    </row>
    <row r="2474">
      <c r="A2474" s="2"/>
      <c r="B2474" s="13"/>
      <c r="C2474" s="2"/>
      <c r="D2474" s="2"/>
      <c r="E2474" s="2"/>
      <c r="F2474" s="14"/>
      <c r="G2474" s="2"/>
      <c r="H2474" s="2"/>
    </row>
    <row r="2475">
      <c r="A2475" s="2"/>
      <c r="B2475" s="13"/>
      <c r="C2475" s="2"/>
      <c r="D2475" s="2"/>
      <c r="E2475" s="2"/>
      <c r="F2475" s="14"/>
      <c r="G2475" s="2"/>
      <c r="H2475" s="2"/>
    </row>
    <row r="2476">
      <c r="A2476" s="2"/>
      <c r="B2476" s="13"/>
      <c r="C2476" s="2"/>
      <c r="D2476" s="2"/>
      <c r="E2476" s="2"/>
      <c r="F2476" s="14"/>
      <c r="G2476" s="2"/>
      <c r="H2476" s="2"/>
    </row>
    <row r="2477">
      <c r="A2477" s="2"/>
      <c r="B2477" s="13"/>
      <c r="C2477" s="2"/>
      <c r="D2477" s="2"/>
      <c r="E2477" s="2"/>
      <c r="F2477" s="14"/>
      <c r="G2477" s="2"/>
      <c r="H2477" s="2"/>
    </row>
    <row r="2478">
      <c r="A2478" s="2"/>
      <c r="B2478" s="13"/>
      <c r="C2478" s="2"/>
      <c r="D2478" s="2"/>
      <c r="E2478" s="2"/>
      <c r="F2478" s="14"/>
      <c r="G2478" s="2"/>
      <c r="H2478" s="2"/>
    </row>
    <row r="2479">
      <c r="A2479" s="2"/>
      <c r="B2479" s="13"/>
      <c r="C2479" s="2"/>
      <c r="D2479" s="2"/>
      <c r="E2479" s="2"/>
      <c r="F2479" s="14"/>
      <c r="G2479" s="2"/>
      <c r="H2479" s="2"/>
    </row>
    <row r="2480">
      <c r="A2480" s="2"/>
      <c r="B2480" s="13"/>
      <c r="C2480" s="2"/>
      <c r="D2480" s="2"/>
      <c r="E2480" s="2"/>
      <c r="F2480" s="14"/>
      <c r="G2480" s="2"/>
      <c r="H2480" s="2"/>
    </row>
    <row r="2481">
      <c r="A2481" s="2"/>
      <c r="B2481" s="13"/>
      <c r="C2481" s="2"/>
      <c r="D2481" s="2"/>
      <c r="E2481" s="2"/>
      <c r="F2481" s="14"/>
      <c r="G2481" s="2"/>
      <c r="H2481" s="2"/>
    </row>
    <row r="2482">
      <c r="A2482" s="2"/>
      <c r="B2482" s="13"/>
      <c r="C2482" s="2"/>
      <c r="D2482" s="2"/>
      <c r="E2482" s="2"/>
      <c r="F2482" s="14"/>
      <c r="G2482" s="2"/>
      <c r="H2482" s="2"/>
    </row>
    <row r="2483">
      <c r="A2483" s="2"/>
      <c r="B2483" s="13"/>
      <c r="C2483" s="2"/>
      <c r="D2483" s="2"/>
      <c r="E2483" s="2"/>
      <c r="F2483" s="14"/>
      <c r="G2483" s="2"/>
      <c r="H2483" s="2"/>
    </row>
    <row r="2484">
      <c r="A2484" s="2"/>
      <c r="B2484" s="13"/>
      <c r="C2484" s="2"/>
      <c r="D2484" s="2"/>
      <c r="E2484" s="2"/>
      <c r="F2484" s="14"/>
      <c r="G2484" s="2"/>
      <c r="H2484" s="2"/>
    </row>
    <row r="2485">
      <c r="A2485" s="2"/>
      <c r="B2485" s="13"/>
      <c r="C2485" s="2"/>
      <c r="D2485" s="2"/>
      <c r="E2485" s="2"/>
      <c r="F2485" s="14"/>
      <c r="G2485" s="2"/>
      <c r="H2485" s="2"/>
    </row>
    <row r="2486">
      <c r="A2486" s="2"/>
      <c r="B2486" s="13"/>
      <c r="C2486" s="2"/>
      <c r="D2486" s="2"/>
      <c r="E2486" s="2"/>
      <c r="F2486" s="14"/>
      <c r="G2486" s="2"/>
      <c r="H2486" s="2"/>
    </row>
    <row r="2487">
      <c r="A2487" s="2"/>
      <c r="B2487" s="13"/>
      <c r="C2487" s="2"/>
      <c r="D2487" s="2"/>
      <c r="E2487" s="2"/>
      <c r="F2487" s="14"/>
      <c r="G2487" s="2"/>
      <c r="H2487" s="2"/>
    </row>
    <row r="2488">
      <c r="A2488" s="2"/>
      <c r="B2488" s="13"/>
      <c r="C2488" s="2"/>
      <c r="D2488" s="2"/>
      <c r="E2488" s="2"/>
      <c r="F2488" s="14"/>
      <c r="G2488" s="2"/>
      <c r="H2488" s="2"/>
    </row>
    <row r="2489">
      <c r="A2489" s="2"/>
      <c r="B2489" s="13"/>
      <c r="C2489" s="2"/>
      <c r="D2489" s="2"/>
      <c r="E2489" s="2"/>
      <c r="F2489" s="14"/>
      <c r="G2489" s="2"/>
      <c r="H2489" s="2"/>
    </row>
    <row r="2490">
      <c r="A2490" s="2"/>
      <c r="B2490" s="13"/>
      <c r="C2490" s="2"/>
      <c r="D2490" s="2"/>
      <c r="E2490" s="2"/>
      <c r="F2490" s="14"/>
      <c r="G2490" s="2"/>
      <c r="H2490" s="2"/>
    </row>
    <row r="2491">
      <c r="A2491" s="2"/>
      <c r="B2491" s="13"/>
      <c r="C2491" s="2"/>
      <c r="D2491" s="2"/>
      <c r="E2491" s="2"/>
      <c r="F2491" s="14"/>
      <c r="G2491" s="2"/>
      <c r="H2491" s="2"/>
    </row>
    <row r="2492">
      <c r="A2492" s="2"/>
      <c r="B2492" s="13"/>
      <c r="C2492" s="2"/>
      <c r="D2492" s="2"/>
      <c r="E2492" s="2"/>
      <c r="F2492" s="14"/>
      <c r="G2492" s="2"/>
      <c r="H2492" s="2"/>
    </row>
    <row r="2493">
      <c r="A2493" s="2"/>
      <c r="B2493" s="13"/>
      <c r="C2493" s="2"/>
      <c r="D2493" s="2"/>
      <c r="E2493" s="2"/>
      <c r="F2493" s="14"/>
      <c r="G2493" s="2"/>
      <c r="H2493" s="2"/>
    </row>
    <row r="2494">
      <c r="A2494" s="2"/>
      <c r="B2494" s="13"/>
      <c r="C2494" s="2"/>
      <c r="D2494" s="2"/>
      <c r="E2494" s="2"/>
      <c r="F2494" s="14"/>
      <c r="G2494" s="2"/>
      <c r="H2494" s="2"/>
    </row>
    <row r="2495">
      <c r="A2495" s="2"/>
      <c r="B2495" s="13"/>
      <c r="C2495" s="2"/>
      <c r="D2495" s="2"/>
      <c r="E2495" s="2"/>
      <c r="F2495" s="14"/>
      <c r="G2495" s="2"/>
      <c r="H2495" s="2"/>
    </row>
    <row r="2496">
      <c r="A2496" s="2"/>
      <c r="B2496" s="13"/>
      <c r="C2496" s="2"/>
      <c r="D2496" s="2"/>
      <c r="E2496" s="2"/>
      <c r="F2496" s="14"/>
      <c r="G2496" s="2"/>
      <c r="H2496" s="2"/>
    </row>
    <row r="2497">
      <c r="A2497" s="2"/>
      <c r="B2497" s="13"/>
      <c r="C2497" s="2"/>
      <c r="D2497" s="2"/>
      <c r="E2497" s="2"/>
      <c r="F2497" s="14"/>
      <c r="G2497" s="2"/>
      <c r="H2497" s="2"/>
    </row>
    <row r="2498">
      <c r="A2498" s="2"/>
      <c r="B2498" s="13"/>
      <c r="C2498" s="2"/>
      <c r="D2498" s="2"/>
      <c r="E2498" s="2"/>
      <c r="F2498" s="14"/>
      <c r="G2498" s="2"/>
      <c r="H2498" s="2"/>
    </row>
    <row r="2499">
      <c r="A2499" s="2"/>
      <c r="B2499" s="13"/>
      <c r="C2499" s="2"/>
      <c r="D2499" s="2"/>
      <c r="E2499" s="2"/>
      <c r="F2499" s="14"/>
      <c r="G2499" s="2"/>
      <c r="H2499" s="2"/>
    </row>
    <row r="2500">
      <c r="A2500" s="2"/>
      <c r="B2500" s="13"/>
      <c r="C2500" s="2"/>
      <c r="D2500" s="2"/>
      <c r="E2500" s="2"/>
      <c r="F2500" s="14"/>
      <c r="G2500" s="2"/>
      <c r="H2500" s="2"/>
    </row>
    <row r="2501">
      <c r="A2501" s="2"/>
      <c r="B2501" s="13"/>
      <c r="C2501" s="2"/>
      <c r="D2501" s="2"/>
      <c r="E2501" s="2"/>
      <c r="F2501" s="14"/>
      <c r="G2501" s="2"/>
      <c r="H2501" s="2"/>
    </row>
    <row r="2502">
      <c r="A2502" s="2"/>
      <c r="B2502" s="13"/>
      <c r="C2502" s="2"/>
      <c r="D2502" s="2"/>
      <c r="E2502" s="2"/>
      <c r="F2502" s="14"/>
      <c r="G2502" s="2"/>
      <c r="H2502" s="2"/>
    </row>
    <row r="2503">
      <c r="A2503" s="2"/>
      <c r="B2503" s="13"/>
      <c r="C2503" s="2"/>
      <c r="D2503" s="2"/>
      <c r="E2503" s="2"/>
      <c r="F2503" s="14"/>
      <c r="G2503" s="2"/>
      <c r="H2503" s="2"/>
    </row>
    <row r="2504">
      <c r="A2504" s="2"/>
      <c r="B2504" s="13"/>
      <c r="C2504" s="2"/>
      <c r="D2504" s="2"/>
      <c r="E2504" s="2"/>
      <c r="F2504" s="14"/>
      <c r="G2504" s="2"/>
      <c r="H2504" s="2"/>
    </row>
    <row r="2505">
      <c r="A2505" s="2"/>
      <c r="B2505" s="13"/>
      <c r="C2505" s="2"/>
      <c r="D2505" s="2"/>
      <c r="E2505" s="2"/>
      <c r="F2505" s="14"/>
      <c r="G2505" s="2"/>
      <c r="H2505" s="2"/>
    </row>
    <row r="2506">
      <c r="A2506" s="2"/>
      <c r="B2506" s="13"/>
      <c r="C2506" s="2"/>
      <c r="D2506" s="2"/>
      <c r="E2506" s="2"/>
      <c r="F2506" s="14"/>
      <c r="G2506" s="2"/>
      <c r="H2506" s="2"/>
    </row>
    <row r="2507">
      <c r="A2507" s="2"/>
      <c r="B2507" s="13"/>
      <c r="C2507" s="2"/>
      <c r="D2507" s="2"/>
      <c r="E2507" s="2"/>
      <c r="F2507" s="14"/>
      <c r="G2507" s="2"/>
      <c r="H2507" s="2"/>
    </row>
    <row r="2508">
      <c r="A2508" s="2"/>
      <c r="B2508" s="13"/>
      <c r="C2508" s="2"/>
      <c r="D2508" s="2"/>
      <c r="E2508" s="2"/>
      <c r="F2508" s="14"/>
      <c r="G2508" s="2"/>
      <c r="H2508" s="2"/>
    </row>
    <row r="2509">
      <c r="A2509" s="2"/>
      <c r="B2509" s="13"/>
      <c r="C2509" s="2"/>
      <c r="D2509" s="2"/>
      <c r="E2509" s="2"/>
      <c r="F2509" s="14"/>
      <c r="G2509" s="2"/>
      <c r="H2509" s="2"/>
    </row>
    <row r="2510">
      <c r="A2510" s="2"/>
      <c r="B2510" s="13"/>
      <c r="C2510" s="2"/>
      <c r="D2510" s="2"/>
      <c r="E2510" s="2"/>
      <c r="F2510" s="14"/>
      <c r="G2510" s="2"/>
      <c r="H2510" s="2"/>
    </row>
    <row r="2511">
      <c r="A2511" s="2"/>
      <c r="B2511" s="13"/>
      <c r="C2511" s="2"/>
      <c r="D2511" s="2"/>
      <c r="E2511" s="2"/>
      <c r="F2511" s="14"/>
      <c r="G2511" s="2"/>
      <c r="H2511" s="2"/>
    </row>
    <row r="2512">
      <c r="A2512" s="2"/>
      <c r="B2512" s="13"/>
      <c r="C2512" s="2"/>
      <c r="D2512" s="2"/>
      <c r="E2512" s="2"/>
      <c r="F2512" s="14"/>
      <c r="G2512" s="2"/>
      <c r="H2512" s="2"/>
    </row>
    <row r="2513">
      <c r="A2513" s="2"/>
      <c r="B2513" s="13"/>
      <c r="C2513" s="2"/>
      <c r="D2513" s="2"/>
      <c r="E2513" s="2"/>
      <c r="F2513" s="14"/>
      <c r="G2513" s="2"/>
      <c r="H2513" s="2"/>
    </row>
    <row r="2514">
      <c r="A2514" s="2"/>
      <c r="B2514" s="13"/>
      <c r="C2514" s="2"/>
      <c r="D2514" s="2"/>
      <c r="E2514" s="2"/>
      <c r="F2514" s="14"/>
      <c r="G2514" s="2"/>
      <c r="H2514" s="2"/>
    </row>
    <row r="2515">
      <c r="A2515" s="2"/>
      <c r="B2515" s="13"/>
      <c r="C2515" s="2"/>
      <c r="D2515" s="2"/>
      <c r="E2515" s="2"/>
      <c r="F2515" s="14"/>
      <c r="G2515" s="2"/>
      <c r="H2515" s="2"/>
    </row>
    <row r="2516">
      <c r="A2516" s="2"/>
      <c r="B2516" s="13"/>
      <c r="C2516" s="2"/>
      <c r="D2516" s="2"/>
      <c r="E2516" s="2"/>
      <c r="F2516" s="14"/>
      <c r="G2516" s="2"/>
      <c r="H2516" s="2"/>
    </row>
    <row r="2517">
      <c r="A2517" s="2"/>
      <c r="B2517" s="13"/>
      <c r="C2517" s="2"/>
      <c r="D2517" s="2"/>
      <c r="E2517" s="2"/>
      <c r="F2517" s="14"/>
      <c r="G2517" s="2"/>
      <c r="H2517" s="2"/>
    </row>
    <row r="2518">
      <c r="A2518" s="2"/>
      <c r="B2518" s="13"/>
      <c r="C2518" s="2"/>
      <c r="D2518" s="2"/>
      <c r="E2518" s="2"/>
      <c r="F2518" s="14"/>
      <c r="G2518" s="2"/>
      <c r="H2518" s="2"/>
    </row>
    <row r="2519">
      <c r="A2519" s="2"/>
      <c r="B2519" s="13"/>
      <c r="C2519" s="2"/>
      <c r="D2519" s="2"/>
      <c r="E2519" s="2"/>
      <c r="F2519" s="14"/>
      <c r="G2519" s="2"/>
      <c r="H2519" s="2"/>
    </row>
    <row r="2520">
      <c r="A2520" s="2"/>
      <c r="B2520" s="13"/>
      <c r="C2520" s="2"/>
      <c r="D2520" s="2"/>
      <c r="E2520" s="2"/>
      <c r="F2520" s="14"/>
      <c r="G2520" s="2"/>
      <c r="H2520" s="2"/>
    </row>
    <row r="2521">
      <c r="A2521" s="2"/>
      <c r="B2521" s="13"/>
      <c r="C2521" s="2"/>
      <c r="D2521" s="2"/>
      <c r="E2521" s="2"/>
      <c r="F2521" s="14"/>
      <c r="G2521" s="2"/>
      <c r="H2521" s="2"/>
    </row>
    <row r="2522">
      <c r="A2522" s="2"/>
      <c r="B2522" s="13"/>
      <c r="C2522" s="2"/>
      <c r="D2522" s="2"/>
      <c r="E2522" s="2"/>
      <c r="F2522" s="14"/>
      <c r="G2522" s="2"/>
      <c r="H2522" s="2"/>
    </row>
    <row r="2523">
      <c r="A2523" s="2"/>
      <c r="B2523" s="13"/>
      <c r="C2523" s="2"/>
      <c r="D2523" s="2"/>
      <c r="E2523" s="2"/>
      <c r="F2523" s="14"/>
      <c r="G2523" s="2"/>
      <c r="H2523" s="2"/>
    </row>
    <row r="2524">
      <c r="A2524" s="2"/>
      <c r="B2524" s="13"/>
      <c r="C2524" s="2"/>
      <c r="D2524" s="2"/>
      <c r="E2524" s="2"/>
      <c r="F2524" s="14"/>
      <c r="G2524" s="2"/>
      <c r="H2524" s="2"/>
    </row>
    <row r="2525">
      <c r="A2525" s="2"/>
      <c r="B2525" s="13"/>
      <c r="C2525" s="2"/>
      <c r="D2525" s="2"/>
      <c r="E2525" s="2"/>
      <c r="F2525" s="14"/>
      <c r="G2525" s="2"/>
      <c r="H2525" s="2"/>
    </row>
    <row r="2526">
      <c r="A2526" s="2"/>
      <c r="B2526" s="13"/>
      <c r="C2526" s="2"/>
      <c r="D2526" s="2"/>
      <c r="E2526" s="2"/>
      <c r="F2526" s="14"/>
      <c r="G2526" s="2"/>
      <c r="H2526" s="2"/>
    </row>
    <row r="2527">
      <c r="A2527" s="2"/>
      <c r="B2527" s="13"/>
      <c r="C2527" s="2"/>
      <c r="D2527" s="2"/>
      <c r="E2527" s="2"/>
      <c r="F2527" s="14"/>
      <c r="G2527" s="2"/>
      <c r="H2527" s="2"/>
    </row>
    <row r="2528">
      <c r="A2528" s="2"/>
      <c r="B2528" s="13"/>
      <c r="C2528" s="2"/>
      <c r="D2528" s="2"/>
      <c r="E2528" s="2"/>
      <c r="F2528" s="14"/>
      <c r="G2528" s="2"/>
      <c r="H2528" s="2"/>
    </row>
    <row r="2529">
      <c r="A2529" s="2"/>
      <c r="B2529" s="13"/>
      <c r="C2529" s="2"/>
      <c r="D2529" s="2"/>
      <c r="E2529" s="2"/>
      <c r="F2529" s="14"/>
      <c r="G2529" s="2"/>
      <c r="H2529" s="2"/>
    </row>
    <row r="2530">
      <c r="A2530" s="2"/>
      <c r="B2530" s="13"/>
      <c r="C2530" s="2"/>
      <c r="D2530" s="2"/>
      <c r="E2530" s="2"/>
      <c r="F2530" s="14"/>
      <c r="G2530" s="2"/>
      <c r="H2530" s="2"/>
    </row>
    <row r="2531">
      <c r="A2531" s="2"/>
      <c r="B2531" s="13"/>
      <c r="C2531" s="2"/>
      <c r="D2531" s="2"/>
      <c r="E2531" s="2"/>
      <c r="F2531" s="14"/>
      <c r="G2531" s="2"/>
      <c r="H2531" s="2"/>
    </row>
    <row r="2532">
      <c r="A2532" s="2"/>
      <c r="B2532" s="13"/>
      <c r="C2532" s="2"/>
      <c r="D2532" s="2"/>
      <c r="E2532" s="2"/>
      <c r="F2532" s="14"/>
      <c r="G2532" s="2"/>
      <c r="H2532" s="2"/>
    </row>
    <row r="2533">
      <c r="A2533" s="2"/>
      <c r="B2533" s="13"/>
      <c r="C2533" s="2"/>
      <c r="D2533" s="2"/>
      <c r="E2533" s="2"/>
      <c r="F2533" s="14"/>
      <c r="G2533" s="2"/>
      <c r="H2533" s="2"/>
    </row>
    <row r="2534">
      <c r="A2534" s="2"/>
      <c r="B2534" s="13"/>
      <c r="C2534" s="2"/>
      <c r="D2534" s="2"/>
      <c r="E2534" s="2"/>
      <c r="F2534" s="14"/>
      <c r="G2534" s="2"/>
      <c r="H2534" s="2"/>
    </row>
    <row r="2535">
      <c r="A2535" s="2"/>
      <c r="B2535" s="13"/>
      <c r="C2535" s="2"/>
      <c r="D2535" s="2"/>
      <c r="E2535" s="2"/>
      <c r="F2535" s="14"/>
      <c r="G2535" s="2"/>
      <c r="H2535" s="2"/>
    </row>
    <row r="2536">
      <c r="A2536" s="2"/>
      <c r="B2536" s="13"/>
      <c r="C2536" s="2"/>
      <c r="D2536" s="2"/>
      <c r="E2536" s="2"/>
      <c r="F2536" s="14"/>
      <c r="G2536" s="2"/>
      <c r="H2536" s="2"/>
    </row>
    <row r="2537">
      <c r="A2537" s="2"/>
      <c r="B2537" s="13"/>
      <c r="C2537" s="2"/>
      <c r="D2537" s="2"/>
      <c r="E2537" s="2"/>
      <c r="F2537" s="14"/>
      <c r="G2537" s="2"/>
      <c r="H2537" s="2"/>
    </row>
    <row r="2538">
      <c r="A2538" s="2"/>
      <c r="B2538" s="13"/>
      <c r="C2538" s="2"/>
      <c r="D2538" s="2"/>
      <c r="E2538" s="2"/>
      <c r="F2538" s="14"/>
      <c r="G2538" s="2"/>
      <c r="H2538" s="2"/>
    </row>
    <row r="2539">
      <c r="A2539" s="2"/>
      <c r="B2539" s="13"/>
      <c r="C2539" s="2"/>
      <c r="D2539" s="2"/>
      <c r="E2539" s="2"/>
      <c r="F2539" s="14"/>
      <c r="G2539" s="2"/>
      <c r="H2539" s="2"/>
    </row>
    <row r="2540">
      <c r="A2540" s="2"/>
      <c r="B2540" s="13"/>
      <c r="C2540" s="2"/>
      <c r="D2540" s="2"/>
      <c r="E2540" s="2"/>
      <c r="F2540" s="14"/>
      <c r="G2540" s="2"/>
      <c r="H2540" s="2"/>
    </row>
    <row r="2541">
      <c r="A2541" s="2"/>
      <c r="B2541" s="13"/>
      <c r="C2541" s="2"/>
      <c r="D2541" s="2"/>
      <c r="E2541" s="2"/>
      <c r="F2541" s="14"/>
      <c r="G2541" s="2"/>
      <c r="H2541" s="2"/>
    </row>
    <row r="2542">
      <c r="A2542" s="2"/>
      <c r="B2542" s="13"/>
      <c r="C2542" s="2"/>
      <c r="D2542" s="2"/>
      <c r="E2542" s="2"/>
      <c r="F2542" s="14"/>
      <c r="G2542" s="2"/>
      <c r="H2542" s="2"/>
    </row>
    <row r="2543">
      <c r="A2543" s="2"/>
      <c r="B2543" s="13"/>
      <c r="C2543" s="2"/>
      <c r="D2543" s="2"/>
      <c r="E2543" s="2"/>
      <c r="F2543" s="14"/>
      <c r="G2543" s="2"/>
      <c r="H2543" s="2"/>
    </row>
    <row r="2544">
      <c r="A2544" s="2"/>
      <c r="B2544" s="13"/>
      <c r="C2544" s="2"/>
      <c r="D2544" s="2"/>
      <c r="E2544" s="2"/>
      <c r="F2544" s="14"/>
      <c r="G2544" s="2"/>
      <c r="H2544" s="2"/>
    </row>
    <row r="2545">
      <c r="A2545" s="2"/>
      <c r="B2545" s="13"/>
      <c r="C2545" s="2"/>
      <c r="D2545" s="2"/>
      <c r="E2545" s="2"/>
      <c r="F2545" s="14"/>
      <c r="G2545" s="2"/>
      <c r="H2545" s="2"/>
    </row>
    <row r="2546">
      <c r="A2546" s="2"/>
      <c r="B2546" s="13"/>
      <c r="C2546" s="2"/>
      <c r="D2546" s="2"/>
      <c r="E2546" s="2"/>
      <c r="F2546" s="14"/>
      <c r="G2546" s="2"/>
      <c r="H2546" s="2"/>
    </row>
    <row r="2547">
      <c r="A2547" s="2"/>
      <c r="B2547" s="13"/>
      <c r="C2547" s="2"/>
      <c r="D2547" s="2"/>
      <c r="E2547" s="2"/>
      <c r="F2547" s="14"/>
      <c r="G2547" s="2"/>
      <c r="H2547" s="2"/>
    </row>
    <row r="2548">
      <c r="A2548" s="2"/>
      <c r="B2548" s="13"/>
      <c r="C2548" s="2"/>
      <c r="D2548" s="2"/>
      <c r="E2548" s="2"/>
      <c r="F2548" s="14"/>
      <c r="G2548" s="2"/>
      <c r="H2548" s="2"/>
    </row>
    <row r="2549">
      <c r="A2549" s="2"/>
      <c r="B2549" s="13"/>
      <c r="C2549" s="2"/>
      <c r="D2549" s="2"/>
      <c r="E2549" s="2"/>
      <c r="F2549" s="14"/>
      <c r="G2549" s="2"/>
      <c r="H2549" s="2"/>
    </row>
    <row r="2550">
      <c r="A2550" s="2"/>
      <c r="B2550" s="13"/>
      <c r="C2550" s="2"/>
      <c r="D2550" s="2"/>
      <c r="E2550" s="2"/>
      <c r="F2550" s="14"/>
      <c r="G2550" s="2"/>
      <c r="H2550" s="2"/>
    </row>
    <row r="2551">
      <c r="A2551" s="2"/>
      <c r="B2551" s="13"/>
      <c r="C2551" s="2"/>
      <c r="D2551" s="2"/>
      <c r="E2551" s="2"/>
      <c r="F2551" s="14"/>
      <c r="G2551" s="2"/>
      <c r="H2551" s="2"/>
    </row>
    <row r="2552">
      <c r="A2552" s="2"/>
      <c r="B2552" s="13"/>
      <c r="C2552" s="2"/>
      <c r="D2552" s="2"/>
      <c r="E2552" s="2"/>
      <c r="F2552" s="14"/>
      <c r="G2552" s="2"/>
      <c r="H2552" s="2"/>
    </row>
    <row r="2553">
      <c r="A2553" s="2"/>
      <c r="B2553" s="13"/>
      <c r="C2553" s="2"/>
      <c r="D2553" s="2"/>
      <c r="E2553" s="2"/>
      <c r="F2553" s="14"/>
      <c r="G2553" s="2"/>
      <c r="H2553" s="2"/>
    </row>
    <row r="2554">
      <c r="A2554" s="2"/>
      <c r="B2554" s="13"/>
      <c r="C2554" s="2"/>
      <c r="D2554" s="2"/>
      <c r="E2554" s="2"/>
      <c r="F2554" s="14"/>
      <c r="G2554" s="2"/>
      <c r="H2554" s="2"/>
    </row>
    <row r="2555">
      <c r="A2555" s="2"/>
      <c r="B2555" s="13"/>
      <c r="C2555" s="2"/>
      <c r="D2555" s="2"/>
      <c r="E2555" s="2"/>
      <c r="F2555" s="14"/>
      <c r="G2555" s="2"/>
      <c r="H2555" s="2"/>
    </row>
    <row r="2556">
      <c r="A2556" s="2"/>
      <c r="B2556" s="13"/>
      <c r="C2556" s="2"/>
      <c r="D2556" s="2"/>
      <c r="E2556" s="2"/>
      <c r="F2556" s="14"/>
      <c r="G2556" s="2"/>
      <c r="H2556" s="2"/>
    </row>
    <row r="2557">
      <c r="A2557" s="2"/>
      <c r="B2557" s="13"/>
      <c r="C2557" s="2"/>
      <c r="D2557" s="2"/>
      <c r="E2557" s="2"/>
      <c r="F2557" s="14"/>
      <c r="G2557" s="2"/>
      <c r="H2557" s="2"/>
    </row>
    <row r="2558">
      <c r="A2558" s="2"/>
      <c r="B2558" s="13"/>
      <c r="C2558" s="2"/>
      <c r="D2558" s="2"/>
      <c r="E2558" s="2"/>
      <c r="F2558" s="14"/>
      <c r="G2558" s="2"/>
      <c r="H2558" s="2"/>
    </row>
    <row r="2559">
      <c r="A2559" s="2"/>
      <c r="B2559" s="13"/>
      <c r="C2559" s="2"/>
      <c r="D2559" s="2"/>
      <c r="E2559" s="2"/>
      <c r="F2559" s="14"/>
      <c r="G2559" s="2"/>
      <c r="H2559" s="2"/>
    </row>
    <row r="2560">
      <c r="A2560" s="2"/>
      <c r="B2560" s="13"/>
      <c r="C2560" s="2"/>
      <c r="D2560" s="2"/>
      <c r="E2560" s="2"/>
      <c r="F2560" s="14"/>
      <c r="G2560" s="2"/>
      <c r="H2560" s="2"/>
    </row>
    <row r="2561">
      <c r="A2561" s="2"/>
      <c r="B2561" s="13"/>
      <c r="C2561" s="2"/>
      <c r="D2561" s="2"/>
      <c r="E2561" s="2"/>
      <c r="F2561" s="14"/>
      <c r="G2561" s="2"/>
      <c r="H2561" s="2"/>
    </row>
    <row r="2562">
      <c r="A2562" s="2"/>
      <c r="B2562" s="13"/>
      <c r="C2562" s="2"/>
      <c r="D2562" s="2"/>
      <c r="E2562" s="2"/>
      <c r="F2562" s="14"/>
      <c r="G2562" s="2"/>
      <c r="H2562" s="2"/>
    </row>
    <row r="2563">
      <c r="A2563" s="2"/>
      <c r="B2563" s="13"/>
      <c r="C2563" s="2"/>
      <c r="D2563" s="2"/>
      <c r="E2563" s="2"/>
      <c r="F2563" s="14"/>
      <c r="G2563" s="2"/>
      <c r="H2563" s="2"/>
    </row>
    <row r="2564">
      <c r="A2564" s="2"/>
      <c r="B2564" s="13"/>
      <c r="C2564" s="2"/>
      <c r="D2564" s="2"/>
      <c r="E2564" s="2"/>
      <c r="F2564" s="14"/>
      <c r="G2564" s="2"/>
      <c r="H2564" s="2"/>
    </row>
    <row r="2565">
      <c r="A2565" s="2"/>
      <c r="B2565" s="13"/>
      <c r="C2565" s="2"/>
      <c r="D2565" s="2"/>
      <c r="E2565" s="2"/>
      <c r="F2565" s="14"/>
      <c r="G2565" s="2"/>
      <c r="H2565" s="2"/>
    </row>
    <row r="2566">
      <c r="A2566" s="2"/>
      <c r="B2566" s="13"/>
      <c r="C2566" s="2"/>
      <c r="D2566" s="2"/>
      <c r="E2566" s="2"/>
      <c r="F2566" s="14"/>
      <c r="G2566" s="2"/>
      <c r="H2566" s="2"/>
    </row>
    <row r="2567">
      <c r="A2567" s="2"/>
      <c r="B2567" s="13"/>
      <c r="C2567" s="2"/>
      <c r="D2567" s="2"/>
      <c r="E2567" s="2"/>
      <c r="F2567" s="14"/>
      <c r="G2567" s="2"/>
      <c r="H2567" s="2"/>
    </row>
    <row r="2568">
      <c r="A2568" s="2"/>
      <c r="B2568" s="13"/>
      <c r="C2568" s="2"/>
      <c r="D2568" s="2"/>
      <c r="E2568" s="2"/>
      <c r="F2568" s="14"/>
      <c r="G2568" s="2"/>
      <c r="H2568" s="2"/>
    </row>
    <row r="2569">
      <c r="A2569" s="2"/>
      <c r="B2569" s="13"/>
      <c r="C2569" s="2"/>
      <c r="D2569" s="2"/>
      <c r="E2569" s="2"/>
      <c r="F2569" s="14"/>
      <c r="G2569" s="2"/>
      <c r="H2569" s="2"/>
    </row>
    <row r="2570">
      <c r="A2570" s="2"/>
      <c r="B2570" s="13"/>
      <c r="C2570" s="2"/>
      <c r="D2570" s="2"/>
      <c r="E2570" s="2"/>
      <c r="F2570" s="14"/>
      <c r="G2570" s="2"/>
      <c r="H2570" s="2"/>
    </row>
    <row r="2571">
      <c r="A2571" s="2"/>
      <c r="B2571" s="13"/>
      <c r="C2571" s="2"/>
      <c r="D2571" s="2"/>
      <c r="E2571" s="2"/>
      <c r="F2571" s="14"/>
      <c r="G2571" s="2"/>
      <c r="H2571" s="2"/>
    </row>
    <row r="2572">
      <c r="A2572" s="2"/>
      <c r="B2572" s="13"/>
      <c r="C2572" s="2"/>
      <c r="D2572" s="2"/>
      <c r="E2572" s="2"/>
      <c r="F2572" s="14"/>
      <c r="G2572" s="2"/>
      <c r="H2572" s="2"/>
    </row>
    <row r="2573">
      <c r="A2573" s="2"/>
      <c r="B2573" s="13"/>
      <c r="C2573" s="2"/>
      <c r="D2573" s="2"/>
      <c r="E2573" s="2"/>
      <c r="F2573" s="14"/>
      <c r="G2573" s="2"/>
      <c r="H2573" s="2"/>
    </row>
    <row r="2574">
      <c r="A2574" s="2"/>
      <c r="B2574" s="13"/>
      <c r="C2574" s="2"/>
      <c r="D2574" s="2"/>
      <c r="E2574" s="2"/>
      <c r="F2574" s="14"/>
      <c r="G2574" s="2"/>
      <c r="H2574" s="2"/>
    </row>
    <row r="2575">
      <c r="A2575" s="2"/>
      <c r="B2575" s="13"/>
      <c r="C2575" s="2"/>
      <c r="D2575" s="2"/>
      <c r="E2575" s="2"/>
      <c r="F2575" s="14"/>
      <c r="G2575" s="2"/>
      <c r="H2575" s="2"/>
    </row>
    <row r="2576">
      <c r="A2576" s="2"/>
      <c r="B2576" s="13"/>
      <c r="C2576" s="2"/>
      <c r="D2576" s="2"/>
      <c r="E2576" s="2"/>
      <c r="F2576" s="14"/>
      <c r="G2576" s="2"/>
      <c r="H2576" s="2"/>
    </row>
    <row r="2577">
      <c r="A2577" s="2"/>
      <c r="B2577" s="13"/>
      <c r="C2577" s="2"/>
      <c r="D2577" s="2"/>
      <c r="E2577" s="2"/>
      <c r="F2577" s="14"/>
      <c r="G2577" s="2"/>
      <c r="H2577" s="2"/>
    </row>
    <row r="2578">
      <c r="A2578" s="2"/>
      <c r="B2578" s="13"/>
      <c r="C2578" s="2"/>
      <c r="D2578" s="2"/>
      <c r="E2578" s="2"/>
      <c r="F2578" s="14"/>
      <c r="G2578" s="2"/>
      <c r="H2578" s="2"/>
    </row>
    <row r="2579">
      <c r="A2579" s="2"/>
      <c r="B2579" s="13"/>
      <c r="C2579" s="2"/>
      <c r="D2579" s="2"/>
      <c r="E2579" s="2"/>
      <c r="F2579" s="14"/>
      <c r="G2579" s="2"/>
      <c r="H2579" s="2"/>
    </row>
    <row r="2580">
      <c r="A2580" s="2"/>
      <c r="B2580" s="13"/>
      <c r="C2580" s="2"/>
      <c r="D2580" s="2"/>
      <c r="E2580" s="2"/>
      <c r="F2580" s="14"/>
      <c r="G2580" s="2"/>
      <c r="H2580" s="2"/>
    </row>
    <row r="2581">
      <c r="A2581" s="2"/>
      <c r="B2581" s="13"/>
      <c r="C2581" s="2"/>
      <c r="D2581" s="2"/>
      <c r="E2581" s="2"/>
      <c r="F2581" s="14"/>
      <c r="G2581" s="2"/>
      <c r="H2581" s="2"/>
    </row>
    <row r="2582">
      <c r="A2582" s="2"/>
      <c r="B2582" s="13"/>
      <c r="C2582" s="2"/>
      <c r="D2582" s="2"/>
      <c r="E2582" s="2"/>
      <c r="F2582" s="14"/>
      <c r="G2582" s="2"/>
      <c r="H2582" s="2"/>
    </row>
    <row r="2583">
      <c r="A2583" s="2"/>
      <c r="B2583" s="13"/>
      <c r="C2583" s="2"/>
      <c r="D2583" s="2"/>
      <c r="E2583" s="2"/>
      <c r="F2583" s="14"/>
      <c r="G2583" s="2"/>
      <c r="H2583" s="2"/>
    </row>
    <row r="2584">
      <c r="A2584" s="2"/>
      <c r="B2584" s="13"/>
      <c r="C2584" s="2"/>
      <c r="D2584" s="2"/>
      <c r="E2584" s="2"/>
      <c r="F2584" s="14"/>
      <c r="G2584" s="2"/>
      <c r="H2584" s="2"/>
    </row>
    <row r="2585">
      <c r="A2585" s="2"/>
      <c r="B2585" s="13"/>
      <c r="C2585" s="2"/>
      <c r="D2585" s="2"/>
      <c r="E2585" s="2"/>
      <c r="F2585" s="14"/>
      <c r="G2585" s="2"/>
      <c r="H2585" s="2"/>
    </row>
    <row r="2586">
      <c r="A2586" s="2"/>
      <c r="B2586" s="13"/>
      <c r="C2586" s="2"/>
      <c r="D2586" s="2"/>
      <c r="E2586" s="2"/>
      <c r="F2586" s="14"/>
      <c r="G2586" s="2"/>
      <c r="H2586" s="2"/>
    </row>
    <row r="2587">
      <c r="A2587" s="2"/>
      <c r="B2587" s="13"/>
      <c r="C2587" s="2"/>
      <c r="D2587" s="2"/>
      <c r="E2587" s="2"/>
      <c r="F2587" s="14"/>
      <c r="G2587" s="2"/>
      <c r="H2587" s="2"/>
    </row>
    <row r="2588">
      <c r="A2588" s="2"/>
      <c r="B2588" s="13"/>
      <c r="C2588" s="2"/>
      <c r="D2588" s="2"/>
      <c r="E2588" s="2"/>
      <c r="F2588" s="14"/>
      <c r="G2588" s="2"/>
      <c r="H2588" s="2"/>
    </row>
    <row r="2589">
      <c r="A2589" s="2"/>
      <c r="B2589" s="13"/>
      <c r="C2589" s="2"/>
      <c r="D2589" s="2"/>
      <c r="E2589" s="2"/>
      <c r="F2589" s="14"/>
      <c r="G2589" s="2"/>
      <c r="H2589" s="2"/>
    </row>
    <row r="2590">
      <c r="A2590" s="2"/>
      <c r="B2590" s="13"/>
      <c r="C2590" s="2"/>
      <c r="D2590" s="2"/>
      <c r="E2590" s="2"/>
      <c r="F2590" s="14"/>
      <c r="G2590" s="2"/>
      <c r="H2590" s="2"/>
    </row>
    <row r="2591">
      <c r="A2591" s="2"/>
      <c r="B2591" s="13"/>
      <c r="C2591" s="2"/>
      <c r="D2591" s="2"/>
      <c r="E2591" s="2"/>
      <c r="F2591" s="14"/>
      <c r="G2591" s="2"/>
      <c r="H2591" s="2"/>
    </row>
    <row r="2592">
      <c r="A2592" s="2"/>
      <c r="B2592" s="13"/>
      <c r="C2592" s="2"/>
      <c r="D2592" s="2"/>
      <c r="E2592" s="2"/>
      <c r="F2592" s="14"/>
      <c r="G2592" s="2"/>
      <c r="H2592" s="2"/>
    </row>
    <row r="2593">
      <c r="A2593" s="2"/>
      <c r="B2593" s="13"/>
      <c r="C2593" s="2"/>
      <c r="D2593" s="2"/>
      <c r="E2593" s="2"/>
      <c r="F2593" s="14"/>
      <c r="G2593" s="2"/>
      <c r="H2593" s="2"/>
    </row>
    <row r="2594">
      <c r="A2594" s="2"/>
      <c r="B2594" s="13"/>
      <c r="C2594" s="2"/>
      <c r="D2594" s="2"/>
      <c r="E2594" s="2"/>
      <c r="F2594" s="14"/>
      <c r="G2594" s="2"/>
      <c r="H2594" s="2"/>
    </row>
    <row r="2595">
      <c r="A2595" s="2"/>
      <c r="B2595" s="13"/>
      <c r="C2595" s="2"/>
      <c r="D2595" s="2"/>
      <c r="E2595" s="2"/>
      <c r="F2595" s="14"/>
      <c r="G2595" s="2"/>
      <c r="H2595" s="2"/>
    </row>
    <row r="2596">
      <c r="A2596" s="2"/>
      <c r="B2596" s="13"/>
      <c r="C2596" s="2"/>
      <c r="D2596" s="2"/>
      <c r="E2596" s="2"/>
      <c r="F2596" s="14"/>
      <c r="G2596" s="2"/>
      <c r="H2596" s="2"/>
    </row>
    <row r="2597">
      <c r="A2597" s="2"/>
      <c r="B2597" s="13"/>
      <c r="C2597" s="2"/>
      <c r="D2597" s="2"/>
      <c r="E2597" s="2"/>
      <c r="F2597" s="14"/>
      <c r="G2597" s="2"/>
      <c r="H2597" s="2"/>
    </row>
    <row r="2598">
      <c r="A2598" s="2"/>
      <c r="B2598" s="13"/>
      <c r="C2598" s="2"/>
      <c r="D2598" s="2"/>
      <c r="E2598" s="2"/>
      <c r="F2598" s="14"/>
      <c r="G2598" s="2"/>
      <c r="H2598" s="2"/>
    </row>
    <row r="2599">
      <c r="A2599" s="2"/>
      <c r="B2599" s="13"/>
      <c r="C2599" s="2"/>
      <c r="D2599" s="2"/>
      <c r="E2599" s="2"/>
      <c r="F2599" s="14"/>
      <c r="G2599" s="2"/>
      <c r="H2599" s="2"/>
    </row>
    <row r="2600">
      <c r="A2600" s="2"/>
      <c r="B2600" s="13"/>
      <c r="C2600" s="2"/>
      <c r="D2600" s="2"/>
      <c r="E2600" s="2"/>
      <c r="F2600" s="14"/>
      <c r="G2600" s="2"/>
      <c r="H2600" s="2"/>
    </row>
    <row r="2601">
      <c r="A2601" s="2"/>
      <c r="B2601" s="13"/>
      <c r="C2601" s="2"/>
      <c r="D2601" s="2"/>
      <c r="E2601" s="2"/>
      <c r="F2601" s="14"/>
      <c r="G2601" s="2"/>
      <c r="H2601" s="2"/>
    </row>
    <row r="2602">
      <c r="A2602" s="2"/>
      <c r="B2602" s="13"/>
      <c r="C2602" s="2"/>
      <c r="D2602" s="2"/>
      <c r="E2602" s="2"/>
      <c r="F2602" s="14"/>
      <c r="G2602" s="2"/>
      <c r="H2602" s="2"/>
    </row>
    <row r="2603">
      <c r="A2603" s="2"/>
      <c r="B2603" s="13"/>
      <c r="C2603" s="2"/>
      <c r="D2603" s="2"/>
      <c r="E2603" s="2"/>
      <c r="F2603" s="14"/>
      <c r="G2603" s="2"/>
      <c r="H2603" s="2"/>
    </row>
    <row r="2604">
      <c r="A2604" s="2"/>
      <c r="B2604" s="13"/>
      <c r="C2604" s="2"/>
      <c r="D2604" s="2"/>
      <c r="E2604" s="2"/>
      <c r="F2604" s="14"/>
      <c r="G2604" s="2"/>
      <c r="H2604" s="2"/>
    </row>
    <row r="2605">
      <c r="A2605" s="2"/>
      <c r="B2605" s="13"/>
      <c r="C2605" s="2"/>
      <c r="D2605" s="2"/>
      <c r="E2605" s="2"/>
      <c r="F2605" s="14"/>
      <c r="G2605" s="2"/>
      <c r="H2605" s="2"/>
    </row>
    <row r="2606">
      <c r="A2606" s="2"/>
      <c r="B2606" s="13"/>
      <c r="C2606" s="2"/>
      <c r="D2606" s="2"/>
      <c r="E2606" s="2"/>
      <c r="F2606" s="14"/>
      <c r="G2606" s="2"/>
      <c r="H2606" s="2"/>
    </row>
    <row r="2607">
      <c r="A2607" s="2"/>
      <c r="B2607" s="13"/>
      <c r="C2607" s="2"/>
      <c r="D2607" s="2"/>
      <c r="E2607" s="2"/>
      <c r="F2607" s="14"/>
      <c r="G2607" s="2"/>
      <c r="H2607" s="2"/>
    </row>
    <row r="2608">
      <c r="A2608" s="2"/>
      <c r="B2608" s="13"/>
      <c r="C2608" s="2"/>
      <c r="D2608" s="2"/>
      <c r="E2608" s="2"/>
      <c r="F2608" s="14"/>
      <c r="G2608" s="2"/>
      <c r="H2608" s="2"/>
    </row>
    <row r="2609">
      <c r="A2609" s="2"/>
      <c r="B2609" s="13"/>
      <c r="C2609" s="2"/>
      <c r="D2609" s="2"/>
      <c r="E2609" s="2"/>
      <c r="F2609" s="14"/>
      <c r="G2609" s="2"/>
      <c r="H2609" s="2"/>
    </row>
    <row r="2610">
      <c r="A2610" s="2"/>
      <c r="B2610" s="13"/>
      <c r="C2610" s="2"/>
      <c r="D2610" s="2"/>
      <c r="E2610" s="2"/>
      <c r="F2610" s="14"/>
      <c r="G2610" s="2"/>
      <c r="H2610" s="2"/>
    </row>
    <row r="2611">
      <c r="A2611" s="2"/>
      <c r="B2611" s="13"/>
      <c r="C2611" s="2"/>
      <c r="D2611" s="2"/>
      <c r="E2611" s="2"/>
      <c r="F2611" s="14"/>
      <c r="G2611" s="2"/>
      <c r="H2611" s="2"/>
    </row>
    <row r="2612">
      <c r="A2612" s="2"/>
      <c r="B2612" s="13"/>
      <c r="C2612" s="2"/>
      <c r="D2612" s="2"/>
      <c r="E2612" s="2"/>
      <c r="F2612" s="14"/>
      <c r="G2612" s="2"/>
      <c r="H2612" s="2"/>
    </row>
    <row r="2613">
      <c r="A2613" s="2"/>
      <c r="B2613" s="13"/>
      <c r="C2613" s="2"/>
      <c r="D2613" s="2"/>
      <c r="E2613" s="2"/>
      <c r="F2613" s="14"/>
      <c r="G2613" s="2"/>
      <c r="H2613" s="2"/>
    </row>
    <row r="2614">
      <c r="A2614" s="2"/>
      <c r="B2614" s="13"/>
      <c r="C2614" s="2"/>
      <c r="D2614" s="2"/>
      <c r="E2614" s="2"/>
      <c r="F2614" s="14"/>
      <c r="G2614" s="2"/>
      <c r="H2614" s="2"/>
    </row>
    <row r="2615">
      <c r="A2615" s="2"/>
      <c r="B2615" s="13"/>
      <c r="C2615" s="2"/>
      <c r="D2615" s="2"/>
      <c r="E2615" s="2"/>
      <c r="F2615" s="14"/>
      <c r="G2615" s="2"/>
      <c r="H2615" s="2"/>
    </row>
    <row r="2616">
      <c r="A2616" s="2"/>
      <c r="B2616" s="13"/>
      <c r="C2616" s="2"/>
      <c r="D2616" s="2"/>
      <c r="E2616" s="2"/>
      <c r="F2616" s="14"/>
      <c r="G2616" s="2"/>
      <c r="H2616" s="2"/>
    </row>
    <row r="2617">
      <c r="A2617" s="2"/>
      <c r="B2617" s="13"/>
      <c r="C2617" s="2"/>
      <c r="D2617" s="2"/>
      <c r="E2617" s="2"/>
      <c r="F2617" s="14"/>
      <c r="G2617" s="2"/>
      <c r="H2617" s="2"/>
    </row>
    <row r="2618">
      <c r="A2618" s="2"/>
      <c r="B2618" s="13"/>
      <c r="C2618" s="2"/>
      <c r="D2618" s="2"/>
      <c r="E2618" s="2"/>
      <c r="F2618" s="14"/>
      <c r="G2618" s="2"/>
      <c r="H2618" s="2"/>
    </row>
    <row r="2619">
      <c r="A2619" s="2"/>
      <c r="B2619" s="13"/>
      <c r="C2619" s="2"/>
      <c r="D2619" s="2"/>
      <c r="E2619" s="2"/>
      <c r="F2619" s="14"/>
      <c r="G2619" s="2"/>
      <c r="H2619" s="2"/>
    </row>
    <row r="2620">
      <c r="A2620" s="2"/>
      <c r="B2620" s="13"/>
      <c r="C2620" s="2"/>
      <c r="D2620" s="2"/>
      <c r="E2620" s="2"/>
      <c r="F2620" s="14"/>
      <c r="G2620" s="2"/>
      <c r="H2620" s="2"/>
    </row>
    <row r="2621">
      <c r="A2621" s="2"/>
      <c r="B2621" s="13"/>
      <c r="C2621" s="2"/>
      <c r="D2621" s="2"/>
      <c r="E2621" s="2"/>
      <c r="F2621" s="14"/>
      <c r="G2621" s="2"/>
      <c r="H2621" s="2"/>
    </row>
    <row r="2622">
      <c r="A2622" s="2"/>
      <c r="B2622" s="13"/>
      <c r="C2622" s="2"/>
      <c r="D2622" s="2"/>
      <c r="E2622" s="2"/>
      <c r="F2622" s="14"/>
      <c r="G2622" s="2"/>
      <c r="H2622" s="2"/>
    </row>
    <row r="2623">
      <c r="A2623" s="2"/>
      <c r="B2623" s="13"/>
      <c r="C2623" s="2"/>
      <c r="D2623" s="2"/>
      <c r="E2623" s="2"/>
      <c r="F2623" s="14"/>
      <c r="G2623" s="2"/>
      <c r="H2623" s="2"/>
    </row>
    <row r="2624">
      <c r="A2624" s="2"/>
      <c r="B2624" s="13"/>
      <c r="C2624" s="2"/>
      <c r="D2624" s="2"/>
      <c r="E2624" s="2"/>
      <c r="F2624" s="14"/>
      <c r="G2624" s="2"/>
      <c r="H2624" s="2"/>
    </row>
    <row r="2625">
      <c r="A2625" s="2"/>
      <c r="B2625" s="13"/>
      <c r="C2625" s="2"/>
      <c r="D2625" s="2"/>
      <c r="E2625" s="2"/>
      <c r="F2625" s="14"/>
      <c r="G2625" s="2"/>
      <c r="H2625" s="2"/>
    </row>
    <row r="2626">
      <c r="A2626" s="2"/>
      <c r="B2626" s="13"/>
      <c r="C2626" s="2"/>
      <c r="D2626" s="2"/>
      <c r="E2626" s="2"/>
      <c r="F2626" s="14"/>
      <c r="G2626" s="2"/>
      <c r="H2626" s="2"/>
    </row>
    <row r="2627">
      <c r="A2627" s="2"/>
      <c r="B2627" s="13"/>
      <c r="C2627" s="2"/>
      <c r="D2627" s="2"/>
      <c r="E2627" s="2"/>
      <c r="F2627" s="14"/>
      <c r="G2627" s="2"/>
      <c r="H2627" s="2"/>
    </row>
    <row r="2628">
      <c r="A2628" s="2"/>
      <c r="B2628" s="13"/>
      <c r="C2628" s="2"/>
      <c r="D2628" s="2"/>
      <c r="E2628" s="2"/>
      <c r="F2628" s="14"/>
      <c r="G2628" s="2"/>
      <c r="H2628" s="2"/>
    </row>
    <row r="2629">
      <c r="A2629" s="2"/>
      <c r="B2629" s="13"/>
      <c r="C2629" s="2"/>
      <c r="D2629" s="2"/>
      <c r="E2629" s="2"/>
      <c r="F2629" s="14"/>
      <c r="G2629" s="2"/>
      <c r="H2629" s="2"/>
    </row>
    <row r="2630">
      <c r="A2630" s="2"/>
      <c r="B2630" s="13"/>
      <c r="C2630" s="2"/>
      <c r="D2630" s="2"/>
      <c r="E2630" s="2"/>
      <c r="F2630" s="14"/>
      <c r="G2630" s="2"/>
      <c r="H2630" s="2"/>
    </row>
    <row r="2631">
      <c r="A2631" s="2"/>
      <c r="B2631" s="13"/>
      <c r="C2631" s="2"/>
      <c r="D2631" s="2"/>
      <c r="E2631" s="2"/>
      <c r="F2631" s="14"/>
      <c r="G2631" s="2"/>
      <c r="H2631" s="2"/>
    </row>
    <row r="2632">
      <c r="A2632" s="2"/>
      <c r="B2632" s="13"/>
      <c r="C2632" s="2"/>
      <c r="D2632" s="2"/>
      <c r="E2632" s="2"/>
      <c r="F2632" s="14"/>
      <c r="G2632" s="2"/>
      <c r="H2632" s="2"/>
    </row>
    <row r="2633">
      <c r="A2633" s="2"/>
      <c r="B2633" s="13"/>
      <c r="C2633" s="2"/>
      <c r="D2633" s="2"/>
      <c r="E2633" s="2"/>
      <c r="F2633" s="14"/>
      <c r="G2633" s="2"/>
      <c r="H2633" s="2"/>
    </row>
    <row r="2634">
      <c r="A2634" s="2"/>
      <c r="B2634" s="13"/>
      <c r="C2634" s="2"/>
      <c r="D2634" s="2"/>
      <c r="E2634" s="2"/>
      <c r="F2634" s="14"/>
      <c r="G2634" s="2"/>
      <c r="H2634" s="2"/>
    </row>
    <row r="2635">
      <c r="A2635" s="2"/>
      <c r="B2635" s="13"/>
      <c r="C2635" s="2"/>
      <c r="D2635" s="2"/>
      <c r="E2635" s="2"/>
      <c r="F2635" s="14"/>
      <c r="G2635" s="2"/>
      <c r="H2635" s="2"/>
    </row>
    <row r="2636">
      <c r="A2636" s="2"/>
      <c r="B2636" s="13"/>
      <c r="C2636" s="2"/>
      <c r="D2636" s="2"/>
      <c r="E2636" s="2"/>
      <c r="F2636" s="14"/>
      <c r="G2636" s="2"/>
      <c r="H2636" s="2"/>
    </row>
    <row r="2637">
      <c r="A2637" s="2"/>
      <c r="B2637" s="13"/>
      <c r="C2637" s="2"/>
      <c r="D2637" s="2"/>
      <c r="E2637" s="2"/>
      <c r="F2637" s="14"/>
      <c r="G2637" s="2"/>
      <c r="H2637" s="2"/>
    </row>
    <row r="2638">
      <c r="A2638" s="2"/>
      <c r="B2638" s="13"/>
      <c r="C2638" s="2"/>
      <c r="D2638" s="2"/>
      <c r="E2638" s="2"/>
      <c r="F2638" s="14"/>
      <c r="G2638" s="2"/>
      <c r="H2638" s="2"/>
    </row>
    <row r="2639">
      <c r="A2639" s="2"/>
      <c r="B2639" s="13"/>
      <c r="C2639" s="2"/>
      <c r="D2639" s="2"/>
      <c r="E2639" s="2"/>
      <c r="F2639" s="14"/>
      <c r="G2639" s="2"/>
      <c r="H2639" s="2"/>
    </row>
    <row r="2640">
      <c r="A2640" s="2"/>
      <c r="B2640" s="13"/>
      <c r="C2640" s="2"/>
      <c r="D2640" s="2"/>
      <c r="E2640" s="2"/>
      <c r="F2640" s="14"/>
      <c r="G2640" s="2"/>
      <c r="H2640" s="2"/>
    </row>
    <row r="2641">
      <c r="A2641" s="2"/>
      <c r="B2641" s="13"/>
      <c r="C2641" s="2"/>
      <c r="D2641" s="2"/>
      <c r="E2641" s="2"/>
      <c r="F2641" s="14"/>
      <c r="G2641" s="2"/>
      <c r="H2641" s="2"/>
    </row>
    <row r="2642">
      <c r="A2642" s="2"/>
      <c r="B2642" s="13"/>
      <c r="C2642" s="2"/>
      <c r="D2642" s="2"/>
      <c r="E2642" s="2"/>
      <c r="F2642" s="14"/>
      <c r="G2642" s="2"/>
      <c r="H2642" s="2"/>
    </row>
    <row r="2643">
      <c r="A2643" s="2"/>
      <c r="B2643" s="13"/>
      <c r="C2643" s="2"/>
      <c r="D2643" s="2"/>
      <c r="E2643" s="2"/>
      <c r="F2643" s="14"/>
      <c r="G2643" s="2"/>
      <c r="H2643" s="2"/>
    </row>
    <row r="2644">
      <c r="A2644" s="2"/>
      <c r="B2644" s="13"/>
      <c r="C2644" s="2"/>
      <c r="D2644" s="2"/>
      <c r="E2644" s="2"/>
      <c r="F2644" s="14"/>
      <c r="G2644" s="2"/>
      <c r="H2644" s="2"/>
    </row>
    <row r="2645">
      <c r="A2645" s="2"/>
      <c r="B2645" s="13"/>
      <c r="C2645" s="2"/>
      <c r="D2645" s="2"/>
      <c r="E2645" s="2"/>
      <c r="F2645" s="14"/>
      <c r="G2645" s="2"/>
      <c r="H2645" s="2"/>
    </row>
    <row r="2646">
      <c r="A2646" s="2"/>
      <c r="B2646" s="13"/>
      <c r="C2646" s="2"/>
      <c r="D2646" s="2"/>
      <c r="E2646" s="2"/>
      <c r="F2646" s="14"/>
      <c r="G2646" s="2"/>
      <c r="H2646" s="2"/>
    </row>
    <row r="2647">
      <c r="A2647" s="2"/>
      <c r="B2647" s="13"/>
      <c r="C2647" s="2"/>
      <c r="D2647" s="2"/>
      <c r="E2647" s="2"/>
      <c r="F2647" s="14"/>
      <c r="G2647" s="2"/>
      <c r="H2647" s="2"/>
    </row>
    <row r="2648">
      <c r="A2648" s="2"/>
      <c r="B2648" s="13"/>
      <c r="C2648" s="2"/>
      <c r="D2648" s="2"/>
      <c r="E2648" s="2"/>
      <c r="F2648" s="14"/>
      <c r="G2648" s="2"/>
      <c r="H2648" s="2"/>
    </row>
    <row r="2649">
      <c r="A2649" s="2"/>
      <c r="B2649" s="13"/>
      <c r="C2649" s="2"/>
      <c r="D2649" s="2"/>
      <c r="E2649" s="2"/>
      <c r="F2649" s="14"/>
      <c r="G2649" s="2"/>
      <c r="H2649" s="2"/>
    </row>
    <row r="2650">
      <c r="A2650" s="2"/>
      <c r="B2650" s="13"/>
      <c r="C2650" s="2"/>
      <c r="D2650" s="2"/>
      <c r="E2650" s="2"/>
      <c r="F2650" s="14"/>
      <c r="G2650" s="2"/>
      <c r="H2650" s="2"/>
    </row>
    <row r="2651">
      <c r="A2651" s="2"/>
      <c r="B2651" s="13"/>
      <c r="C2651" s="2"/>
      <c r="D2651" s="2"/>
      <c r="E2651" s="2"/>
      <c r="F2651" s="14"/>
      <c r="G2651" s="2"/>
      <c r="H2651" s="2"/>
    </row>
    <row r="2652">
      <c r="A2652" s="2"/>
      <c r="B2652" s="13"/>
      <c r="C2652" s="2"/>
      <c r="D2652" s="2"/>
      <c r="E2652" s="2"/>
      <c r="F2652" s="14"/>
      <c r="G2652" s="2"/>
      <c r="H2652" s="2"/>
    </row>
    <row r="2653">
      <c r="A2653" s="2"/>
      <c r="B2653" s="13"/>
      <c r="C2653" s="2"/>
      <c r="D2653" s="2"/>
      <c r="E2653" s="2"/>
      <c r="F2653" s="14"/>
      <c r="G2653" s="2"/>
      <c r="H2653" s="2"/>
    </row>
    <row r="2654">
      <c r="A2654" s="2"/>
      <c r="B2654" s="13"/>
      <c r="C2654" s="2"/>
      <c r="D2654" s="2"/>
      <c r="E2654" s="2"/>
      <c r="F2654" s="14"/>
      <c r="G2654" s="2"/>
      <c r="H2654" s="2"/>
    </row>
    <row r="2655">
      <c r="A2655" s="2"/>
      <c r="B2655" s="13"/>
      <c r="C2655" s="2"/>
      <c r="D2655" s="2"/>
      <c r="E2655" s="2"/>
      <c r="F2655" s="14"/>
      <c r="G2655" s="2"/>
      <c r="H2655" s="2"/>
    </row>
    <row r="2656">
      <c r="A2656" s="2"/>
      <c r="B2656" s="13"/>
      <c r="C2656" s="2"/>
      <c r="D2656" s="2"/>
      <c r="E2656" s="2"/>
      <c r="F2656" s="14"/>
      <c r="G2656" s="2"/>
      <c r="H2656" s="2"/>
    </row>
    <row r="2657">
      <c r="A2657" s="2"/>
      <c r="B2657" s="13"/>
      <c r="C2657" s="2"/>
      <c r="D2657" s="2"/>
      <c r="E2657" s="2"/>
      <c r="F2657" s="14"/>
      <c r="G2657" s="2"/>
      <c r="H2657" s="2"/>
    </row>
    <row r="2658">
      <c r="A2658" s="2"/>
      <c r="B2658" s="13"/>
      <c r="C2658" s="2"/>
      <c r="D2658" s="2"/>
      <c r="E2658" s="2"/>
      <c r="F2658" s="14"/>
      <c r="G2658" s="2"/>
      <c r="H2658" s="2"/>
    </row>
    <row r="2659">
      <c r="A2659" s="2"/>
      <c r="B2659" s="13"/>
      <c r="C2659" s="2"/>
      <c r="D2659" s="2"/>
      <c r="E2659" s="2"/>
      <c r="F2659" s="14"/>
      <c r="G2659" s="2"/>
      <c r="H2659" s="2"/>
    </row>
    <row r="2660">
      <c r="A2660" s="2"/>
      <c r="B2660" s="13"/>
      <c r="C2660" s="2"/>
      <c r="D2660" s="2"/>
      <c r="E2660" s="2"/>
      <c r="F2660" s="14"/>
      <c r="G2660" s="2"/>
      <c r="H2660" s="2"/>
    </row>
    <row r="2661">
      <c r="A2661" s="2"/>
      <c r="B2661" s="13"/>
      <c r="C2661" s="2"/>
      <c r="D2661" s="2"/>
      <c r="E2661" s="2"/>
      <c r="F2661" s="14"/>
      <c r="G2661" s="2"/>
      <c r="H2661" s="2"/>
    </row>
    <row r="2662">
      <c r="A2662" s="2"/>
      <c r="B2662" s="13"/>
      <c r="C2662" s="2"/>
      <c r="D2662" s="2"/>
      <c r="E2662" s="2"/>
      <c r="F2662" s="14"/>
      <c r="G2662" s="2"/>
      <c r="H2662" s="2"/>
    </row>
    <row r="2663">
      <c r="A2663" s="2"/>
      <c r="B2663" s="13"/>
      <c r="C2663" s="2"/>
      <c r="D2663" s="2"/>
      <c r="E2663" s="2"/>
      <c r="F2663" s="14"/>
      <c r="G2663" s="2"/>
      <c r="H2663" s="2"/>
    </row>
    <row r="2664">
      <c r="A2664" s="2"/>
      <c r="B2664" s="13"/>
      <c r="C2664" s="2"/>
      <c r="D2664" s="2"/>
      <c r="E2664" s="2"/>
      <c r="F2664" s="14"/>
      <c r="G2664" s="2"/>
      <c r="H2664" s="2"/>
    </row>
    <row r="2665">
      <c r="A2665" s="2"/>
      <c r="B2665" s="13"/>
      <c r="C2665" s="2"/>
      <c r="D2665" s="2"/>
      <c r="E2665" s="2"/>
      <c r="F2665" s="14"/>
      <c r="G2665" s="2"/>
      <c r="H2665" s="2"/>
    </row>
    <row r="2666">
      <c r="A2666" s="2"/>
      <c r="B2666" s="13"/>
      <c r="C2666" s="2"/>
      <c r="D2666" s="2"/>
      <c r="E2666" s="2"/>
      <c r="F2666" s="14"/>
      <c r="G2666" s="2"/>
      <c r="H2666" s="2"/>
    </row>
    <row r="2667">
      <c r="A2667" s="2"/>
      <c r="B2667" s="13"/>
      <c r="C2667" s="2"/>
      <c r="D2667" s="2"/>
      <c r="E2667" s="2"/>
      <c r="F2667" s="14"/>
      <c r="G2667" s="2"/>
      <c r="H2667" s="2"/>
    </row>
    <row r="2668">
      <c r="A2668" s="2"/>
      <c r="B2668" s="13"/>
      <c r="C2668" s="2"/>
      <c r="D2668" s="2"/>
      <c r="E2668" s="2"/>
      <c r="F2668" s="14"/>
      <c r="G2668" s="2"/>
      <c r="H2668" s="2"/>
    </row>
    <row r="2669">
      <c r="A2669" s="2"/>
      <c r="B2669" s="13"/>
      <c r="C2669" s="2"/>
      <c r="D2669" s="2"/>
      <c r="E2669" s="2"/>
      <c r="F2669" s="14"/>
      <c r="G2669" s="2"/>
      <c r="H2669" s="2"/>
    </row>
    <row r="2670">
      <c r="A2670" s="2"/>
      <c r="B2670" s="13"/>
      <c r="C2670" s="2"/>
      <c r="D2670" s="2"/>
      <c r="E2670" s="2"/>
      <c r="F2670" s="14"/>
      <c r="G2670" s="2"/>
      <c r="H2670" s="2"/>
    </row>
    <row r="2671">
      <c r="A2671" s="2"/>
      <c r="B2671" s="13"/>
      <c r="C2671" s="2"/>
      <c r="D2671" s="2"/>
      <c r="E2671" s="2"/>
      <c r="F2671" s="14"/>
      <c r="G2671" s="2"/>
      <c r="H2671" s="2"/>
    </row>
    <row r="2672">
      <c r="A2672" s="2"/>
      <c r="B2672" s="13"/>
      <c r="C2672" s="2"/>
      <c r="D2672" s="2"/>
      <c r="E2672" s="2"/>
      <c r="F2672" s="14"/>
      <c r="G2672" s="2"/>
      <c r="H2672" s="2"/>
    </row>
    <row r="2673">
      <c r="A2673" s="2"/>
      <c r="B2673" s="13"/>
      <c r="C2673" s="2"/>
      <c r="D2673" s="2"/>
      <c r="E2673" s="2"/>
      <c r="F2673" s="14"/>
      <c r="G2673" s="2"/>
      <c r="H2673" s="2"/>
    </row>
    <row r="2674">
      <c r="A2674" s="2"/>
      <c r="B2674" s="13"/>
      <c r="C2674" s="2"/>
      <c r="D2674" s="2"/>
      <c r="E2674" s="2"/>
      <c r="F2674" s="14"/>
      <c r="G2674" s="2"/>
      <c r="H2674" s="2"/>
    </row>
    <row r="2675">
      <c r="A2675" s="2"/>
      <c r="B2675" s="13"/>
      <c r="C2675" s="2"/>
      <c r="D2675" s="2"/>
      <c r="E2675" s="2"/>
      <c r="F2675" s="14"/>
      <c r="G2675" s="2"/>
      <c r="H2675" s="2"/>
    </row>
    <row r="2676">
      <c r="A2676" s="2"/>
      <c r="B2676" s="13"/>
      <c r="C2676" s="2"/>
      <c r="D2676" s="2"/>
      <c r="E2676" s="2"/>
      <c r="F2676" s="14"/>
      <c r="G2676" s="2"/>
      <c r="H2676" s="2"/>
    </row>
    <row r="2677">
      <c r="A2677" s="2"/>
      <c r="B2677" s="13"/>
      <c r="C2677" s="2"/>
      <c r="D2677" s="2"/>
      <c r="E2677" s="2"/>
      <c r="F2677" s="14"/>
      <c r="G2677" s="2"/>
      <c r="H2677" s="2"/>
    </row>
    <row r="2678">
      <c r="A2678" s="2"/>
      <c r="B2678" s="13"/>
      <c r="C2678" s="2"/>
      <c r="D2678" s="2"/>
      <c r="E2678" s="2"/>
      <c r="F2678" s="14"/>
      <c r="G2678" s="2"/>
      <c r="H2678" s="2"/>
    </row>
    <row r="2679">
      <c r="A2679" s="2"/>
      <c r="B2679" s="13"/>
      <c r="C2679" s="2"/>
      <c r="D2679" s="2"/>
      <c r="E2679" s="2"/>
      <c r="F2679" s="14"/>
      <c r="G2679" s="2"/>
      <c r="H2679" s="2"/>
    </row>
    <row r="2680">
      <c r="A2680" s="2"/>
      <c r="B2680" s="13"/>
      <c r="C2680" s="2"/>
      <c r="D2680" s="2"/>
      <c r="E2680" s="2"/>
      <c r="F2680" s="14"/>
      <c r="G2680" s="2"/>
      <c r="H2680" s="2"/>
    </row>
    <row r="2681">
      <c r="A2681" s="2"/>
      <c r="B2681" s="13"/>
      <c r="C2681" s="2"/>
      <c r="D2681" s="2"/>
      <c r="E2681" s="2"/>
      <c r="F2681" s="14"/>
      <c r="G2681" s="2"/>
      <c r="H2681" s="2"/>
    </row>
    <row r="2682">
      <c r="A2682" s="2"/>
      <c r="B2682" s="13"/>
      <c r="C2682" s="2"/>
      <c r="D2682" s="2"/>
      <c r="E2682" s="2"/>
      <c r="F2682" s="14"/>
      <c r="G2682" s="2"/>
      <c r="H2682" s="2"/>
    </row>
    <row r="2683">
      <c r="A2683" s="2"/>
      <c r="B2683" s="13"/>
      <c r="C2683" s="2"/>
      <c r="D2683" s="2"/>
      <c r="E2683" s="2"/>
      <c r="F2683" s="14"/>
      <c r="G2683" s="2"/>
      <c r="H2683" s="2"/>
    </row>
    <row r="2684">
      <c r="A2684" s="2"/>
      <c r="B2684" s="13"/>
      <c r="C2684" s="2"/>
      <c r="D2684" s="2"/>
      <c r="E2684" s="2"/>
      <c r="F2684" s="14"/>
      <c r="G2684" s="2"/>
      <c r="H2684" s="2"/>
    </row>
    <row r="2685">
      <c r="A2685" s="2"/>
      <c r="B2685" s="13"/>
      <c r="C2685" s="2"/>
      <c r="D2685" s="2"/>
      <c r="E2685" s="2"/>
      <c r="F2685" s="14"/>
      <c r="G2685" s="2"/>
      <c r="H2685" s="2"/>
    </row>
    <row r="2686">
      <c r="A2686" s="2"/>
      <c r="B2686" s="13"/>
      <c r="C2686" s="2"/>
      <c r="D2686" s="2"/>
      <c r="E2686" s="2"/>
      <c r="F2686" s="14"/>
      <c r="G2686" s="2"/>
      <c r="H2686" s="2"/>
    </row>
    <row r="2687">
      <c r="A2687" s="2"/>
      <c r="B2687" s="13"/>
      <c r="C2687" s="2"/>
      <c r="D2687" s="2"/>
      <c r="E2687" s="2"/>
      <c r="F2687" s="14"/>
      <c r="G2687" s="2"/>
      <c r="H2687" s="2"/>
    </row>
    <row r="2688">
      <c r="A2688" s="2"/>
      <c r="B2688" s="13"/>
      <c r="C2688" s="2"/>
      <c r="D2688" s="2"/>
      <c r="E2688" s="2"/>
      <c r="F2688" s="14"/>
      <c r="G2688" s="2"/>
      <c r="H2688" s="2"/>
    </row>
    <row r="2689">
      <c r="A2689" s="2"/>
      <c r="B2689" s="13"/>
      <c r="C2689" s="2"/>
      <c r="D2689" s="2"/>
      <c r="E2689" s="2"/>
      <c r="F2689" s="14"/>
      <c r="G2689" s="2"/>
      <c r="H2689" s="2"/>
    </row>
    <row r="2690">
      <c r="A2690" s="2"/>
      <c r="B2690" s="13"/>
      <c r="C2690" s="2"/>
      <c r="D2690" s="2"/>
      <c r="E2690" s="2"/>
      <c r="F2690" s="14"/>
      <c r="G2690" s="2"/>
      <c r="H2690" s="2"/>
    </row>
    <row r="2691">
      <c r="A2691" s="2"/>
      <c r="B2691" s="13"/>
      <c r="C2691" s="2"/>
      <c r="D2691" s="2"/>
      <c r="E2691" s="2"/>
      <c r="F2691" s="14"/>
      <c r="G2691" s="2"/>
      <c r="H2691" s="2"/>
    </row>
    <row r="2692">
      <c r="A2692" s="2"/>
      <c r="B2692" s="13"/>
      <c r="C2692" s="2"/>
      <c r="D2692" s="2"/>
      <c r="E2692" s="2"/>
      <c r="F2692" s="14"/>
      <c r="G2692" s="2"/>
      <c r="H2692" s="2"/>
    </row>
    <row r="2693">
      <c r="A2693" s="2"/>
      <c r="B2693" s="13"/>
      <c r="C2693" s="2"/>
      <c r="D2693" s="2"/>
      <c r="E2693" s="2"/>
      <c r="F2693" s="14"/>
      <c r="G2693" s="2"/>
      <c r="H2693" s="2"/>
    </row>
    <row r="2694">
      <c r="A2694" s="2"/>
      <c r="B2694" s="13"/>
      <c r="C2694" s="2"/>
      <c r="D2694" s="2"/>
      <c r="E2694" s="2"/>
      <c r="F2694" s="14"/>
      <c r="G2694" s="2"/>
      <c r="H2694" s="2"/>
    </row>
    <row r="2695">
      <c r="A2695" s="2"/>
      <c r="B2695" s="13"/>
      <c r="C2695" s="2"/>
      <c r="D2695" s="2"/>
      <c r="E2695" s="2"/>
      <c r="F2695" s="14"/>
      <c r="G2695" s="2"/>
      <c r="H2695" s="2"/>
    </row>
    <row r="2696">
      <c r="A2696" s="2"/>
      <c r="B2696" s="13"/>
      <c r="C2696" s="2"/>
      <c r="D2696" s="2"/>
      <c r="E2696" s="2"/>
      <c r="F2696" s="14"/>
      <c r="G2696" s="2"/>
      <c r="H2696" s="2"/>
    </row>
    <row r="2697">
      <c r="A2697" s="2"/>
      <c r="B2697" s="13"/>
      <c r="C2697" s="2"/>
      <c r="D2697" s="2"/>
      <c r="E2697" s="2"/>
      <c r="F2697" s="14"/>
      <c r="G2697" s="2"/>
      <c r="H2697" s="2"/>
    </row>
    <row r="2698">
      <c r="A2698" s="2"/>
      <c r="B2698" s="13"/>
      <c r="C2698" s="2"/>
      <c r="D2698" s="2"/>
      <c r="E2698" s="2"/>
      <c r="F2698" s="14"/>
      <c r="G2698" s="2"/>
      <c r="H2698" s="2"/>
    </row>
    <row r="2699">
      <c r="A2699" s="2"/>
      <c r="B2699" s="13"/>
      <c r="C2699" s="2"/>
      <c r="D2699" s="2"/>
      <c r="E2699" s="2"/>
      <c r="F2699" s="14"/>
      <c r="G2699" s="2"/>
      <c r="H2699" s="2"/>
    </row>
    <row r="2700">
      <c r="A2700" s="2"/>
      <c r="B2700" s="13"/>
      <c r="C2700" s="2"/>
      <c r="D2700" s="2"/>
      <c r="E2700" s="2"/>
      <c r="F2700" s="14"/>
      <c r="G2700" s="2"/>
      <c r="H2700" s="2"/>
    </row>
    <row r="2701">
      <c r="A2701" s="2"/>
      <c r="B2701" s="13"/>
      <c r="C2701" s="2"/>
      <c r="D2701" s="2"/>
      <c r="E2701" s="2"/>
      <c r="F2701" s="14"/>
      <c r="G2701" s="2"/>
      <c r="H2701" s="2"/>
    </row>
    <row r="2702">
      <c r="A2702" s="2"/>
      <c r="B2702" s="13"/>
      <c r="C2702" s="2"/>
      <c r="D2702" s="2"/>
      <c r="E2702" s="2"/>
      <c r="F2702" s="14"/>
      <c r="G2702" s="2"/>
      <c r="H2702" s="2"/>
    </row>
    <row r="2703">
      <c r="A2703" s="2"/>
      <c r="B2703" s="13"/>
      <c r="C2703" s="2"/>
      <c r="D2703" s="2"/>
      <c r="E2703" s="2"/>
      <c r="F2703" s="14"/>
      <c r="G2703" s="2"/>
      <c r="H2703" s="2"/>
    </row>
    <row r="2704">
      <c r="A2704" s="2"/>
      <c r="B2704" s="13"/>
      <c r="C2704" s="2"/>
      <c r="D2704" s="2"/>
      <c r="E2704" s="2"/>
      <c r="F2704" s="14"/>
      <c r="G2704" s="2"/>
      <c r="H2704" s="2"/>
    </row>
    <row r="2705">
      <c r="A2705" s="2"/>
      <c r="B2705" s="13"/>
      <c r="C2705" s="2"/>
      <c r="D2705" s="2"/>
      <c r="E2705" s="2"/>
      <c r="F2705" s="14"/>
      <c r="G2705" s="2"/>
      <c r="H2705" s="2"/>
    </row>
    <row r="2706">
      <c r="A2706" s="2"/>
      <c r="B2706" s="13"/>
      <c r="C2706" s="2"/>
      <c r="D2706" s="2"/>
      <c r="E2706" s="2"/>
      <c r="F2706" s="14"/>
      <c r="G2706" s="2"/>
      <c r="H2706" s="2"/>
    </row>
    <row r="2707">
      <c r="A2707" s="2"/>
      <c r="B2707" s="13"/>
      <c r="C2707" s="2"/>
      <c r="D2707" s="2"/>
      <c r="E2707" s="2"/>
      <c r="F2707" s="14"/>
      <c r="G2707" s="2"/>
      <c r="H2707" s="2"/>
    </row>
    <row r="2708">
      <c r="A2708" s="2"/>
      <c r="B2708" s="13"/>
      <c r="C2708" s="2"/>
      <c r="D2708" s="2"/>
      <c r="E2708" s="2"/>
      <c r="F2708" s="14"/>
      <c r="G2708" s="2"/>
      <c r="H2708" s="2"/>
    </row>
    <row r="2709">
      <c r="A2709" s="2"/>
      <c r="B2709" s="13"/>
      <c r="C2709" s="2"/>
      <c r="D2709" s="2"/>
      <c r="E2709" s="2"/>
      <c r="F2709" s="14"/>
      <c r="G2709" s="2"/>
      <c r="H2709" s="2"/>
    </row>
    <row r="2710">
      <c r="A2710" s="2"/>
      <c r="B2710" s="13"/>
      <c r="C2710" s="2"/>
      <c r="D2710" s="2"/>
      <c r="E2710" s="2"/>
      <c r="F2710" s="14"/>
      <c r="G2710" s="2"/>
      <c r="H2710" s="2"/>
    </row>
    <row r="2711">
      <c r="A2711" s="2"/>
      <c r="B2711" s="13"/>
      <c r="C2711" s="2"/>
      <c r="D2711" s="2"/>
      <c r="E2711" s="2"/>
      <c r="F2711" s="14"/>
      <c r="G2711" s="2"/>
      <c r="H2711" s="2"/>
    </row>
    <row r="2712">
      <c r="A2712" s="2"/>
      <c r="B2712" s="13"/>
      <c r="C2712" s="2"/>
      <c r="D2712" s="2"/>
      <c r="E2712" s="2"/>
      <c r="F2712" s="14"/>
      <c r="G2712" s="2"/>
      <c r="H2712" s="2"/>
    </row>
    <row r="2713">
      <c r="A2713" s="2"/>
      <c r="B2713" s="13"/>
      <c r="C2713" s="2"/>
      <c r="D2713" s="2"/>
      <c r="E2713" s="2"/>
      <c r="F2713" s="14"/>
      <c r="G2713" s="2"/>
      <c r="H2713" s="2"/>
    </row>
    <row r="2714">
      <c r="A2714" s="2"/>
      <c r="B2714" s="13"/>
      <c r="C2714" s="2"/>
      <c r="D2714" s="2"/>
      <c r="E2714" s="2"/>
      <c r="F2714" s="14"/>
      <c r="G2714" s="2"/>
      <c r="H2714" s="2"/>
    </row>
    <row r="2715">
      <c r="A2715" s="2"/>
      <c r="B2715" s="13"/>
      <c r="C2715" s="2"/>
      <c r="D2715" s="2"/>
      <c r="E2715" s="2"/>
      <c r="F2715" s="14"/>
      <c r="G2715" s="2"/>
      <c r="H2715" s="2"/>
    </row>
    <row r="2716">
      <c r="A2716" s="2"/>
      <c r="B2716" s="13"/>
      <c r="C2716" s="2"/>
      <c r="D2716" s="2"/>
      <c r="E2716" s="2"/>
      <c r="F2716" s="14"/>
      <c r="G2716" s="2"/>
      <c r="H2716" s="2"/>
    </row>
    <row r="2717">
      <c r="A2717" s="2"/>
      <c r="B2717" s="13"/>
      <c r="C2717" s="2"/>
      <c r="D2717" s="2"/>
      <c r="E2717" s="2"/>
      <c r="F2717" s="14"/>
      <c r="G2717" s="2"/>
      <c r="H2717" s="2"/>
    </row>
    <row r="2718">
      <c r="A2718" s="2"/>
      <c r="B2718" s="13"/>
      <c r="C2718" s="2"/>
      <c r="D2718" s="2"/>
      <c r="E2718" s="2"/>
      <c r="F2718" s="14"/>
      <c r="G2718" s="2"/>
      <c r="H2718" s="2"/>
    </row>
    <row r="2719">
      <c r="A2719" s="2"/>
      <c r="B2719" s="13"/>
      <c r="C2719" s="2"/>
      <c r="D2719" s="2"/>
      <c r="E2719" s="2"/>
      <c r="F2719" s="14"/>
      <c r="G2719" s="2"/>
      <c r="H2719" s="2"/>
    </row>
    <row r="2720">
      <c r="A2720" s="2"/>
      <c r="B2720" s="13"/>
      <c r="C2720" s="2"/>
      <c r="D2720" s="2"/>
      <c r="E2720" s="2"/>
      <c r="F2720" s="14"/>
      <c r="G2720" s="2"/>
      <c r="H2720" s="2"/>
    </row>
    <row r="2721">
      <c r="A2721" s="2"/>
      <c r="B2721" s="13"/>
      <c r="C2721" s="2"/>
      <c r="D2721" s="2"/>
      <c r="E2721" s="2"/>
      <c r="F2721" s="14"/>
      <c r="G2721" s="2"/>
      <c r="H2721" s="2"/>
    </row>
    <row r="2722">
      <c r="A2722" s="2"/>
      <c r="B2722" s="13"/>
      <c r="C2722" s="2"/>
      <c r="D2722" s="2"/>
      <c r="E2722" s="2"/>
      <c r="F2722" s="14"/>
      <c r="G2722" s="2"/>
      <c r="H2722" s="2"/>
    </row>
    <row r="2723">
      <c r="A2723" s="2"/>
      <c r="B2723" s="13"/>
      <c r="C2723" s="2"/>
      <c r="D2723" s="2"/>
      <c r="E2723" s="2"/>
      <c r="F2723" s="14"/>
      <c r="G2723" s="2"/>
      <c r="H2723" s="2"/>
    </row>
    <row r="2724">
      <c r="A2724" s="2"/>
      <c r="B2724" s="13"/>
      <c r="C2724" s="2"/>
      <c r="D2724" s="2"/>
      <c r="E2724" s="2"/>
      <c r="F2724" s="14"/>
      <c r="G2724" s="2"/>
      <c r="H2724" s="2"/>
    </row>
    <row r="2725">
      <c r="A2725" s="2"/>
      <c r="B2725" s="13"/>
      <c r="C2725" s="2"/>
      <c r="D2725" s="2"/>
      <c r="E2725" s="2"/>
      <c r="F2725" s="14"/>
      <c r="G2725" s="2"/>
      <c r="H2725" s="2"/>
    </row>
    <row r="2726">
      <c r="A2726" s="2"/>
      <c r="B2726" s="13"/>
      <c r="C2726" s="2"/>
      <c r="D2726" s="2"/>
      <c r="E2726" s="2"/>
      <c r="F2726" s="14"/>
      <c r="G2726" s="2"/>
      <c r="H2726" s="2"/>
    </row>
    <row r="2727">
      <c r="A2727" s="2"/>
      <c r="B2727" s="13"/>
      <c r="C2727" s="2"/>
      <c r="D2727" s="2"/>
      <c r="E2727" s="2"/>
      <c r="F2727" s="14"/>
      <c r="G2727" s="2"/>
      <c r="H2727" s="2"/>
    </row>
    <row r="2728">
      <c r="A2728" s="2"/>
      <c r="B2728" s="13"/>
      <c r="C2728" s="2"/>
      <c r="D2728" s="2"/>
      <c r="E2728" s="2"/>
      <c r="F2728" s="14"/>
      <c r="G2728" s="2"/>
      <c r="H2728" s="2"/>
    </row>
    <row r="2729">
      <c r="A2729" s="2"/>
      <c r="B2729" s="13"/>
      <c r="C2729" s="2"/>
      <c r="D2729" s="2"/>
      <c r="E2729" s="2"/>
      <c r="F2729" s="14"/>
      <c r="G2729" s="2"/>
      <c r="H2729" s="2"/>
    </row>
    <row r="2730">
      <c r="A2730" s="2"/>
      <c r="B2730" s="13"/>
      <c r="C2730" s="2"/>
      <c r="D2730" s="2"/>
      <c r="E2730" s="2"/>
      <c r="F2730" s="14"/>
      <c r="G2730" s="2"/>
      <c r="H2730" s="2"/>
    </row>
    <row r="2731">
      <c r="A2731" s="2"/>
      <c r="B2731" s="13"/>
      <c r="C2731" s="2"/>
      <c r="D2731" s="2"/>
      <c r="E2731" s="2"/>
      <c r="F2731" s="14"/>
      <c r="G2731" s="2"/>
      <c r="H2731" s="2"/>
    </row>
    <row r="2732">
      <c r="A2732" s="2"/>
      <c r="B2732" s="13"/>
      <c r="C2732" s="2"/>
      <c r="D2732" s="2"/>
      <c r="E2732" s="2"/>
      <c r="F2732" s="14"/>
      <c r="G2732" s="2"/>
      <c r="H2732" s="2"/>
    </row>
    <row r="2733">
      <c r="A2733" s="2"/>
      <c r="B2733" s="13"/>
      <c r="C2733" s="2"/>
      <c r="D2733" s="2"/>
      <c r="E2733" s="2"/>
      <c r="F2733" s="14"/>
      <c r="G2733" s="2"/>
      <c r="H2733" s="2"/>
    </row>
    <row r="2734">
      <c r="A2734" s="2"/>
      <c r="B2734" s="13"/>
      <c r="C2734" s="2"/>
      <c r="D2734" s="2"/>
      <c r="E2734" s="2"/>
      <c r="F2734" s="14"/>
      <c r="G2734" s="2"/>
      <c r="H2734" s="2"/>
    </row>
    <row r="2735">
      <c r="A2735" s="2"/>
      <c r="B2735" s="13"/>
      <c r="C2735" s="2"/>
      <c r="D2735" s="2"/>
      <c r="E2735" s="2"/>
      <c r="F2735" s="14"/>
      <c r="G2735" s="2"/>
      <c r="H2735" s="2"/>
    </row>
    <row r="2736">
      <c r="A2736" s="2"/>
      <c r="B2736" s="13"/>
      <c r="C2736" s="2"/>
      <c r="D2736" s="2"/>
      <c r="E2736" s="2"/>
      <c r="F2736" s="14"/>
      <c r="G2736" s="2"/>
      <c r="H2736" s="2"/>
    </row>
    <row r="2737">
      <c r="A2737" s="2"/>
      <c r="B2737" s="13"/>
      <c r="C2737" s="2"/>
      <c r="D2737" s="2"/>
      <c r="E2737" s="2"/>
      <c r="F2737" s="14"/>
      <c r="G2737" s="2"/>
      <c r="H2737" s="2"/>
    </row>
    <row r="2738">
      <c r="A2738" s="2"/>
      <c r="B2738" s="13"/>
      <c r="C2738" s="2"/>
      <c r="D2738" s="2"/>
      <c r="E2738" s="2"/>
      <c r="F2738" s="14"/>
      <c r="G2738" s="2"/>
      <c r="H2738" s="2"/>
    </row>
    <row r="2739">
      <c r="A2739" s="2"/>
      <c r="B2739" s="13"/>
      <c r="C2739" s="2"/>
      <c r="D2739" s="2"/>
      <c r="E2739" s="2"/>
      <c r="F2739" s="14"/>
      <c r="G2739" s="2"/>
      <c r="H2739" s="2"/>
    </row>
    <row r="2740">
      <c r="A2740" s="2"/>
      <c r="B2740" s="13"/>
      <c r="C2740" s="2"/>
      <c r="D2740" s="2"/>
      <c r="E2740" s="2"/>
      <c r="F2740" s="14"/>
      <c r="G2740" s="2"/>
      <c r="H2740" s="2"/>
    </row>
    <row r="2741">
      <c r="A2741" s="2"/>
      <c r="B2741" s="13"/>
      <c r="C2741" s="2"/>
      <c r="D2741" s="2"/>
      <c r="E2741" s="2"/>
      <c r="F2741" s="14"/>
      <c r="G2741" s="2"/>
      <c r="H2741" s="2"/>
    </row>
    <row r="2742">
      <c r="A2742" s="2"/>
      <c r="B2742" s="13"/>
      <c r="C2742" s="2"/>
      <c r="D2742" s="2"/>
      <c r="E2742" s="2"/>
      <c r="F2742" s="14"/>
      <c r="G2742" s="2"/>
      <c r="H2742" s="2"/>
    </row>
    <row r="2743">
      <c r="A2743" s="2"/>
      <c r="B2743" s="13"/>
      <c r="C2743" s="2"/>
      <c r="D2743" s="2"/>
      <c r="E2743" s="2"/>
      <c r="F2743" s="14"/>
      <c r="G2743" s="2"/>
      <c r="H2743" s="2"/>
    </row>
    <row r="2744">
      <c r="A2744" s="2"/>
      <c r="B2744" s="13"/>
      <c r="C2744" s="2"/>
      <c r="D2744" s="2"/>
      <c r="E2744" s="2"/>
      <c r="F2744" s="14"/>
      <c r="G2744" s="2"/>
      <c r="H2744" s="2"/>
    </row>
    <row r="2745">
      <c r="A2745" s="2"/>
      <c r="B2745" s="13"/>
      <c r="C2745" s="2"/>
      <c r="D2745" s="2"/>
      <c r="E2745" s="2"/>
      <c r="F2745" s="14"/>
      <c r="G2745" s="2"/>
      <c r="H2745" s="2"/>
    </row>
    <row r="2746">
      <c r="A2746" s="2"/>
      <c r="B2746" s="13"/>
      <c r="C2746" s="2"/>
      <c r="D2746" s="2"/>
      <c r="E2746" s="2"/>
      <c r="F2746" s="14"/>
      <c r="G2746" s="2"/>
      <c r="H2746" s="2"/>
    </row>
    <row r="2747">
      <c r="A2747" s="2"/>
      <c r="B2747" s="13"/>
      <c r="C2747" s="2"/>
      <c r="D2747" s="2"/>
      <c r="E2747" s="2"/>
      <c r="F2747" s="14"/>
      <c r="G2747" s="2"/>
      <c r="H2747" s="2"/>
    </row>
    <row r="2748">
      <c r="A2748" s="2"/>
      <c r="B2748" s="13"/>
      <c r="C2748" s="2"/>
      <c r="D2748" s="2"/>
      <c r="E2748" s="2"/>
      <c r="F2748" s="14"/>
      <c r="G2748" s="2"/>
      <c r="H2748" s="2"/>
    </row>
    <row r="2749">
      <c r="A2749" s="2"/>
      <c r="B2749" s="13"/>
      <c r="C2749" s="2"/>
      <c r="D2749" s="2"/>
      <c r="E2749" s="2"/>
      <c r="F2749" s="14"/>
      <c r="G2749" s="2"/>
      <c r="H2749" s="2"/>
    </row>
    <row r="2750">
      <c r="A2750" s="2"/>
      <c r="B2750" s="13"/>
      <c r="C2750" s="2"/>
      <c r="D2750" s="2"/>
      <c r="E2750" s="2"/>
      <c r="F2750" s="14"/>
      <c r="G2750" s="2"/>
      <c r="H2750" s="2"/>
    </row>
    <row r="2751">
      <c r="A2751" s="2"/>
      <c r="B2751" s="13"/>
      <c r="C2751" s="2"/>
      <c r="D2751" s="2"/>
      <c r="E2751" s="2"/>
      <c r="F2751" s="14"/>
      <c r="G2751" s="2"/>
      <c r="H2751" s="2"/>
    </row>
    <row r="2752">
      <c r="A2752" s="2"/>
      <c r="B2752" s="13"/>
      <c r="C2752" s="2"/>
      <c r="D2752" s="2"/>
      <c r="E2752" s="2"/>
      <c r="F2752" s="14"/>
      <c r="G2752" s="2"/>
      <c r="H2752" s="2"/>
    </row>
    <row r="2753">
      <c r="A2753" s="2"/>
      <c r="B2753" s="13"/>
      <c r="C2753" s="2"/>
      <c r="D2753" s="2"/>
      <c r="E2753" s="2"/>
      <c r="F2753" s="14"/>
      <c r="G2753" s="2"/>
      <c r="H2753" s="2"/>
    </row>
    <row r="2754">
      <c r="A2754" s="2"/>
      <c r="B2754" s="13"/>
      <c r="C2754" s="2"/>
      <c r="D2754" s="2"/>
      <c r="E2754" s="2"/>
      <c r="F2754" s="14"/>
      <c r="G2754" s="2"/>
      <c r="H2754" s="2"/>
    </row>
    <row r="2755">
      <c r="A2755" s="2"/>
      <c r="B2755" s="13"/>
      <c r="C2755" s="2"/>
      <c r="D2755" s="2"/>
      <c r="E2755" s="2"/>
      <c r="F2755" s="14"/>
      <c r="G2755" s="2"/>
      <c r="H2755" s="2"/>
    </row>
    <row r="2756">
      <c r="A2756" s="2"/>
      <c r="B2756" s="13"/>
      <c r="C2756" s="2"/>
      <c r="D2756" s="2"/>
      <c r="E2756" s="2"/>
      <c r="F2756" s="14"/>
      <c r="G2756" s="2"/>
      <c r="H2756" s="2"/>
    </row>
    <row r="2757">
      <c r="A2757" s="2"/>
      <c r="B2757" s="13"/>
      <c r="C2757" s="2"/>
      <c r="D2757" s="2"/>
      <c r="E2757" s="2"/>
      <c r="F2757" s="14"/>
      <c r="G2757" s="2"/>
      <c r="H2757" s="2"/>
    </row>
    <row r="2758">
      <c r="A2758" s="2"/>
      <c r="B2758" s="13"/>
      <c r="C2758" s="2"/>
      <c r="D2758" s="2"/>
      <c r="E2758" s="2"/>
      <c r="F2758" s="14"/>
      <c r="G2758" s="2"/>
      <c r="H2758" s="2"/>
    </row>
    <row r="2759">
      <c r="A2759" s="2"/>
      <c r="B2759" s="13"/>
      <c r="C2759" s="2"/>
      <c r="D2759" s="2"/>
      <c r="E2759" s="2"/>
      <c r="F2759" s="14"/>
      <c r="G2759" s="2"/>
      <c r="H2759" s="2"/>
    </row>
    <row r="2760">
      <c r="A2760" s="2"/>
      <c r="B2760" s="13"/>
      <c r="C2760" s="2"/>
      <c r="D2760" s="2"/>
      <c r="E2760" s="2"/>
      <c r="F2760" s="14"/>
      <c r="G2760" s="2"/>
      <c r="H2760" s="2"/>
    </row>
    <row r="2761">
      <c r="A2761" s="2"/>
      <c r="B2761" s="13"/>
      <c r="C2761" s="2"/>
      <c r="D2761" s="2"/>
      <c r="E2761" s="2"/>
      <c r="F2761" s="14"/>
      <c r="G2761" s="2"/>
      <c r="H2761" s="2"/>
    </row>
    <row r="2762">
      <c r="A2762" s="2"/>
      <c r="B2762" s="13"/>
      <c r="C2762" s="2"/>
      <c r="D2762" s="2"/>
      <c r="E2762" s="2"/>
      <c r="F2762" s="14"/>
      <c r="G2762" s="2"/>
      <c r="H2762" s="2"/>
    </row>
    <row r="2763">
      <c r="A2763" s="2"/>
      <c r="B2763" s="13"/>
      <c r="C2763" s="2"/>
      <c r="D2763" s="2"/>
      <c r="E2763" s="2"/>
      <c r="F2763" s="14"/>
      <c r="G2763" s="2"/>
      <c r="H2763" s="2"/>
    </row>
    <row r="2764">
      <c r="A2764" s="2"/>
      <c r="B2764" s="13"/>
      <c r="C2764" s="2"/>
      <c r="D2764" s="2"/>
      <c r="E2764" s="2"/>
      <c r="F2764" s="14"/>
      <c r="G2764" s="2"/>
      <c r="H2764" s="2"/>
    </row>
    <row r="2765">
      <c r="A2765" s="2"/>
      <c r="B2765" s="13"/>
      <c r="C2765" s="2"/>
      <c r="D2765" s="2"/>
      <c r="E2765" s="2"/>
      <c r="F2765" s="14"/>
      <c r="G2765" s="2"/>
      <c r="H2765" s="2"/>
    </row>
    <row r="2766">
      <c r="A2766" s="2"/>
      <c r="B2766" s="13"/>
      <c r="C2766" s="2"/>
      <c r="D2766" s="2"/>
      <c r="E2766" s="2"/>
      <c r="F2766" s="14"/>
      <c r="G2766" s="2"/>
      <c r="H2766" s="2"/>
    </row>
    <row r="2767">
      <c r="A2767" s="2"/>
      <c r="B2767" s="13"/>
      <c r="C2767" s="2"/>
      <c r="D2767" s="2"/>
      <c r="E2767" s="2"/>
      <c r="F2767" s="14"/>
      <c r="G2767" s="2"/>
      <c r="H2767" s="2"/>
    </row>
    <row r="2768">
      <c r="A2768" s="2"/>
      <c r="B2768" s="13"/>
      <c r="C2768" s="2"/>
      <c r="D2768" s="2"/>
      <c r="E2768" s="2"/>
      <c r="F2768" s="14"/>
      <c r="G2768" s="2"/>
      <c r="H2768" s="2"/>
    </row>
    <row r="2769">
      <c r="A2769" s="2"/>
      <c r="B2769" s="13"/>
      <c r="C2769" s="2"/>
      <c r="D2769" s="2"/>
      <c r="E2769" s="2"/>
      <c r="F2769" s="14"/>
      <c r="G2769" s="2"/>
      <c r="H2769" s="2"/>
    </row>
    <row r="2770">
      <c r="A2770" s="2"/>
      <c r="B2770" s="13"/>
      <c r="C2770" s="2"/>
      <c r="D2770" s="2"/>
      <c r="E2770" s="2"/>
      <c r="F2770" s="14"/>
      <c r="G2770" s="2"/>
      <c r="H2770" s="2"/>
    </row>
    <row r="2771">
      <c r="A2771" s="2"/>
      <c r="B2771" s="13"/>
      <c r="C2771" s="2"/>
      <c r="D2771" s="2"/>
      <c r="E2771" s="2"/>
      <c r="F2771" s="14"/>
      <c r="G2771" s="2"/>
      <c r="H2771" s="2"/>
    </row>
    <row r="2772">
      <c r="A2772" s="2"/>
      <c r="B2772" s="13"/>
      <c r="C2772" s="2"/>
      <c r="D2772" s="2"/>
      <c r="E2772" s="2"/>
      <c r="F2772" s="14"/>
      <c r="G2772" s="2"/>
      <c r="H2772" s="2"/>
    </row>
    <row r="2773">
      <c r="A2773" s="2"/>
      <c r="B2773" s="13"/>
      <c r="C2773" s="2"/>
      <c r="D2773" s="2"/>
      <c r="E2773" s="2"/>
      <c r="F2773" s="14"/>
      <c r="G2773" s="2"/>
      <c r="H2773" s="2"/>
    </row>
    <row r="2774">
      <c r="A2774" s="2"/>
      <c r="B2774" s="13"/>
      <c r="C2774" s="2"/>
      <c r="D2774" s="2"/>
      <c r="E2774" s="2"/>
      <c r="F2774" s="14"/>
      <c r="G2774" s="2"/>
      <c r="H2774" s="2"/>
    </row>
    <row r="2775">
      <c r="A2775" s="2"/>
      <c r="B2775" s="13"/>
      <c r="C2775" s="2"/>
      <c r="D2775" s="2"/>
      <c r="E2775" s="2"/>
      <c r="F2775" s="14"/>
      <c r="G2775" s="2"/>
      <c r="H2775" s="2"/>
    </row>
    <row r="2776">
      <c r="A2776" s="2"/>
      <c r="B2776" s="13"/>
      <c r="C2776" s="2"/>
      <c r="D2776" s="2"/>
      <c r="E2776" s="2"/>
      <c r="F2776" s="14"/>
      <c r="G2776" s="2"/>
      <c r="H2776" s="2"/>
    </row>
    <row r="2777">
      <c r="A2777" s="2"/>
      <c r="B2777" s="13"/>
      <c r="C2777" s="2"/>
      <c r="D2777" s="2"/>
      <c r="E2777" s="2"/>
      <c r="F2777" s="14"/>
      <c r="G2777" s="2"/>
      <c r="H2777" s="2"/>
    </row>
    <row r="2778">
      <c r="A2778" s="2"/>
      <c r="B2778" s="13"/>
      <c r="C2778" s="2"/>
      <c r="D2778" s="2"/>
      <c r="E2778" s="2"/>
      <c r="F2778" s="14"/>
      <c r="G2778" s="2"/>
      <c r="H2778" s="2"/>
    </row>
    <row r="2779">
      <c r="A2779" s="2"/>
      <c r="B2779" s="13"/>
      <c r="C2779" s="2"/>
      <c r="D2779" s="2"/>
      <c r="E2779" s="2"/>
      <c r="F2779" s="14"/>
      <c r="G2779" s="2"/>
      <c r="H2779" s="2"/>
    </row>
    <row r="2780">
      <c r="A2780" s="2"/>
      <c r="B2780" s="13"/>
      <c r="C2780" s="2"/>
      <c r="D2780" s="2"/>
      <c r="E2780" s="2"/>
      <c r="F2780" s="14"/>
      <c r="G2780" s="2"/>
      <c r="H2780" s="2"/>
    </row>
    <row r="2781">
      <c r="A2781" s="2"/>
      <c r="B2781" s="13"/>
      <c r="C2781" s="2"/>
      <c r="D2781" s="2"/>
      <c r="E2781" s="2"/>
      <c r="F2781" s="14"/>
      <c r="G2781" s="2"/>
      <c r="H2781" s="2"/>
    </row>
    <row r="2782">
      <c r="A2782" s="2"/>
      <c r="B2782" s="13"/>
      <c r="C2782" s="2"/>
      <c r="D2782" s="2"/>
      <c r="E2782" s="2"/>
      <c r="F2782" s="14"/>
      <c r="G2782" s="2"/>
      <c r="H2782" s="2"/>
    </row>
    <row r="2783">
      <c r="A2783" s="2"/>
      <c r="B2783" s="13"/>
      <c r="C2783" s="2"/>
      <c r="D2783" s="2"/>
      <c r="E2783" s="2"/>
      <c r="F2783" s="14"/>
      <c r="G2783" s="2"/>
      <c r="H2783" s="2"/>
    </row>
    <row r="2784">
      <c r="A2784" s="2"/>
      <c r="B2784" s="13"/>
      <c r="C2784" s="2"/>
      <c r="D2784" s="2"/>
      <c r="E2784" s="2"/>
      <c r="F2784" s="14"/>
      <c r="G2784" s="2"/>
      <c r="H2784" s="2"/>
    </row>
    <row r="2785">
      <c r="A2785" s="2"/>
      <c r="B2785" s="13"/>
      <c r="C2785" s="2"/>
      <c r="D2785" s="2"/>
      <c r="E2785" s="2"/>
      <c r="F2785" s="14"/>
      <c r="G2785" s="2"/>
      <c r="H2785" s="2"/>
    </row>
    <row r="2786">
      <c r="A2786" s="2"/>
      <c r="B2786" s="13"/>
      <c r="C2786" s="2"/>
      <c r="D2786" s="2"/>
      <c r="E2786" s="2"/>
      <c r="F2786" s="14"/>
      <c r="G2786" s="2"/>
      <c r="H2786" s="2"/>
    </row>
    <row r="2787">
      <c r="A2787" s="2"/>
      <c r="B2787" s="13"/>
      <c r="C2787" s="2"/>
      <c r="D2787" s="2"/>
      <c r="E2787" s="2"/>
      <c r="F2787" s="14"/>
      <c r="G2787" s="2"/>
      <c r="H2787" s="2"/>
    </row>
    <row r="2788">
      <c r="A2788" s="2"/>
      <c r="B2788" s="13"/>
      <c r="C2788" s="2"/>
      <c r="D2788" s="2"/>
      <c r="E2788" s="2"/>
      <c r="F2788" s="14"/>
      <c r="G2788" s="2"/>
      <c r="H2788" s="2"/>
    </row>
    <row r="2789">
      <c r="A2789" s="2"/>
      <c r="B2789" s="13"/>
      <c r="C2789" s="2"/>
      <c r="D2789" s="2"/>
      <c r="E2789" s="2"/>
      <c r="F2789" s="14"/>
      <c r="G2789" s="2"/>
      <c r="H2789" s="2"/>
    </row>
    <row r="2790">
      <c r="A2790" s="2"/>
      <c r="B2790" s="13"/>
      <c r="C2790" s="2"/>
      <c r="D2790" s="2"/>
      <c r="E2790" s="2"/>
      <c r="F2790" s="14"/>
      <c r="G2790" s="2"/>
      <c r="H2790" s="2"/>
    </row>
    <row r="2791">
      <c r="A2791" s="2"/>
      <c r="B2791" s="13"/>
      <c r="C2791" s="2"/>
      <c r="D2791" s="2"/>
      <c r="E2791" s="2"/>
      <c r="F2791" s="14"/>
      <c r="G2791" s="2"/>
      <c r="H2791" s="2"/>
    </row>
    <row r="2792">
      <c r="A2792" s="2"/>
      <c r="B2792" s="13"/>
      <c r="C2792" s="2"/>
      <c r="D2792" s="2"/>
      <c r="E2792" s="2"/>
      <c r="F2792" s="14"/>
      <c r="G2792" s="2"/>
      <c r="H2792" s="2"/>
    </row>
    <row r="2793">
      <c r="A2793" s="2"/>
      <c r="B2793" s="13"/>
      <c r="C2793" s="2"/>
      <c r="D2793" s="2"/>
      <c r="E2793" s="2"/>
      <c r="F2793" s="14"/>
      <c r="G2793" s="2"/>
      <c r="H2793" s="2"/>
    </row>
    <row r="2794">
      <c r="A2794" s="2"/>
      <c r="B2794" s="13"/>
      <c r="C2794" s="2"/>
      <c r="D2794" s="2"/>
      <c r="E2794" s="2"/>
      <c r="F2794" s="14"/>
      <c r="G2794" s="2"/>
      <c r="H2794" s="2"/>
    </row>
    <row r="2795">
      <c r="A2795" s="2"/>
      <c r="B2795" s="13"/>
      <c r="C2795" s="2"/>
      <c r="D2795" s="2"/>
      <c r="E2795" s="2"/>
      <c r="F2795" s="14"/>
      <c r="G2795" s="2"/>
      <c r="H2795" s="2"/>
    </row>
    <row r="2796">
      <c r="A2796" s="2"/>
      <c r="B2796" s="13"/>
      <c r="C2796" s="2"/>
      <c r="D2796" s="2"/>
      <c r="E2796" s="2"/>
      <c r="F2796" s="14"/>
      <c r="G2796" s="2"/>
      <c r="H2796" s="2"/>
    </row>
    <row r="2797">
      <c r="A2797" s="2"/>
      <c r="B2797" s="13"/>
      <c r="C2797" s="2"/>
      <c r="D2797" s="2"/>
      <c r="E2797" s="2"/>
      <c r="F2797" s="14"/>
      <c r="G2797" s="2"/>
      <c r="H2797" s="2"/>
    </row>
    <row r="2798">
      <c r="A2798" s="2"/>
      <c r="B2798" s="13"/>
      <c r="C2798" s="2"/>
      <c r="D2798" s="2"/>
      <c r="E2798" s="2"/>
      <c r="F2798" s="14"/>
      <c r="G2798" s="2"/>
      <c r="H2798" s="2"/>
    </row>
    <row r="2799">
      <c r="A2799" s="2"/>
      <c r="B2799" s="13"/>
      <c r="C2799" s="2"/>
      <c r="D2799" s="2"/>
      <c r="E2799" s="2"/>
      <c r="F2799" s="14"/>
      <c r="G2799" s="2"/>
      <c r="H2799" s="2"/>
    </row>
    <row r="2800">
      <c r="A2800" s="2"/>
      <c r="B2800" s="13"/>
      <c r="C2800" s="2"/>
      <c r="D2800" s="2"/>
      <c r="E2800" s="2"/>
      <c r="F2800" s="14"/>
      <c r="G2800" s="2"/>
      <c r="H2800" s="2"/>
    </row>
    <row r="2801">
      <c r="A2801" s="2"/>
      <c r="B2801" s="13"/>
      <c r="C2801" s="2"/>
      <c r="D2801" s="2"/>
      <c r="E2801" s="2"/>
      <c r="F2801" s="14"/>
      <c r="G2801" s="2"/>
      <c r="H2801" s="2"/>
    </row>
    <row r="2802">
      <c r="A2802" s="2"/>
      <c r="B2802" s="13"/>
      <c r="C2802" s="2"/>
      <c r="D2802" s="2"/>
      <c r="E2802" s="2"/>
      <c r="F2802" s="14"/>
      <c r="G2802" s="2"/>
      <c r="H2802" s="2"/>
    </row>
    <row r="2803">
      <c r="A2803" s="2"/>
      <c r="B2803" s="13"/>
      <c r="C2803" s="2"/>
      <c r="D2803" s="2"/>
      <c r="E2803" s="2"/>
      <c r="F2803" s="14"/>
      <c r="G2803" s="2"/>
      <c r="H2803" s="2"/>
    </row>
    <row r="2804">
      <c r="A2804" s="2"/>
      <c r="B2804" s="13"/>
      <c r="C2804" s="2"/>
      <c r="D2804" s="2"/>
      <c r="E2804" s="2"/>
      <c r="F2804" s="14"/>
      <c r="G2804" s="2"/>
      <c r="H2804" s="2"/>
    </row>
    <row r="2805">
      <c r="A2805" s="2"/>
      <c r="B2805" s="13"/>
      <c r="C2805" s="2"/>
      <c r="D2805" s="2"/>
      <c r="E2805" s="2"/>
      <c r="F2805" s="14"/>
      <c r="G2805" s="2"/>
      <c r="H2805" s="2"/>
    </row>
    <row r="2806">
      <c r="A2806" s="2"/>
      <c r="B2806" s="13"/>
      <c r="C2806" s="2"/>
      <c r="D2806" s="2"/>
      <c r="E2806" s="2"/>
      <c r="F2806" s="14"/>
      <c r="G2806" s="2"/>
      <c r="H2806" s="2"/>
    </row>
    <row r="2807">
      <c r="A2807" s="2"/>
      <c r="B2807" s="13"/>
      <c r="C2807" s="2"/>
      <c r="D2807" s="2"/>
      <c r="E2807" s="2"/>
      <c r="F2807" s="14"/>
      <c r="G2807" s="2"/>
      <c r="H2807" s="2"/>
    </row>
    <row r="2808">
      <c r="A2808" s="2"/>
      <c r="B2808" s="13"/>
      <c r="C2808" s="2"/>
      <c r="D2808" s="2"/>
      <c r="E2808" s="2"/>
      <c r="F2808" s="14"/>
      <c r="G2808" s="2"/>
      <c r="H2808" s="2"/>
    </row>
    <row r="2809">
      <c r="A2809" s="2"/>
      <c r="B2809" s="13"/>
      <c r="C2809" s="2"/>
      <c r="D2809" s="2"/>
      <c r="E2809" s="2"/>
      <c r="F2809" s="14"/>
      <c r="G2809" s="2"/>
      <c r="H2809" s="2"/>
    </row>
    <row r="2810">
      <c r="A2810" s="2"/>
      <c r="B2810" s="13"/>
      <c r="C2810" s="2"/>
      <c r="D2810" s="2"/>
      <c r="E2810" s="2"/>
      <c r="F2810" s="14"/>
      <c r="G2810" s="2"/>
      <c r="H2810" s="2"/>
    </row>
    <row r="2811">
      <c r="A2811" s="2"/>
      <c r="B2811" s="13"/>
      <c r="C2811" s="2"/>
      <c r="D2811" s="2"/>
      <c r="E2811" s="2"/>
      <c r="F2811" s="14"/>
      <c r="G2811" s="2"/>
      <c r="H2811" s="2"/>
    </row>
    <row r="2812">
      <c r="A2812" s="2"/>
      <c r="B2812" s="13"/>
      <c r="C2812" s="2"/>
      <c r="D2812" s="2"/>
      <c r="E2812" s="2"/>
      <c r="F2812" s="14"/>
      <c r="G2812" s="2"/>
      <c r="H2812" s="2"/>
    </row>
    <row r="2813">
      <c r="A2813" s="2"/>
      <c r="B2813" s="13"/>
      <c r="C2813" s="2"/>
      <c r="D2813" s="2"/>
      <c r="E2813" s="2"/>
      <c r="F2813" s="14"/>
      <c r="G2813" s="2"/>
      <c r="H2813" s="2"/>
    </row>
    <row r="2814">
      <c r="A2814" s="2"/>
      <c r="B2814" s="13"/>
      <c r="C2814" s="2"/>
      <c r="D2814" s="2"/>
      <c r="E2814" s="2"/>
      <c r="F2814" s="14"/>
      <c r="G2814" s="2"/>
      <c r="H2814" s="2"/>
    </row>
    <row r="2815">
      <c r="A2815" s="2"/>
      <c r="B2815" s="13"/>
      <c r="C2815" s="2"/>
      <c r="D2815" s="2"/>
      <c r="E2815" s="2"/>
      <c r="F2815" s="14"/>
      <c r="G2815" s="2"/>
      <c r="H2815" s="2"/>
    </row>
    <row r="2816">
      <c r="A2816" s="2"/>
      <c r="B2816" s="13"/>
      <c r="C2816" s="2"/>
      <c r="D2816" s="2"/>
      <c r="E2816" s="2"/>
      <c r="F2816" s="14"/>
      <c r="G2816" s="2"/>
      <c r="H2816" s="2"/>
    </row>
    <row r="2817">
      <c r="A2817" s="2"/>
      <c r="B2817" s="13"/>
      <c r="C2817" s="2"/>
      <c r="D2817" s="2"/>
      <c r="E2817" s="2"/>
      <c r="F2817" s="14"/>
      <c r="G2817" s="2"/>
      <c r="H2817" s="2"/>
    </row>
    <row r="2818">
      <c r="A2818" s="2"/>
      <c r="B2818" s="13"/>
      <c r="C2818" s="2"/>
      <c r="D2818" s="2"/>
      <c r="E2818" s="2"/>
      <c r="F2818" s="14"/>
      <c r="G2818" s="2"/>
      <c r="H2818" s="2"/>
    </row>
    <row r="2819">
      <c r="A2819" s="2"/>
      <c r="B2819" s="13"/>
      <c r="C2819" s="2"/>
      <c r="D2819" s="2"/>
      <c r="E2819" s="2"/>
      <c r="F2819" s="14"/>
      <c r="G2819" s="2"/>
      <c r="H2819" s="2"/>
    </row>
    <row r="2820">
      <c r="A2820" s="2"/>
      <c r="B2820" s="13"/>
      <c r="C2820" s="2"/>
      <c r="D2820" s="2"/>
      <c r="E2820" s="2"/>
      <c r="F2820" s="14"/>
      <c r="G2820" s="2"/>
      <c r="H2820" s="2"/>
    </row>
    <row r="2821">
      <c r="A2821" s="2"/>
      <c r="B2821" s="13"/>
      <c r="C2821" s="2"/>
      <c r="D2821" s="2"/>
      <c r="E2821" s="2"/>
      <c r="F2821" s="14"/>
      <c r="G2821" s="2"/>
      <c r="H2821" s="2"/>
    </row>
    <row r="2822">
      <c r="A2822" s="2"/>
      <c r="B2822" s="13"/>
      <c r="C2822" s="2"/>
      <c r="D2822" s="2"/>
      <c r="E2822" s="2"/>
      <c r="F2822" s="14"/>
      <c r="G2822" s="2"/>
      <c r="H2822" s="2"/>
    </row>
    <row r="2823">
      <c r="A2823" s="2"/>
      <c r="B2823" s="13"/>
      <c r="C2823" s="2"/>
      <c r="D2823" s="2"/>
      <c r="E2823" s="2"/>
      <c r="F2823" s="14"/>
      <c r="G2823" s="2"/>
      <c r="H2823" s="2"/>
    </row>
    <row r="2824">
      <c r="A2824" s="2"/>
      <c r="B2824" s="13"/>
      <c r="C2824" s="2"/>
      <c r="D2824" s="2"/>
      <c r="E2824" s="2"/>
      <c r="F2824" s="14"/>
      <c r="G2824" s="2"/>
      <c r="H2824" s="2"/>
    </row>
    <row r="2825">
      <c r="A2825" s="2"/>
      <c r="B2825" s="13"/>
      <c r="C2825" s="2"/>
      <c r="D2825" s="2"/>
      <c r="E2825" s="2"/>
      <c r="F2825" s="14"/>
      <c r="G2825" s="2"/>
      <c r="H2825" s="2"/>
    </row>
    <row r="2826">
      <c r="A2826" s="2"/>
      <c r="B2826" s="13"/>
      <c r="C2826" s="2"/>
      <c r="D2826" s="2"/>
      <c r="E2826" s="2"/>
      <c r="F2826" s="14"/>
      <c r="G2826" s="2"/>
      <c r="H2826" s="2"/>
    </row>
    <row r="2827">
      <c r="A2827" s="2"/>
      <c r="B2827" s="13"/>
      <c r="C2827" s="2"/>
      <c r="D2827" s="2"/>
      <c r="E2827" s="2"/>
      <c r="F2827" s="14"/>
      <c r="G2827" s="2"/>
      <c r="H2827" s="2"/>
    </row>
    <row r="2828">
      <c r="A2828" s="2"/>
      <c r="B2828" s="13"/>
      <c r="C2828" s="2"/>
      <c r="D2828" s="2"/>
      <c r="E2828" s="2"/>
      <c r="F2828" s="14"/>
      <c r="G2828" s="2"/>
      <c r="H2828" s="2"/>
    </row>
    <row r="2829">
      <c r="A2829" s="2"/>
      <c r="B2829" s="13"/>
      <c r="C2829" s="2"/>
      <c r="D2829" s="2"/>
      <c r="E2829" s="2"/>
      <c r="F2829" s="14"/>
      <c r="G2829" s="2"/>
      <c r="H2829" s="2"/>
    </row>
    <row r="2830">
      <c r="A2830" s="2"/>
      <c r="B2830" s="13"/>
      <c r="C2830" s="2"/>
      <c r="D2830" s="2"/>
      <c r="E2830" s="2"/>
      <c r="F2830" s="14"/>
      <c r="G2830" s="2"/>
      <c r="H2830" s="2"/>
    </row>
    <row r="2831">
      <c r="A2831" s="2"/>
      <c r="B2831" s="13"/>
      <c r="C2831" s="2"/>
      <c r="D2831" s="2"/>
      <c r="E2831" s="2"/>
      <c r="F2831" s="14"/>
      <c r="G2831" s="2"/>
      <c r="H2831" s="2"/>
    </row>
    <row r="2832">
      <c r="A2832" s="2"/>
      <c r="B2832" s="13"/>
      <c r="C2832" s="2"/>
      <c r="D2832" s="2"/>
      <c r="E2832" s="2"/>
      <c r="F2832" s="14"/>
      <c r="G2832" s="2"/>
      <c r="H2832" s="2"/>
    </row>
    <row r="2833">
      <c r="A2833" s="2"/>
      <c r="B2833" s="13"/>
      <c r="C2833" s="2"/>
      <c r="D2833" s="2"/>
      <c r="E2833" s="2"/>
      <c r="F2833" s="14"/>
      <c r="G2833" s="2"/>
      <c r="H2833" s="2"/>
    </row>
    <row r="2834">
      <c r="A2834" s="2"/>
      <c r="B2834" s="13"/>
      <c r="C2834" s="2"/>
      <c r="D2834" s="2"/>
      <c r="E2834" s="2"/>
      <c r="F2834" s="14"/>
      <c r="G2834" s="2"/>
      <c r="H2834" s="2"/>
    </row>
    <row r="2835">
      <c r="A2835" s="2"/>
      <c r="B2835" s="13"/>
      <c r="C2835" s="2"/>
      <c r="D2835" s="2"/>
      <c r="E2835" s="2"/>
      <c r="F2835" s="14"/>
      <c r="G2835" s="2"/>
      <c r="H2835" s="2"/>
    </row>
    <row r="2836">
      <c r="A2836" s="2"/>
      <c r="B2836" s="13"/>
      <c r="C2836" s="2"/>
      <c r="D2836" s="2"/>
      <c r="E2836" s="2"/>
      <c r="F2836" s="14"/>
      <c r="G2836" s="2"/>
      <c r="H2836" s="2"/>
    </row>
    <row r="2837">
      <c r="A2837" s="2"/>
      <c r="B2837" s="13"/>
      <c r="C2837" s="2"/>
      <c r="D2837" s="2"/>
      <c r="E2837" s="2"/>
      <c r="F2837" s="14"/>
      <c r="G2837" s="2"/>
      <c r="H2837" s="2"/>
    </row>
    <row r="2838">
      <c r="A2838" s="2"/>
      <c r="B2838" s="13"/>
      <c r="C2838" s="2"/>
      <c r="D2838" s="2"/>
      <c r="E2838" s="2"/>
      <c r="F2838" s="14"/>
      <c r="G2838" s="2"/>
      <c r="H2838" s="2"/>
    </row>
    <row r="2839">
      <c r="A2839" s="2"/>
      <c r="B2839" s="13"/>
      <c r="C2839" s="2"/>
      <c r="D2839" s="2"/>
      <c r="E2839" s="2"/>
      <c r="F2839" s="14"/>
      <c r="G2839" s="2"/>
      <c r="H2839" s="2"/>
    </row>
    <row r="2840">
      <c r="A2840" s="2"/>
      <c r="B2840" s="13"/>
      <c r="C2840" s="2"/>
      <c r="D2840" s="2"/>
      <c r="E2840" s="2"/>
      <c r="F2840" s="14"/>
      <c r="G2840" s="2"/>
      <c r="H2840" s="2"/>
    </row>
    <row r="2841">
      <c r="A2841" s="2"/>
      <c r="B2841" s="13"/>
      <c r="C2841" s="2"/>
      <c r="D2841" s="2"/>
      <c r="E2841" s="2"/>
      <c r="F2841" s="14"/>
      <c r="G2841" s="2"/>
      <c r="H2841" s="2"/>
    </row>
    <row r="2842">
      <c r="A2842" s="2"/>
      <c r="B2842" s="13"/>
      <c r="C2842" s="2"/>
      <c r="D2842" s="2"/>
      <c r="E2842" s="2"/>
      <c r="F2842" s="14"/>
      <c r="G2842" s="2"/>
      <c r="H2842" s="2"/>
    </row>
    <row r="2843">
      <c r="A2843" s="2"/>
      <c r="B2843" s="13"/>
      <c r="C2843" s="2"/>
      <c r="D2843" s="2"/>
      <c r="E2843" s="2"/>
      <c r="F2843" s="14"/>
      <c r="G2843" s="2"/>
      <c r="H2843" s="2"/>
    </row>
    <row r="2844">
      <c r="A2844" s="2"/>
      <c r="B2844" s="13"/>
      <c r="C2844" s="2"/>
      <c r="D2844" s="2"/>
      <c r="E2844" s="2"/>
      <c r="F2844" s="14"/>
      <c r="G2844" s="2"/>
      <c r="H2844" s="2"/>
    </row>
    <row r="2845">
      <c r="A2845" s="2"/>
      <c r="B2845" s="13"/>
      <c r="C2845" s="2"/>
      <c r="D2845" s="2"/>
      <c r="E2845" s="2"/>
      <c r="F2845" s="14"/>
      <c r="G2845" s="2"/>
      <c r="H2845" s="2"/>
    </row>
    <row r="2846">
      <c r="A2846" s="2"/>
      <c r="B2846" s="13"/>
      <c r="C2846" s="2"/>
      <c r="D2846" s="2"/>
      <c r="E2846" s="2"/>
      <c r="F2846" s="14"/>
      <c r="G2846" s="2"/>
      <c r="H2846" s="2"/>
    </row>
    <row r="2847">
      <c r="A2847" s="2"/>
      <c r="B2847" s="13"/>
      <c r="C2847" s="2"/>
      <c r="D2847" s="2"/>
      <c r="E2847" s="2"/>
      <c r="F2847" s="14"/>
      <c r="G2847" s="2"/>
      <c r="H2847" s="2"/>
    </row>
    <row r="2848">
      <c r="A2848" s="2"/>
      <c r="B2848" s="13"/>
      <c r="C2848" s="2"/>
      <c r="D2848" s="2"/>
      <c r="E2848" s="2"/>
      <c r="F2848" s="14"/>
      <c r="G2848" s="2"/>
      <c r="H2848" s="2"/>
    </row>
    <row r="2849">
      <c r="A2849" s="2"/>
      <c r="B2849" s="13"/>
      <c r="C2849" s="2"/>
      <c r="D2849" s="2"/>
      <c r="E2849" s="2"/>
      <c r="F2849" s="14"/>
      <c r="G2849" s="2"/>
      <c r="H2849" s="2"/>
    </row>
    <row r="2850">
      <c r="A2850" s="2"/>
      <c r="B2850" s="13"/>
      <c r="C2850" s="2"/>
      <c r="D2850" s="2"/>
      <c r="E2850" s="2"/>
      <c r="F2850" s="14"/>
      <c r="G2850" s="2"/>
      <c r="H2850" s="2"/>
    </row>
    <row r="2851">
      <c r="A2851" s="2"/>
      <c r="B2851" s="13"/>
      <c r="C2851" s="2"/>
      <c r="D2851" s="2"/>
      <c r="E2851" s="2"/>
      <c r="F2851" s="14"/>
      <c r="G2851" s="2"/>
      <c r="H2851" s="2"/>
    </row>
    <row r="2852">
      <c r="A2852" s="2"/>
      <c r="B2852" s="13"/>
      <c r="C2852" s="2"/>
      <c r="D2852" s="2"/>
      <c r="E2852" s="2"/>
      <c r="F2852" s="14"/>
      <c r="G2852" s="2"/>
      <c r="H2852" s="2"/>
    </row>
    <row r="2853">
      <c r="A2853" s="2"/>
      <c r="B2853" s="13"/>
      <c r="C2853" s="2"/>
      <c r="D2853" s="2"/>
      <c r="E2853" s="2"/>
      <c r="F2853" s="14"/>
      <c r="G2853" s="2"/>
      <c r="H2853" s="2"/>
    </row>
    <row r="2854">
      <c r="A2854" s="2"/>
      <c r="B2854" s="13"/>
      <c r="C2854" s="2"/>
      <c r="D2854" s="2"/>
      <c r="E2854" s="2"/>
      <c r="F2854" s="14"/>
      <c r="G2854" s="2"/>
      <c r="H2854" s="2"/>
    </row>
    <row r="2855">
      <c r="A2855" s="2"/>
      <c r="B2855" s="13"/>
      <c r="C2855" s="2"/>
      <c r="D2855" s="2"/>
      <c r="E2855" s="2"/>
      <c r="F2855" s="14"/>
      <c r="G2855" s="2"/>
      <c r="H2855" s="2"/>
    </row>
    <row r="2856">
      <c r="A2856" s="2"/>
      <c r="B2856" s="13"/>
      <c r="C2856" s="2"/>
      <c r="D2856" s="2"/>
      <c r="E2856" s="2"/>
      <c r="F2856" s="14"/>
      <c r="G2856" s="2"/>
      <c r="H2856" s="2"/>
    </row>
    <row r="2857">
      <c r="A2857" s="2"/>
      <c r="B2857" s="13"/>
      <c r="C2857" s="2"/>
      <c r="D2857" s="2"/>
      <c r="E2857" s="2"/>
      <c r="F2857" s="14"/>
      <c r="G2857" s="2"/>
      <c r="H2857" s="2"/>
    </row>
    <row r="2858">
      <c r="A2858" s="2"/>
      <c r="B2858" s="13"/>
      <c r="C2858" s="2"/>
      <c r="D2858" s="2"/>
      <c r="E2858" s="2"/>
      <c r="F2858" s="14"/>
      <c r="G2858" s="2"/>
      <c r="H2858" s="2"/>
    </row>
    <row r="2859">
      <c r="A2859" s="2"/>
      <c r="B2859" s="13"/>
      <c r="C2859" s="2"/>
      <c r="D2859" s="2"/>
      <c r="E2859" s="2"/>
      <c r="F2859" s="14"/>
      <c r="G2859" s="2"/>
      <c r="H2859" s="2"/>
    </row>
    <row r="2860">
      <c r="A2860" s="2"/>
      <c r="B2860" s="13"/>
      <c r="C2860" s="2"/>
      <c r="D2860" s="2"/>
      <c r="E2860" s="2"/>
      <c r="F2860" s="14"/>
      <c r="G2860" s="2"/>
      <c r="H2860" s="2"/>
    </row>
    <row r="2861">
      <c r="A2861" s="2"/>
      <c r="B2861" s="13"/>
      <c r="C2861" s="2"/>
      <c r="D2861" s="2"/>
      <c r="E2861" s="2"/>
      <c r="F2861" s="14"/>
      <c r="G2861" s="2"/>
      <c r="H2861" s="2"/>
    </row>
    <row r="2862">
      <c r="A2862" s="2"/>
      <c r="B2862" s="13"/>
      <c r="C2862" s="2"/>
      <c r="D2862" s="2"/>
      <c r="E2862" s="2"/>
      <c r="F2862" s="14"/>
      <c r="G2862" s="2"/>
      <c r="H2862" s="2"/>
    </row>
    <row r="2863">
      <c r="A2863" s="2"/>
      <c r="B2863" s="13"/>
      <c r="C2863" s="2"/>
      <c r="D2863" s="2"/>
      <c r="E2863" s="2"/>
      <c r="F2863" s="14"/>
      <c r="G2863" s="2"/>
      <c r="H2863" s="2"/>
    </row>
    <row r="2864">
      <c r="A2864" s="2"/>
      <c r="B2864" s="13"/>
      <c r="C2864" s="2"/>
      <c r="D2864" s="2"/>
      <c r="E2864" s="2"/>
      <c r="F2864" s="14"/>
      <c r="G2864" s="2"/>
      <c r="H2864" s="2"/>
    </row>
    <row r="2865">
      <c r="A2865" s="2"/>
      <c r="B2865" s="13"/>
      <c r="C2865" s="2"/>
      <c r="D2865" s="2"/>
      <c r="E2865" s="2"/>
      <c r="F2865" s="14"/>
      <c r="G2865" s="2"/>
      <c r="H2865" s="2"/>
    </row>
    <row r="2866">
      <c r="A2866" s="2"/>
      <c r="B2866" s="13"/>
      <c r="C2866" s="2"/>
      <c r="D2866" s="2"/>
      <c r="E2866" s="2"/>
      <c r="F2866" s="14"/>
      <c r="G2866" s="2"/>
      <c r="H2866" s="2"/>
    </row>
    <row r="2867">
      <c r="A2867" s="2"/>
      <c r="B2867" s="13"/>
      <c r="C2867" s="2"/>
      <c r="D2867" s="2"/>
      <c r="E2867" s="2"/>
      <c r="F2867" s="14"/>
      <c r="G2867" s="2"/>
      <c r="H2867" s="2"/>
    </row>
    <row r="2868">
      <c r="A2868" s="2"/>
      <c r="B2868" s="13"/>
      <c r="C2868" s="2"/>
      <c r="D2868" s="2"/>
      <c r="E2868" s="2"/>
      <c r="F2868" s="14"/>
      <c r="G2868" s="2"/>
      <c r="H2868" s="2"/>
    </row>
    <row r="2869">
      <c r="A2869" s="2"/>
      <c r="B2869" s="13"/>
      <c r="C2869" s="2"/>
      <c r="D2869" s="2"/>
      <c r="E2869" s="2"/>
      <c r="F2869" s="14"/>
      <c r="G2869" s="2"/>
      <c r="H2869" s="2"/>
    </row>
    <row r="2870">
      <c r="A2870" s="2"/>
      <c r="B2870" s="13"/>
      <c r="C2870" s="2"/>
      <c r="D2870" s="2"/>
      <c r="E2870" s="2"/>
      <c r="F2870" s="14"/>
      <c r="G2870" s="2"/>
      <c r="H2870" s="2"/>
    </row>
    <row r="2871">
      <c r="A2871" s="2"/>
      <c r="B2871" s="13"/>
      <c r="C2871" s="2"/>
      <c r="D2871" s="2"/>
      <c r="E2871" s="2"/>
      <c r="F2871" s="14"/>
      <c r="G2871" s="2"/>
      <c r="H2871" s="2"/>
    </row>
    <row r="2872">
      <c r="A2872" s="2"/>
      <c r="B2872" s="13"/>
      <c r="C2872" s="2"/>
      <c r="D2872" s="2"/>
      <c r="E2872" s="2"/>
      <c r="F2872" s="14"/>
      <c r="G2872" s="2"/>
      <c r="H2872" s="2"/>
    </row>
    <row r="2873">
      <c r="A2873" s="2"/>
      <c r="B2873" s="13"/>
      <c r="C2873" s="2"/>
      <c r="D2873" s="2"/>
      <c r="E2873" s="2"/>
      <c r="F2873" s="14"/>
      <c r="G2873" s="2"/>
      <c r="H2873" s="2"/>
    </row>
    <row r="2874">
      <c r="A2874" s="2"/>
      <c r="B2874" s="13"/>
      <c r="C2874" s="2"/>
      <c r="D2874" s="2"/>
      <c r="E2874" s="2"/>
      <c r="F2874" s="14"/>
      <c r="G2874" s="2"/>
      <c r="H2874" s="2"/>
    </row>
    <row r="2875">
      <c r="A2875" s="2"/>
      <c r="B2875" s="13"/>
      <c r="C2875" s="2"/>
      <c r="D2875" s="2"/>
      <c r="E2875" s="2"/>
      <c r="F2875" s="14"/>
      <c r="G2875" s="2"/>
      <c r="H2875" s="2"/>
    </row>
    <row r="2876">
      <c r="A2876" s="2"/>
      <c r="B2876" s="13"/>
      <c r="C2876" s="2"/>
      <c r="D2876" s="2"/>
      <c r="E2876" s="2"/>
      <c r="F2876" s="14"/>
      <c r="G2876" s="2"/>
      <c r="H2876" s="2"/>
    </row>
    <row r="2877">
      <c r="A2877" s="2"/>
      <c r="B2877" s="13"/>
      <c r="C2877" s="2"/>
      <c r="D2877" s="2"/>
      <c r="E2877" s="2"/>
      <c r="F2877" s="14"/>
      <c r="G2877" s="2"/>
      <c r="H2877" s="2"/>
    </row>
    <row r="2878">
      <c r="A2878" s="2"/>
      <c r="B2878" s="13"/>
      <c r="C2878" s="2"/>
      <c r="D2878" s="2"/>
      <c r="E2878" s="2"/>
      <c r="F2878" s="14"/>
      <c r="G2878" s="2"/>
      <c r="H2878" s="2"/>
    </row>
    <row r="2879">
      <c r="A2879" s="2"/>
      <c r="B2879" s="13"/>
      <c r="C2879" s="2"/>
      <c r="D2879" s="2"/>
      <c r="E2879" s="2"/>
      <c r="F2879" s="14"/>
      <c r="G2879" s="2"/>
      <c r="H2879" s="2"/>
    </row>
    <row r="2880">
      <c r="A2880" s="2"/>
      <c r="B2880" s="13"/>
      <c r="C2880" s="2"/>
      <c r="D2880" s="2"/>
      <c r="E2880" s="2"/>
      <c r="F2880" s="14"/>
      <c r="G2880" s="2"/>
      <c r="H2880" s="2"/>
    </row>
    <row r="2881">
      <c r="A2881" s="2"/>
      <c r="B2881" s="13"/>
      <c r="C2881" s="2"/>
      <c r="D2881" s="2"/>
      <c r="E2881" s="2"/>
      <c r="F2881" s="14"/>
      <c r="G2881" s="2"/>
      <c r="H2881" s="2"/>
    </row>
    <row r="2882">
      <c r="A2882" s="2"/>
      <c r="B2882" s="13"/>
      <c r="C2882" s="2"/>
      <c r="D2882" s="2"/>
      <c r="E2882" s="2"/>
      <c r="F2882" s="14"/>
      <c r="G2882" s="2"/>
      <c r="H2882" s="2"/>
    </row>
    <row r="2883">
      <c r="A2883" s="2"/>
      <c r="B2883" s="13"/>
      <c r="C2883" s="2"/>
      <c r="D2883" s="2"/>
      <c r="E2883" s="2"/>
      <c r="F2883" s="14"/>
      <c r="G2883" s="2"/>
      <c r="H2883" s="2"/>
    </row>
    <row r="2884">
      <c r="A2884" s="2"/>
      <c r="B2884" s="13"/>
      <c r="C2884" s="2"/>
      <c r="D2884" s="2"/>
      <c r="E2884" s="2"/>
      <c r="F2884" s="14"/>
      <c r="G2884" s="2"/>
      <c r="H2884" s="2"/>
    </row>
    <row r="2885">
      <c r="A2885" s="2"/>
      <c r="B2885" s="13"/>
      <c r="C2885" s="2"/>
      <c r="D2885" s="2"/>
      <c r="E2885" s="2"/>
      <c r="F2885" s="14"/>
      <c r="G2885" s="2"/>
      <c r="H2885" s="2"/>
    </row>
    <row r="2886">
      <c r="A2886" s="2"/>
      <c r="B2886" s="13"/>
      <c r="C2886" s="2"/>
      <c r="D2886" s="2"/>
      <c r="E2886" s="2"/>
      <c r="F2886" s="14"/>
      <c r="G2886" s="2"/>
      <c r="H2886" s="2"/>
    </row>
    <row r="2887">
      <c r="A2887" s="2"/>
      <c r="B2887" s="13"/>
      <c r="C2887" s="2"/>
      <c r="D2887" s="2"/>
      <c r="E2887" s="2"/>
      <c r="F2887" s="14"/>
      <c r="G2887" s="2"/>
      <c r="H2887" s="2"/>
    </row>
    <row r="2888">
      <c r="A2888" s="2"/>
      <c r="B2888" s="13"/>
      <c r="C2888" s="2"/>
      <c r="D2888" s="2"/>
      <c r="E2888" s="2"/>
      <c r="F2888" s="14"/>
      <c r="G2888" s="2"/>
      <c r="H2888" s="2"/>
    </row>
    <row r="2889">
      <c r="A2889" s="2"/>
      <c r="B2889" s="13"/>
      <c r="C2889" s="2"/>
      <c r="D2889" s="2"/>
      <c r="E2889" s="2"/>
      <c r="F2889" s="14"/>
      <c r="G2889" s="2"/>
      <c r="H2889" s="2"/>
    </row>
    <row r="2890">
      <c r="A2890" s="2"/>
      <c r="B2890" s="13"/>
      <c r="C2890" s="2"/>
      <c r="D2890" s="2"/>
      <c r="E2890" s="2"/>
      <c r="F2890" s="14"/>
      <c r="G2890" s="2"/>
      <c r="H2890" s="2"/>
    </row>
    <row r="2891">
      <c r="A2891" s="2"/>
      <c r="B2891" s="13"/>
      <c r="C2891" s="2"/>
      <c r="D2891" s="2"/>
      <c r="E2891" s="2"/>
      <c r="F2891" s="14"/>
      <c r="G2891" s="2"/>
      <c r="H2891" s="2"/>
    </row>
    <row r="2892">
      <c r="A2892" s="2"/>
      <c r="B2892" s="13"/>
      <c r="C2892" s="2"/>
      <c r="D2892" s="2"/>
      <c r="E2892" s="2"/>
      <c r="F2892" s="14"/>
      <c r="G2892" s="2"/>
      <c r="H2892" s="2"/>
    </row>
    <row r="2893">
      <c r="A2893" s="2"/>
      <c r="B2893" s="13"/>
      <c r="C2893" s="2"/>
      <c r="D2893" s="2"/>
      <c r="E2893" s="2"/>
      <c r="F2893" s="14"/>
      <c r="G2893" s="2"/>
      <c r="H2893" s="2"/>
    </row>
    <row r="2894">
      <c r="A2894" s="2"/>
      <c r="B2894" s="13"/>
      <c r="C2894" s="2"/>
      <c r="D2894" s="2"/>
      <c r="E2894" s="2"/>
      <c r="F2894" s="14"/>
      <c r="G2894" s="2"/>
      <c r="H2894" s="2"/>
    </row>
    <row r="2895">
      <c r="A2895" s="2"/>
      <c r="B2895" s="13"/>
      <c r="C2895" s="2"/>
      <c r="D2895" s="2"/>
      <c r="E2895" s="2"/>
      <c r="F2895" s="14"/>
      <c r="G2895" s="2"/>
      <c r="H2895" s="2"/>
    </row>
    <row r="2896">
      <c r="A2896" s="2"/>
      <c r="B2896" s="13"/>
      <c r="C2896" s="2"/>
      <c r="D2896" s="2"/>
      <c r="E2896" s="2"/>
      <c r="F2896" s="14"/>
      <c r="G2896" s="2"/>
      <c r="H2896" s="2"/>
    </row>
    <row r="2897">
      <c r="A2897" s="2"/>
      <c r="B2897" s="13"/>
      <c r="C2897" s="2"/>
      <c r="D2897" s="2"/>
      <c r="E2897" s="2"/>
      <c r="F2897" s="14"/>
      <c r="G2897" s="2"/>
      <c r="H2897" s="2"/>
    </row>
    <row r="2898">
      <c r="A2898" s="2"/>
      <c r="B2898" s="13"/>
      <c r="C2898" s="2"/>
      <c r="D2898" s="2"/>
      <c r="E2898" s="2"/>
      <c r="F2898" s="14"/>
      <c r="G2898" s="2"/>
      <c r="H2898" s="2"/>
    </row>
    <row r="2899">
      <c r="A2899" s="2"/>
      <c r="B2899" s="13"/>
      <c r="C2899" s="2"/>
      <c r="D2899" s="2"/>
      <c r="E2899" s="2"/>
      <c r="F2899" s="14"/>
      <c r="G2899" s="2"/>
      <c r="H2899" s="2"/>
    </row>
    <row r="2900">
      <c r="A2900" s="2"/>
      <c r="B2900" s="13"/>
      <c r="C2900" s="2"/>
      <c r="D2900" s="2"/>
      <c r="E2900" s="2"/>
      <c r="F2900" s="14"/>
      <c r="G2900" s="2"/>
      <c r="H2900" s="2"/>
    </row>
    <row r="2901">
      <c r="A2901" s="2"/>
      <c r="B2901" s="13"/>
      <c r="C2901" s="2"/>
      <c r="D2901" s="2"/>
      <c r="E2901" s="2"/>
      <c r="F2901" s="14"/>
      <c r="G2901" s="2"/>
      <c r="H2901" s="2"/>
    </row>
    <row r="2902">
      <c r="A2902" s="2"/>
      <c r="B2902" s="13"/>
      <c r="C2902" s="2"/>
      <c r="D2902" s="2"/>
      <c r="E2902" s="2"/>
      <c r="F2902" s="14"/>
      <c r="G2902" s="2"/>
      <c r="H2902" s="2"/>
    </row>
    <row r="2903">
      <c r="A2903" s="2"/>
      <c r="B2903" s="13"/>
      <c r="C2903" s="2"/>
      <c r="D2903" s="2"/>
      <c r="E2903" s="2"/>
      <c r="F2903" s="14"/>
      <c r="G2903" s="2"/>
      <c r="H2903" s="2"/>
    </row>
    <row r="2904">
      <c r="A2904" s="2"/>
      <c r="B2904" s="13"/>
      <c r="C2904" s="2"/>
      <c r="D2904" s="2"/>
      <c r="E2904" s="2"/>
      <c r="F2904" s="14"/>
      <c r="G2904" s="2"/>
      <c r="H2904" s="2"/>
    </row>
    <row r="2905">
      <c r="A2905" s="2"/>
      <c r="B2905" s="13"/>
      <c r="C2905" s="2"/>
      <c r="D2905" s="2"/>
      <c r="E2905" s="2"/>
      <c r="F2905" s="14"/>
      <c r="G2905" s="2"/>
      <c r="H2905" s="2"/>
    </row>
    <row r="2906">
      <c r="A2906" s="2"/>
      <c r="B2906" s="13"/>
      <c r="C2906" s="2"/>
      <c r="D2906" s="2"/>
      <c r="E2906" s="2"/>
      <c r="F2906" s="14"/>
      <c r="G2906" s="2"/>
      <c r="H2906" s="2"/>
    </row>
    <row r="2907">
      <c r="A2907" s="2"/>
      <c r="B2907" s="13"/>
      <c r="C2907" s="2"/>
      <c r="D2907" s="2"/>
      <c r="E2907" s="2"/>
      <c r="F2907" s="14"/>
      <c r="G2907" s="2"/>
      <c r="H2907" s="2"/>
    </row>
    <row r="2908">
      <c r="A2908" s="2"/>
      <c r="B2908" s="13"/>
      <c r="C2908" s="2"/>
      <c r="D2908" s="2"/>
      <c r="E2908" s="2"/>
      <c r="F2908" s="14"/>
      <c r="G2908" s="2"/>
      <c r="H2908" s="2"/>
    </row>
    <row r="2909">
      <c r="A2909" s="2"/>
      <c r="B2909" s="13"/>
      <c r="C2909" s="2"/>
      <c r="D2909" s="2"/>
      <c r="E2909" s="2"/>
      <c r="F2909" s="14"/>
      <c r="G2909" s="2"/>
      <c r="H2909" s="2"/>
    </row>
    <row r="2910">
      <c r="A2910" s="2"/>
      <c r="B2910" s="13"/>
      <c r="C2910" s="2"/>
      <c r="D2910" s="2"/>
      <c r="E2910" s="2"/>
      <c r="F2910" s="14"/>
      <c r="G2910" s="2"/>
      <c r="H2910" s="2"/>
    </row>
    <row r="2911">
      <c r="A2911" s="2"/>
      <c r="B2911" s="13"/>
      <c r="C2911" s="2"/>
      <c r="D2911" s="2"/>
      <c r="E2911" s="2"/>
      <c r="F2911" s="14"/>
      <c r="G2911" s="2"/>
      <c r="H2911" s="2"/>
    </row>
    <row r="2912">
      <c r="A2912" s="2"/>
      <c r="B2912" s="13"/>
      <c r="C2912" s="2"/>
      <c r="D2912" s="2"/>
      <c r="E2912" s="2"/>
      <c r="F2912" s="14"/>
      <c r="G2912" s="2"/>
      <c r="H2912" s="2"/>
    </row>
    <row r="2913">
      <c r="A2913" s="2"/>
      <c r="B2913" s="13"/>
      <c r="C2913" s="2"/>
      <c r="D2913" s="2"/>
      <c r="E2913" s="2"/>
      <c r="F2913" s="14"/>
      <c r="G2913" s="2"/>
      <c r="H2913" s="2"/>
    </row>
    <row r="2914">
      <c r="A2914" s="2"/>
      <c r="B2914" s="13"/>
      <c r="C2914" s="2"/>
      <c r="D2914" s="2"/>
      <c r="E2914" s="2"/>
      <c r="F2914" s="14"/>
      <c r="G2914" s="2"/>
      <c r="H2914" s="2"/>
    </row>
    <row r="2915">
      <c r="A2915" s="2"/>
      <c r="B2915" s="13"/>
      <c r="C2915" s="2"/>
      <c r="D2915" s="2"/>
      <c r="E2915" s="2"/>
      <c r="F2915" s="14"/>
      <c r="G2915" s="2"/>
      <c r="H2915" s="2"/>
    </row>
    <row r="2916">
      <c r="A2916" s="2"/>
      <c r="B2916" s="13"/>
      <c r="C2916" s="2"/>
      <c r="D2916" s="2"/>
      <c r="E2916" s="2"/>
      <c r="F2916" s="14"/>
      <c r="G2916" s="2"/>
      <c r="H2916" s="2"/>
    </row>
    <row r="2917">
      <c r="A2917" s="2"/>
      <c r="B2917" s="13"/>
      <c r="C2917" s="2"/>
      <c r="D2917" s="2"/>
      <c r="E2917" s="2"/>
      <c r="F2917" s="14"/>
      <c r="G2917" s="2"/>
      <c r="H2917" s="2"/>
    </row>
    <row r="2918">
      <c r="A2918" s="2"/>
      <c r="B2918" s="13"/>
      <c r="C2918" s="2"/>
      <c r="D2918" s="2"/>
      <c r="E2918" s="2"/>
      <c r="F2918" s="14"/>
      <c r="G2918" s="2"/>
      <c r="H2918" s="2"/>
    </row>
    <row r="2919">
      <c r="A2919" s="2"/>
      <c r="B2919" s="13"/>
      <c r="C2919" s="2"/>
      <c r="D2919" s="2"/>
      <c r="E2919" s="2"/>
      <c r="F2919" s="14"/>
      <c r="G2919" s="2"/>
      <c r="H2919" s="2"/>
    </row>
    <row r="2920">
      <c r="A2920" s="2"/>
      <c r="B2920" s="13"/>
      <c r="C2920" s="2"/>
      <c r="D2920" s="2"/>
      <c r="E2920" s="2"/>
      <c r="F2920" s="14"/>
      <c r="G2920" s="2"/>
      <c r="H2920" s="2"/>
    </row>
    <row r="2921">
      <c r="A2921" s="2"/>
      <c r="B2921" s="13"/>
      <c r="C2921" s="2"/>
      <c r="D2921" s="2"/>
      <c r="E2921" s="2"/>
      <c r="F2921" s="14"/>
      <c r="G2921" s="2"/>
      <c r="H2921" s="2"/>
    </row>
    <row r="2922">
      <c r="A2922" s="2"/>
      <c r="B2922" s="13"/>
      <c r="C2922" s="2"/>
      <c r="D2922" s="2"/>
      <c r="E2922" s="2"/>
      <c r="F2922" s="14"/>
      <c r="G2922" s="2"/>
      <c r="H2922" s="2"/>
    </row>
    <row r="2923">
      <c r="A2923" s="2"/>
      <c r="B2923" s="13"/>
      <c r="C2923" s="2"/>
      <c r="D2923" s="2"/>
      <c r="E2923" s="2"/>
      <c r="F2923" s="14"/>
      <c r="G2923" s="2"/>
      <c r="H2923" s="2"/>
    </row>
    <row r="2924">
      <c r="A2924" s="2"/>
      <c r="B2924" s="13"/>
      <c r="C2924" s="2"/>
      <c r="D2924" s="2"/>
      <c r="E2924" s="2"/>
      <c r="F2924" s="14"/>
      <c r="G2924" s="2"/>
      <c r="H2924" s="2"/>
    </row>
    <row r="2925">
      <c r="A2925" s="2"/>
      <c r="B2925" s="13"/>
      <c r="C2925" s="2"/>
      <c r="D2925" s="2"/>
      <c r="E2925" s="2"/>
      <c r="F2925" s="14"/>
      <c r="G2925" s="2"/>
      <c r="H2925" s="2"/>
    </row>
    <row r="2926">
      <c r="A2926" s="2"/>
      <c r="B2926" s="13"/>
      <c r="C2926" s="2"/>
      <c r="D2926" s="2"/>
      <c r="E2926" s="2"/>
      <c r="F2926" s="14"/>
      <c r="G2926" s="2"/>
      <c r="H2926" s="2"/>
    </row>
    <row r="2927">
      <c r="A2927" s="2"/>
      <c r="B2927" s="13"/>
      <c r="C2927" s="2"/>
      <c r="D2927" s="2"/>
      <c r="E2927" s="2"/>
      <c r="F2927" s="14"/>
      <c r="G2927" s="2"/>
      <c r="H2927" s="2"/>
    </row>
    <row r="2928">
      <c r="A2928" s="2"/>
      <c r="B2928" s="13"/>
      <c r="C2928" s="2"/>
      <c r="D2928" s="2"/>
      <c r="E2928" s="2"/>
      <c r="F2928" s="14"/>
      <c r="G2928" s="2"/>
      <c r="H2928" s="2"/>
    </row>
    <row r="2929">
      <c r="A2929" s="2"/>
      <c r="B2929" s="13"/>
      <c r="C2929" s="2"/>
      <c r="D2929" s="2"/>
      <c r="E2929" s="2"/>
      <c r="F2929" s="14"/>
      <c r="G2929" s="2"/>
      <c r="H2929" s="2"/>
    </row>
    <row r="2930">
      <c r="A2930" s="2"/>
      <c r="B2930" s="13"/>
      <c r="C2930" s="2"/>
      <c r="D2930" s="2"/>
      <c r="E2930" s="2"/>
      <c r="F2930" s="14"/>
      <c r="G2930" s="2"/>
      <c r="H2930" s="2"/>
    </row>
    <row r="2931">
      <c r="A2931" s="2"/>
      <c r="B2931" s="13"/>
      <c r="C2931" s="2"/>
      <c r="D2931" s="2"/>
      <c r="E2931" s="2"/>
      <c r="F2931" s="14"/>
      <c r="G2931" s="2"/>
      <c r="H2931" s="2"/>
    </row>
    <row r="2932">
      <c r="A2932" s="2"/>
      <c r="B2932" s="13"/>
      <c r="C2932" s="2"/>
      <c r="D2932" s="2"/>
      <c r="E2932" s="2"/>
      <c r="F2932" s="14"/>
      <c r="G2932" s="2"/>
      <c r="H2932" s="2"/>
    </row>
    <row r="2933">
      <c r="A2933" s="2"/>
      <c r="B2933" s="13"/>
      <c r="C2933" s="2"/>
      <c r="D2933" s="2"/>
      <c r="E2933" s="2"/>
      <c r="F2933" s="14"/>
      <c r="G2933" s="2"/>
      <c r="H2933" s="2"/>
    </row>
    <row r="2934">
      <c r="A2934" s="2"/>
      <c r="B2934" s="13"/>
      <c r="C2934" s="2"/>
      <c r="D2934" s="2"/>
      <c r="E2934" s="2"/>
      <c r="F2934" s="14"/>
      <c r="G2934" s="2"/>
      <c r="H2934" s="2"/>
    </row>
    <row r="2935">
      <c r="A2935" s="2"/>
      <c r="B2935" s="13"/>
      <c r="C2935" s="2"/>
      <c r="D2935" s="2"/>
      <c r="E2935" s="2"/>
      <c r="F2935" s="14"/>
      <c r="G2935" s="2"/>
      <c r="H2935" s="2"/>
    </row>
    <row r="2936">
      <c r="A2936" s="2"/>
      <c r="B2936" s="13"/>
      <c r="C2936" s="2"/>
      <c r="D2936" s="2"/>
      <c r="E2936" s="2"/>
      <c r="F2936" s="14"/>
      <c r="G2936" s="2"/>
      <c r="H2936" s="2"/>
    </row>
    <row r="2937">
      <c r="A2937" s="2"/>
      <c r="B2937" s="13"/>
      <c r="C2937" s="2"/>
      <c r="D2937" s="2"/>
      <c r="E2937" s="2"/>
      <c r="F2937" s="14"/>
      <c r="G2937" s="2"/>
      <c r="H2937" s="2"/>
    </row>
    <row r="2938">
      <c r="A2938" s="2"/>
      <c r="B2938" s="13"/>
      <c r="C2938" s="2"/>
      <c r="D2938" s="2"/>
      <c r="E2938" s="2"/>
      <c r="F2938" s="14"/>
      <c r="G2938" s="2"/>
      <c r="H2938" s="2"/>
    </row>
    <row r="2939">
      <c r="A2939" s="2"/>
      <c r="B2939" s="13"/>
      <c r="C2939" s="2"/>
      <c r="D2939" s="2"/>
      <c r="E2939" s="2"/>
      <c r="F2939" s="14"/>
      <c r="G2939" s="2"/>
      <c r="H2939" s="2"/>
    </row>
    <row r="2940">
      <c r="A2940" s="2"/>
      <c r="B2940" s="13"/>
      <c r="C2940" s="2"/>
      <c r="D2940" s="2"/>
      <c r="E2940" s="2"/>
      <c r="F2940" s="14"/>
      <c r="G2940" s="2"/>
      <c r="H2940" s="2"/>
    </row>
    <row r="2941">
      <c r="A2941" s="2"/>
      <c r="B2941" s="13"/>
      <c r="C2941" s="2"/>
      <c r="D2941" s="2"/>
      <c r="E2941" s="2"/>
      <c r="F2941" s="14"/>
      <c r="G2941" s="2"/>
      <c r="H2941" s="2"/>
    </row>
    <row r="2942">
      <c r="A2942" s="2"/>
      <c r="B2942" s="13"/>
      <c r="C2942" s="2"/>
      <c r="D2942" s="2"/>
      <c r="E2942" s="2"/>
      <c r="F2942" s="14"/>
      <c r="G2942" s="2"/>
      <c r="H2942" s="2"/>
    </row>
    <row r="2943">
      <c r="A2943" s="2"/>
      <c r="B2943" s="13"/>
      <c r="C2943" s="2"/>
      <c r="D2943" s="2"/>
      <c r="E2943" s="2"/>
      <c r="F2943" s="14"/>
      <c r="G2943" s="2"/>
      <c r="H2943" s="2"/>
    </row>
    <row r="2944">
      <c r="A2944" s="2"/>
      <c r="B2944" s="13"/>
      <c r="C2944" s="2"/>
      <c r="D2944" s="2"/>
      <c r="E2944" s="2"/>
      <c r="F2944" s="14"/>
      <c r="G2944" s="2"/>
      <c r="H2944" s="2"/>
    </row>
    <row r="2945">
      <c r="A2945" s="2"/>
      <c r="B2945" s="13"/>
      <c r="C2945" s="2"/>
      <c r="D2945" s="2"/>
      <c r="E2945" s="2"/>
      <c r="F2945" s="14"/>
      <c r="G2945" s="2"/>
      <c r="H2945" s="2"/>
    </row>
    <row r="2946">
      <c r="A2946" s="2"/>
      <c r="B2946" s="13"/>
      <c r="C2946" s="2"/>
      <c r="D2946" s="2"/>
      <c r="E2946" s="2"/>
      <c r="F2946" s="14"/>
      <c r="G2946" s="2"/>
      <c r="H2946" s="2"/>
    </row>
    <row r="2947">
      <c r="A2947" s="2"/>
      <c r="B2947" s="13"/>
      <c r="C2947" s="2"/>
      <c r="D2947" s="2"/>
      <c r="E2947" s="2"/>
      <c r="F2947" s="14"/>
      <c r="G2947" s="2"/>
      <c r="H2947" s="2"/>
    </row>
    <row r="2948">
      <c r="A2948" s="2"/>
      <c r="B2948" s="13"/>
      <c r="C2948" s="2"/>
      <c r="D2948" s="2"/>
      <c r="E2948" s="2"/>
      <c r="F2948" s="14"/>
      <c r="G2948" s="2"/>
      <c r="H2948" s="2"/>
    </row>
    <row r="2949">
      <c r="A2949" s="2"/>
      <c r="B2949" s="13"/>
      <c r="C2949" s="2"/>
      <c r="D2949" s="2"/>
      <c r="E2949" s="2"/>
      <c r="F2949" s="14"/>
      <c r="G2949" s="2"/>
      <c r="H2949" s="2"/>
    </row>
    <row r="2950">
      <c r="A2950" s="2"/>
      <c r="B2950" s="13"/>
      <c r="C2950" s="2"/>
      <c r="D2950" s="2"/>
      <c r="E2950" s="2"/>
      <c r="F2950" s="14"/>
      <c r="G2950" s="2"/>
      <c r="H2950" s="2"/>
    </row>
    <row r="2951">
      <c r="A2951" s="2"/>
      <c r="B2951" s="13"/>
      <c r="C2951" s="2"/>
      <c r="D2951" s="2"/>
      <c r="E2951" s="2"/>
      <c r="F2951" s="14"/>
      <c r="G2951" s="2"/>
      <c r="H2951" s="2"/>
    </row>
    <row r="2952">
      <c r="A2952" s="2"/>
      <c r="B2952" s="13"/>
      <c r="C2952" s="2"/>
      <c r="D2952" s="2"/>
      <c r="E2952" s="2"/>
      <c r="F2952" s="14"/>
      <c r="G2952" s="2"/>
      <c r="H2952" s="2"/>
    </row>
    <row r="2953">
      <c r="A2953" s="2"/>
      <c r="B2953" s="13"/>
      <c r="C2953" s="2"/>
      <c r="D2953" s="2"/>
      <c r="E2953" s="2"/>
      <c r="F2953" s="14"/>
      <c r="G2953" s="2"/>
      <c r="H2953" s="2"/>
    </row>
    <row r="2954">
      <c r="A2954" s="2"/>
      <c r="B2954" s="13"/>
      <c r="C2954" s="2"/>
      <c r="D2954" s="2"/>
      <c r="E2954" s="2"/>
      <c r="F2954" s="14"/>
      <c r="G2954" s="2"/>
      <c r="H2954" s="2"/>
    </row>
    <row r="2955">
      <c r="A2955" s="2"/>
      <c r="B2955" s="13"/>
      <c r="C2955" s="2"/>
      <c r="D2955" s="2"/>
      <c r="E2955" s="2"/>
      <c r="F2955" s="14"/>
      <c r="G2955" s="2"/>
      <c r="H2955" s="2"/>
    </row>
    <row r="2956">
      <c r="A2956" s="2"/>
      <c r="B2956" s="13"/>
      <c r="C2956" s="2"/>
      <c r="D2956" s="2"/>
      <c r="E2956" s="2"/>
      <c r="F2956" s="14"/>
      <c r="G2956" s="2"/>
      <c r="H2956" s="2"/>
    </row>
    <row r="2957">
      <c r="A2957" s="2"/>
      <c r="B2957" s="13"/>
      <c r="C2957" s="2"/>
      <c r="D2957" s="2"/>
      <c r="E2957" s="2"/>
      <c r="F2957" s="14"/>
      <c r="G2957" s="2"/>
      <c r="H2957" s="2"/>
    </row>
    <row r="2958">
      <c r="A2958" s="2"/>
      <c r="B2958" s="13"/>
      <c r="C2958" s="2"/>
      <c r="D2958" s="2"/>
      <c r="E2958" s="2"/>
      <c r="F2958" s="14"/>
      <c r="G2958" s="2"/>
      <c r="H2958" s="2"/>
    </row>
    <row r="2959">
      <c r="A2959" s="2"/>
      <c r="B2959" s="13"/>
      <c r="C2959" s="2"/>
      <c r="D2959" s="2"/>
      <c r="E2959" s="2"/>
      <c r="F2959" s="14"/>
      <c r="G2959" s="2"/>
      <c r="H2959" s="2"/>
    </row>
    <row r="2960">
      <c r="A2960" s="2"/>
      <c r="B2960" s="13"/>
      <c r="C2960" s="2"/>
      <c r="D2960" s="2"/>
      <c r="E2960" s="2"/>
      <c r="F2960" s="14"/>
      <c r="G2960" s="2"/>
      <c r="H2960" s="2"/>
    </row>
    <row r="2961">
      <c r="A2961" s="2"/>
      <c r="B2961" s="13"/>
      <c r="C2961" s="2"/>
      <c r="D2961" s="2"/>
      <c r="E2961" s="2"/>
      <c r="F2961" s="14"/>
      <c r="G2961" s="2"/>
      <c r="H2961" s="2"/>
    </row>
    <row r="2962">
      <c r="A2962" s="2"/>
      <c r="B2962" s="13"/>
      <c r="C2962" s="2"/>
      <c r="D2962" s="2"/>
      <c r="E2962" s="2"/>
      <c r="F2962" s="14"/>
      <c r="G2962" s="2"/>
      <c r="H2962" s="2"/>
    </row>
    <row r="2963">
      <c r="A2963" s="2"/>
      <c r="B2963" s="13"/>
      <c r="C2963" s="2"/>
      <c r="D2963" s="2"/>
      <c r="E2963" s="2"/>
      <c r="F2963" s="14"/>
      <c r="G2963" s="2"/>
      <c r="H2963" s="2"/>
    </row>
    <row r="2964">
      <c r="A2964" s="2"/>
      <c r="B2964" s="13"/>
      <c r="C2964" s="2"/>
      <c r="D2964" s="2"/>
      <c r="E2964" s="2"/>
      <c r="F2964" s="14"/>
      <c r="G2964" s="2"/>
      <c r="H2964" s="2"/>
    </row>
    <row r="2965">
      <c r="A2965" s="2"/>
      <c r="B2965" s="13"/>
      <c r="C2965" s="2"/>
      <c r="D2965" s="2"/>
      <c r="E2965" s="2"/>
      <c r="F2965" s="14"/>
      <c r="G2965" s="2"/>
      <c r="H2965" s="2"/>
    </row>
    <row r="2966">
      <c r="A2966" s="2"/>
      <c r="B2966" s="13"/>
      <c r="C2966" s="2"/>
      <c r="D2966" s="2"/>
      <c r="E2966" s="2"/>
      <c r="F2966" s="14"/>
      <c r="G2966" s="2"/>
      <c r="H2966" s="2"/>
    </row>
    <row r="2967">
      <c r="A2967" s="2"/>
      <c r="B2967" s="13"/>
      <c r="C2967" s="2"/>
      <c r="D2967" s="2"/>
      <c r="E2967" s="2"/>
      <c r="F2967" s="14"/>
      <c r="G2967" s="2"/>
      <c r="H2967" s="2"/>
    </row>
    <row r="2968">
      <c r="A2968" s="2"/>
      <c r="B2968" s="13"/>
      <c r="C2968" s="2"/>
      <c r="D2968" s="2"/>
      <c r="E2968" s="2"/>
      <c r="F2968" s="14"/>
      <c r="G2968" s="2"/>
      <c r="H2968" s="2"/>
    </row>
    <row r="2969">
      <c r="A2969" s="2"/>
      <c r="B2969" s="13"/>
      <c r="C2969" s="2"/>
      <c r="D2969" s="2"/>
      <c r="E2969" s="2"/>
      <c r="F2969" s="14"/>
      <c r="G2969" s="2"/>
      <c r="H2969" s="2"/>
    </row>
    <row r="2970">
      <c r="A2970" s="2"/>
      <c r="B2970" s="13"/>
      <c r="C2970" s="2"/>
      <c r="D2970" s="2"/>
      <c r="E2970" s="2"/>
      <c r="F2970" s="14"/>
      <c r="G2970" s="2"/>
      <c r="H2970" s="2"/>
    </row>
    <row r="2971">
      <c r="A2971" s="2"/>
      <c r="B2971" s="13"/>
      <c r="C2971" s="2"/>
      <c r="D2971" s="2"/>
      <c r="E2971" s="2"/>
      <c r="F2971" s="14"/>
      <c r="G2971" s="2"/>
      <c r="H2971" s="2"/>
    </row>
    <row r="2972">
      <c r="A2972" s="2"/>
      <c r="B2972" s="13"/>
      <c r="C2972" s="2"/>
      <c r="D2972" s="2"/>
      <c r="E2972" s="2"/>
      <c r="F2972" s="14"/>
      <c r="G2972" s="2"/>
      <c r="H2972" s="2"/>
    </row>
    <row r="2973">
      <c r="A2973" s="2"/>
      <c r="B2973" s="13"/>
      <c r="C2973" s="2"/>
      <c r="D2973" s="2"/>
      <c r="E2973" s="2"/>
      <c r="F2973" s="14"/>
      <c r="G2973" s="2"/>
      <c r="H2973" s="2"/>
    </row>
    <row r="2974">
      <c r="A2974" s="2"/>
      <c r="B2974" s="13"/>
      <c r="C2974" s="2"/>
      <c r="D2974" s="2"/>
      <c r="E2974" s="2"/>
      <c r="F2974" s="14"/>
      <c r="G2974" s="2"/>
      <c r="H2974" s="2"/>
    </row>
    <row r="2975">
      <c r="A2975" s="2"/>
      <c r="B2975" s="13"/>
      <c r="C2975" s="2"/>
      <c r="D2975" s="2"/>
      <c r="E2975" s="2"/>
      <c r="F2975" s="14"/>
      <c r="G2975" s="2"/>
      <c r="H2975" s="2"/>
    </row>
    <row r="2976">
      <c r="A2976" s="2"/>
      <c r="B2976" s="13"/>
      <c r="C2976" s="2"/>
      <c r="D2976" s="2"/>
      <c r="E2976" s="2"/>
      <c r="F2976" s="14"/>
      <c r="G2976" s="2"/>
      <c r="H2976" s="2"/>
    </row>
    <row r="2977">
      <c r="A2977" s="2"/>
      <c r="B2977" s="13"/>
      <c r="C2977" s="2"/>
      <c r="D2977" s="2"/>
      <c r="E2977" s="2"/>
      <c r="F2977" s="14"/>
      <c r="G2977" s="2"/>
      <c r="H2977" s="2"/>
    </row>
    <row r="2978">
      <c r="A2978" s="2"/>
      <c r="B2978" s="13"/>
      <c r="C2978" s="2"/>
      <c r="D2978" s="2"/>
      <c r="E2978" s="2"/>
      <c r="F2978" s="14"/>
      <c r="G2978" s="2"/>
      <c r="H2978" s="2"/>
    </row>
    <row r="2979">
      <c r="A2979" s="2"/>
      <c r="B2979" s="13"/>
      <c r="C2979" s="2"/>
      <c r="D2979" s="2"/>
      <c r="E2979" s="2"/>
      <c r="F2979" s="14"/>
      <c r="G2979" s="2"/>
      <c r="H2979" s="2"/>
    </row>
    <row r="2980">
      <c r="A2980" s="2"/>
      <c r="B2980" s="13"/>
      <c r="C2980" s="2"/>
      <c r="D2980" s="2"/>
      <c r="E2980" s="2"/>
      <c r="F2980" s="14"/>
      <c r="G2980" s="2"/>
      <c r="H2980" s="2"/>
    </row>
    <row r="2981">
      <c r="A2981" s="2"/>
      <c r="B2981" s="13"/>
      <c r="C2981" s="2"/>
      <c r="D2981" s="2"/>
      <c r="E2981" s="2"/>
      <c r="F2981" s="14"/>
      <c r="G2981" s="2"/>
      <c r="H2981" s="2"/>
    </row>
    <row r="2982">
      <c r="A2982" s="2"/>
      <c r="B2982" s="13"/>
      <c r="C2982" s="2"/>
      <c r="D2982" s="2"/>
      <c r="E2982" s="2"/>
      <c r="F2982" s="14"/>
      <c r="G2982" s="2"/>
      <c r="H2982" s="2"/>
    </row>
    <row r="2983">
      <c r="A2983" s="2"/>
      <c r="B2983" s="13"/>
      <c r="C2983" s="2"/>
      <c r="D2983" s="2"/>
      <c r="E2983" s="2"/>
      <c r="F2983" s="14"/>
      <c r="G2983" s="2"/>
      <c r="H2983" s="2"/>
    </row>
    <row r="2984">
      <c r="A2984" s="2"/>
      <c r="B2984" s="13"/>
      <c r="C2984" s="2"/>
      <c r="D2984" s="2"/>
      <c r="E2984" s="2"/>
      <c r="F2984" s="14"/>
      <c r="G2984" s="2"/>
      <c r="H2984" s="2"/>
    </row>
    <row r="2985">
      <c r="A2985" s="2"/>
      <c r="B2985" s="13"/>
      <c r="C2985" s="2"/>
      <c r="D2985" s="2"/>
      <c r="E2985" s="2"/>
      <c r="F2985" s="14"/>
      <c r="G2985" s="2"/>
      <c r="H2985" s="2"/>
    </row>
    <row r="2986">
      <c r="A2986" s="2"/>
      <c r="B2986" s="13"/>
      <c r="C2986" s="2"/>
      <c r="D2986" s="2"/>
      <c r="E2986" s="2"/>
      <c r="F2986" s="14"/>
      <c r="G2986" s="2"/>
      <c r="H2986" s="2"/>
    </row>
    <row r="2987">
      <c r="A2987" s="2"/>
      <c r="B2987" s="13"/>
      <c r="C2987" s="2"/>
      <c r="D2987" s="2"/>
      <c r="E2987" s="2"/>
      <c r="F2987" s="14"/>
      <c r="G2987" s="2"/>
      <c r="H2987" s="2"/>
    </row>
    <row r="2988">
      <c r="A2988" s="2"/>
      <c r="B2988" s="13"/>
      <c r="C2988" s="2"/>
      <c r="D2988" s="2"/>
      <c r="E2988" s="2"/>
      <c r="F2988" s="14"/>
      <c r="G2988" s="2"/>
      <c r="H2988" s="2"/>
    </row>
    <row r="2989">
      <c r="A2989" s="2"/>
      <c r="B2989" s="13"/>
      <c r="C2989" s="2"/>
      <c r="D2989" s="2"/>
      <c r="E2989" s="2"/>
      <c r="F2989" s="14"/>
      <c r="G2989" s="2"/>
      <c r="H2989" s="2"/>
    </row>
    <row r="2990">
      <c r="A2990" s="2"/>
      <c r="B2990" s="13"/>
      <c r="C2990" s="2"/>
      <c r="D2990" s="2"/>
      <c r="E2990" s="2"/>
      <c r="F2990" s="14"/>
      <c r="G2990" s="2"/>
      <c r="H2990" s="2"/>
    </row>
    <row r="2991">
      <c r="A2991" s="2"/>
      <c r="B2991" s="13"/>
      <c r="C2991" s="2"/>
      <c r="D2991" s="2"/>
      <c r="E2991" s="2"/>
      <c r="F2991" s="14"/>
      <c r="G2991" s="2"/>
      <c r="H2991" s="2"/>
    </row>
    <row r="2992">
      <c r="A2992" s="2"/>
      <c r="B2992" s="13"/>
      <c r="C2992" s="2"/>
      <c r="D2992" s="2"/>
      <c r="E2992" s="2"/>
      <c r="F2992" s="14"/>
      <c r="G2992" s="2"/>
      <c r="H2992" s="2"/>
    </row>
    <row r="2993">
      <c r="A2993" s="2"/>
      <c r="B2993" s="13"/>
      <c r="C2993" s="2"/>
      <c r="D2993" s="2"/>
      <c r="E2993" s="2"/>
      <c r="F2993" s="14"/>
      <c r="G2993" s="2"/>
      <c r="H2993" s="2"/>
    </row>
    <row r="2994">
      <c r="A2994" s="2"/>
      <c r="B2994" s="13"/>
      <c r="C2994" s="2"/>
      <c r="D2994" s="2"/>
      <c r="E2994" s="2"/>
      <c r="F2994" s="14"/>
      <c r="G2994" s="2"/>
      <c r="H2994" s="2"/>
    </row>
    <row r="2995">
      <c r="A2995" s="2"/>
      <c r="B2995" s="13"/>
      <c r="C2995" s="2"/>
      <c r="D2995" s="2"/>
      <c r="E2995" s="2"/>
      <c r="F2995" s="14"/>
      <c r="G2995" s="2"/>
      <c r="H2995" s="2"/>
    </row>
    <row r="2996">
      <c r="A2996" s="2"/>
      <c r="B2996" s="13"/>
      <c r="C2996" s="2"/>
      <c r="D2996" s="2"/>
      <c r="E2996" s="2"/>
      <c r="F2996" s="14"/>
      <c r="G2996" s="2"/>
      <c r="H2996" s="2"/>
    </row>
    <row r="2997">
      <c r="A2997" s="2"/>
      <c r="B2997" s="13"/>
      <c r="C2997" s="2"/>
      <c r="D2997" s="2"/>
      <c r="E2997" s="2"/>
      <c r="F2997" s="14"/>
      <c r="G2997" s="2"/>
      <c r="H2997" s="2"/>
    </row>
    <row r="2998">
      <c r="A2998" s="2"/>
      <c r="B2998" s="13"/>
      <c r="C2998" s="2"/>
      <c r="D2998" s="2"/>
      <c r="E2998" s="2"/>
      <c r="F2998" s="14"/>
      <c r="G2998" s="2"/>
      <c r="H2998" s="2"/>
    </row>
    <row r="2999">
      <c r="A2999" s="2"/>
      <c r="B2999" s="13"/>
      <c r="C2999" s="2"/>
      <c r="D2999" s="2"/>
      <c r="E2999" s="2"/>
      <c r="F2999" s="14"/>
      <c r="G2999" s="2"/>
      <c r="H2999" s="2"/>
    </row>
    <row r="3000">
      <c r="A3000" s="2"/>
      <c r="B3000" s="13"/>
      <c r="C3000" s="2"/>
      <c r="D3000" s="2"/>
      <c r="E3000" s="2"/>
      <c r="F3000" s="14"/>
      <c r="G3000" s="2"/>
      <c r="H3000" s="2"/>
    </row>
    <row r="3001">
      <c r="A3001" s="2"/>
      <c r="B3001" s="13"/>
      <c r="C3001" s="2"/>
      <c r="D3001" s="2"/>
      <c r="E3001" s="2"/>
      <c r="F3001" s="14"/>
      <c r="G3001" s="2"/>
      <c r="H3001" s="2"/>
    </row>
    <row r="3002">
      <c r="A3002" s="2"/>
      <c r="B3002" s="13"/>
      <c r="C3002" s="2"/>
      <c r="D3002" s="2"/>
      <c r="E3002" s="2"/>
      <c r="F3002" s="14"/>
      <c r="G3002" s="2"/>
      <c r="H3002" s="2"/>
    </row>
    <row r="3003">
      <c r="A3003" s="2"/>
      <c r="B3003" s="13"/>
      <c r="C3003" s="2"/>
      <c r="D3003" s="2"/>
      <c r="E3003" s="2"/>
      <c r="F3003" s="14"/>
      <c r="G3003" s="2"/>
      <c r="H3003" s="2"/>
    </row>
    <row r="3004">
      <c r="A3004" s="2"/>
      <c r="B3004" s="13"/>
      <c r="C3004" s="2"/>
      <c r="D3004" s="2"/>
      <c r="E3004" s="2"/>
      <c r="F3004" s="14"/>
      <c r="G3004" s="2"/>
      <c r="H3004" s="2"/>
    </row>
    <row r="3005">
      <c r="A3005" s="2"/>
      <c r="B3005" s="13"/>
      <c r="C3005" s="2"/>
      <c r="D3005" s="2"/>
      <c r="E3005" s="2"/>
      <c r="F3005" s="14"/>
      <c r="G3005" s="2"/>
      <c r="H3005" s="2"/>
    </row>
    <row r="3006">
      <c r="A3006" s="2"/>
      <c r="B3006" s="13"/>
      <c r="C3006" s="2"/>
      <c r="D3006" s="2"/>
      <c r="E3006" s="2"/>
      <c r="F3006" s="14"/>
      <c r="G3006" s="2"/>
      <c r="H3006" s="2"/>
    </row>
    <row r="3007">
      <c r="A3007" s="2"/>
      <c r="B3007" s="13"/>
      <c r="C3007" s="2"/>
      <c r="D3007" s="2"/>
      <c r="E3007" s="2"/>
      <c r="F3007" s="14"/>
      <c r="G3007" s="2"/>
      <c r="H3007" s="2"/>
    </row>
    <row r="3008">
      <c r="A3008" s="2"/>
      <c r="B3008" s="13"/>
      <c r="C3008" s="2"/>
      <c r="D3008" s="2"/>
      <c r="E3008" s="2"/>
      <c r="F3008" s="14"/>
      <c r="G3008" s="2"/>
      <c r="H3008" s="2"/>
    </row>
    <row r="3009">
      <c r="A3009" s="2"/>
      <c r="B3009" s="13"/>
      <c r="C3009" s="2"/>
      <c r="D3009" s="2"/>
      <c r="E3009" s="2"/>
      <c r="F3009" s="14"/>
      <c r="G3009" s="2"/>
      <c r="H3009" s="2"/>
    </row>
    <row r="3010">
      <c r="A3010" s="2"/>
      <c r="B3010" s="13"/>
      <c r="C3010" s="2"/>
      <c r="D3010" s="2"/>
      <c r="E3010" s="2"/>
      <c r="F3010" s="14"/>
      <c r="G3010" s="2"/>
      <c r="H3010" s="2"/>
    </row>
    <row r="3011">
      <c r="A3011" s="2"/>
      <c r="B3011" s="13"/>
      <c r="C3011" s="2"/>
      <c r="D3011" s="2"/>
      <c r="E3011" s="2"/>
      <c r="F3011" s="14"/>
      <c r="G3011" s="2"/>
      <c r="H3011" s="2"/>
    </row>
    <row r="3012">
      <c r="A3012" s="2"/>
      <c r="B3012" s="13"/>
      <c r="C3012" s="2"/>
      <c r="D3012" s="2"/>
      <c r="E3012" s="2"/>
      <c r="F3012" s="14"/>
      <c r="G3012" s="2"/>
      <c r="H3012" s="2"/>
    </row>
    <row r="3013">
      <c r="A3013" s="2"/>
      <c r="B3013" s="13"/>
      <c r="C3013" s="2"/>
      <c r="D3013" s="2"/>
      <c r="E3013" s="2"/>
      <c r="F3013" s="14"/>
      <c r="G3013" s="2"/>
      <c r="H3013" s="2"/>
    </row>
    <row r="3014">
      <c r="A3014" s="2"/>
      <c r="B3014" s="13"/>
      <c r="C3014" s="2"/>
      <c r="D3014" s="2"/>
      <c r="E3014" s="2"/>
      <c r="F3014" s="14"/>
      <c r="G3014" s="2"/>
      <c r="H3014" s="2"/>
    </row>
    <row r="3015">
      <c r="A3015" s="2"/>
      <c r="B3015" s="13"/>
      <c r="C3015" s="2"/>
      <c r="D3015" s="2"/>
      <c r="E3015" s="2"/>
      <c r="F3015" s="14"/>
      <c r="G3015" s="2"/>
      <c r="H3015" s="2"/>
    </row>
    <row r="3016">
      <c r="A3016" s="2"/>
      <c r="B3016" s="13"/>
      <c r="C3016" s="2"/>
      <c r="D3016" s="2"/>
      <c r="E3016" s="2"/>
      <c r="F3016" s="14"/>
      <c r="G3016" s="2"/>
      <c r="H3016" s="2"/>
    </row>
    <row r="3017">
      <c r="A3017" s="2"/>
      <c r="B3017" s="13"/>
      <c r="C3017" s="2"/>
      <c r="D3017" s="2"/>
      <c r="E3017" s="2"/>
      <c r="F3017" s="14"/>
      <c r="G3017" s="2"/>
      <c r="H3017" s="2"/>
    </row>
    <row r="3018">
      <c r="A3018" s="2"/>
      <c r="B3018" s="13"/>
      <c r="C3018" s="2"/>
      <c r="D3018" s="2"/>
      <c r="E3018" s="2"/>
      <c r="F3018" s="14"/>
      <c r="G3018" s="2"/>
      <c r="H3018" s="2"/>
    </row>
    <row r="3019">
      <c r="A3019" s="2"/>
      <c r="B3019" s="13"/>
      <c r="C3019" s="2"/>
      <c r="D3019" s="2"/>
      <c r="E3019" s="2"/>
      <c r="F3019" s="14"/>
      <c r="G3019" s="2"/>
      <c r="H3019" s="2"/>
    </row>
    <row r="3020">
      <c r="A3020" s="2"/>
      <c r="B3020" s="13"/>
      <c r="C3020" s="2"/>
      <c r="D3020" s="2"/>
      <c r="E3020" s="2"/>
      <c r="F3020" s="14"/>
      <c r="G3020" s="2"/>
      <c r="H3020" s="2"/>
    </row>
    <row r="3021">
      <c r="A3021" s="2"/>
      <c r="B3021" s="13"/>
      <c r="C3021" s="2"/>
      <c r="D3021" s="2"/>
      <c r="E3021" s="2"/>
      <c r="F3021" s="14"/>
      <c r="G3021" s="2"/>
      <c r="H3021" s="2"/>
    </row>
    <row r="3022">
      <c r="A3022" s="2"/>
      <c r="B3022" s="13"/>
      <c r="C3022" s="2"/>
      <c r="D3022" s="2"/>
      <c r="E3022" s="2"/>
      <c r="F3022" s="14"/>
      <c r="G3022" s="2"/>
      <c r="H3022" s="2"/>
    </row>
    <row r="3023">
      <c r="A3023" s="2"/>
      <c r="B3023" s="13"/>
      <c r="C3023" s="2"/>
      <c r="D3023" s="2"/>
      <c r="E3023" s="2"/>
      <c r="F3023" s="14"/>
      <c r="G3023" s="2"/>
      <c r="H3023" s="2"/>
    </row>
    <row r="3024">
      <c r="A3024" s="2"/>
      <c r="B3024" s="13"/>
      <c r="C3024" s="2"/>
      <c r="D3024" s="2"/>
      <c r="E3024" s="2"/>
      <c r="F3024" s="14"/>
      <c r="G3024" s="2"/>
      <c r="H3024" s="2"/>
    </row>
    <row r="3025">
      <c r="A3025" s="2"/>
      <c r="B3025" s="13"/>
      <c r="C3025" s="2"/>
      <c r="D3025" s="2"/>
      <c r="E3025" s="2"/>
      <c r="F3025" s="14"/>
      <c r="G3025" s="2"/>
      <c r="H3025" s="2"/>
    </row>
    <row r="3026">
      <c r="A3026" s="2"/>
      <c r="B3026" s="13"/>
      <c r="C3026" s="2"/>
      <c r="D3026" s="2"/>
      <c r="E3026" s="2"/>
      <c r="F3026" s="14"/>
      <c r="G3026" s="2"/>
      <c r="H3026" s="2"/>
    </row>
    <row r="3027">
      <c r="A3027" s="2"/>
      <c r="B3027" s="13"/>
      <c r="C3027" s="2"/>
      <c r="D3027" s="2"/>
      <c r="E3027" s="2"/>
      <c r="F3027" s="14"/>
      <c r="G3027" s="2"/>
      <c r="H3027" s="2"/>
    </row>
    <row r="3028">
      <c r="A3028" s="2"/>
      <c r="B3028" s="13"/>
      <c r="C3028" s="2"/>
      <c r="D3028" s="2"/>
      <c r="E3028" s="2"/>
      <c r="F3028" s="14"/>
      <c r="G3028" s="2"/>
      <c r="H3028" s="2"/>
    </row>
    <row r="3029">
      <c r="A3029" s="2"/>
      <c r="B3029" s="13"/>
      <c r="C3029" s="2"/>
      <c r="D3029" s="2"/>
      <c r="E3029" s="2"/>
      <c r="F3029" s="14"/>
      <c r="G3029" s="2"/>
      <c r="H3029" s="2"/>
    </row>
    <row r="3030">
      <c r="A3030" s="2"/>
      <c r="B3030" s="13"/>
      <c r="C3030" s="2"/>
      <c r="D3030" s="2"/>
      <c r="E3030" s="2"/>
      <c r="F3030" s="14"/>
      <c r="G3030" s="2"/>
      <c r="H3030" s="2"/>
    </row>
    <row r="3031">
      <c r="A3031" s="2"/>
      <c r="B3031" s="13"/>
      <c r="C3031" s="2"/>
      <c r="D3031" s="2"/>
      <c r="E3031" s="2"/>
      <c r="F3031" s="14"/>
      <c r="G3031" s="2"/>
      <c r="H3031" s="2"/>
    </row>
    <row r="3032">
      <c r="A3032" s="2"/>
      <c r="B3032" s="13"/>
      <c r="C3032" s="2"/>
      <c r="D3032" s="2"/>
      <c r="E3032" s="2"/>
      <c r="F3032" s="14"/>
      <c r="G3032" s="2"/>
      <c r="H3032" s="2"/>
    </row>
    <row r="3033">
      <c r="A3033" s="2"/>
      <c r="B3033" s="13"/>
      <c r="C3033" s="2"/>
      <c r="D3033" s="2"/>
      <c r="E3033" s="2"/>
      <c r="F3033" s="14"/>
      <c r="G3033" s="2"/>
      <c r="H3033" s="2"/>
    </row>
    <row r="3034">
      <c r="A3034" s="2"/>
      <c r="B3034" s="13"/>
      <c r="C3034" s="2"/>
      <c r="D3034" s="2"/>
      <c r="E3034" s="2"/>
      <c r="F3034" s="14"/>
      <c r="G3034" s="2"/>
      <c r="H3034" s="2"/>
    </row>
    <row r="3035">
      <c r="A3035" s="2"/>
      <c r="B3035" s="13"/>
      <c r="C3035" s="2"/>
      <c r="D3035" s="2"/>
      <c r="E3035" s="2"/>
      <c r="F3035" s="14"/>
      <c r="G3035" s="2"/>
      <c r="H3035" s="2"/>
    </row>
    <row r="3036">
      <c r="A3036" s="2"/>
      <c r="B3036" s="13"/>
      <c r="C3036" s="2"/>
      <c r="D3036" s="2"/>
      <c r="E3036" s="2"/>
      <c r="F3036" s="14"/>
      <c r="G3036" s="2"/>
      <c r="H3036" s="2"/>
    </row>
    <row r="3037">
      <c r="A3037" s="2"/>
      <c r="B3037" s="13"/>
      <c r="C3037" s="2"/>
      <c r="D3037" s="2"/>
      <c r="E3037" s="2"/>
      <c r="F3037" s="14"/>
      <c r="G3037" s="2"/>
      <c r="H3037" s="2"/>
    </row>
    <row r="3038">
      <c r="A3038" s="2"/>
      <c r="B3038" s="13"/>
      <c r="C3038" s="2"/>
      <c r="D3038" s="2"/>
      <c r="E3038" s="2"/>
      <c r="F3038" s="14"/>
      <c r="G3038" s="2"/>
      <c r="H3038" s="2"/>
    </row>
    <row r="3039">
      <c r="A3039" s="2"/>
      <c r="B3039" s="13"/>
      <c r="C3039" s="2"/>
      <c r="D3039" s="2"/>
      <c r="E3039" s="2"/>
      <c r="F3039" s="14"/>
      <c r="G3039" s="2"/>
      <c r="H3039" s="2"/>
    </row>
    <row r="3040">
      <c r="A3040" s="2"/>
      <c r="B3040" s="13"/>
      <c r="C3040" s="2"/>
      <c r="D3040" s="2"/>
      <c r="E3040" s="2"/>
      <c r="F3040" s="14"/>
      <c r="G3040" s="2"/>
      <c r="H3040" s="2"/>
    </row>
    <row r="3041">
      <c r="A3041" s="2"/>
      <c r="B3041" s="13"/>
      <c r="C3041" s="2"/>
      <c r="D3041" s="2"/>
      <c r="E3041" s="2"/>
      <c r="F3041" s="14"/>
      <c r="G3041" s="2"/>
      <c r="H3041" s="2"/>
    </row>
    <row r="3042">
      <c r="A3042" s="2"/>
      <c r="B3042" s="13"/>
      <c r="C3042" s="2"/>
      <c r="D3042" s="2"/>
      <c r="E3042" s="2"/>
      <c r="F3042" s="14"/>
      <c r="G3042" s="2"/>
      <c r="H3042" s="2"/>
    </row>
    <row r="3043">
      <c r="A3043" s="2"/>
      <c r="B3043" s="13"/>
      <c r="C3043" s="2"/>
      <c r="D3043" s="2"/>
      <c r="E3043" s="2"/>
      <c r="F3043" s="14"/>
      <c r="G3043" s="2"/>
      <c r="H3043" s="2"/>
    </row>
    <row r="3044">
      <c r="A3044" s="2"/>
      <c r="B3044" s="13"/>
      <c r="C3044" s="2"/>
      <c r="D3044" s="2"/>
      <c r="E3044" s="2"/>
      <c r="F3044" s="14"/>
      <c r="G3044" s="2"/>
      <c r="H3044" s="2"/>
    </row>
    <row r="3045">
      <c r="A3045" s="2"/>
      <c r="B3045" s="13"/>
      <c r="C3045" s="2"/>
      <c r="D3045" s="2"/>
      <c r="E3045" s="2"/>
      <c r="F3045" s="14"/>
      <c r="G3045" s="2"/>
      <c r="H3045" s="2"/>
    </row>
    <row r="3046">
      <c r="A3046" s="2"/>
      <c r="B3046" s="13"/>
      <c r="C3046" s="2"/>
      <c r="D3046" s="2"/>
      <c r="E3046" s="2"/>
      <c r="F3046" s="14"/>
      <c r="G3046" s="2"/>
      <c r="H3046" s="2"/>
    </row>
    <row r="3047">
      <c r="A3047" s="2"/>
      <c r="B3047" s="13"/>
      <c r="C3047" s="2"/>
      <c r="D3047" s="2"/>
      <c r="E3047" s="2"/>
      <c r="F3047" s="14"/>
      <c r="G3047" s="2"/>
      <c r="H3047" s="2"/>
    </row>
    <row r="3048">
      <c r="A3048" s="2"/>
      <c r="B3048" s="13"/>
      <c r="C3048" s="2"/>
      <c r="D3048" s="2"/>
      <c r="E3048" s="2"/>
      <c r="F3048" s="14"/>
      <c r="G3048" s="2"/>
      <c r="H3048" s="2"/>
    </row>
    <row r="3049">
      <c r="A3049" s="2"/>
      <c r="B3049" s="13"/>
      <c r="C3049" s="2"/>
      <c r="D3049" s="2"/>
      <c r="E3049" s="2"/>
      <c r="F3049" s="14"/>
      <c r="G3049" s="2"/>
      <c r="H3049" s="2"/>
    </row>
    <row r="3050">
      <c r="A3050" s="2"/>
      <c r="B3050" s="13"/>
      <c r="C3050" s="2"/>
      <c r="D3050" s="2"/>
      <c r="E3050" s="2"/>
      <c r="F3050" s="14"/>
      <c r="G3050" s="2"/>
      <c r="H3050" s="2"/>
    </row>
    <row r="3051">
      <c r="A3051" s="2"/>
      <c r="B3051" s="13"/>
      <c r="C3051" s="2"/>
      <c r="D3051" s="2"/>
      <c r="E3051" s="2"/>
      <c r="F3051" s="14"/>
      <c r="G3051" s="2"/>
      <c r="H3051" s="2"/>
    </row>
    <row r="3052">
      <c r="A3052" s="2"/>
      <c r="B3052" s="13"/>
      <c r="C3052" s="2"/>
      <c r="D3052" s="2"/>
      <c r="E3052" s="2"/>
      <c r="F3052" s="14"/>
      <c r="G3052" s="2"/>
      <c r="H3052" s="2"/>
    </row>
    <row r="3053">
      <c r="A3053" s="2"/>
      <c r="B3053" s="13"/>
      <c r="C3053" s="2"/>
      <c r="D3053" s="2"/>
      <c r="E3053" s="2"/>
      <c r="F3053" s="14"/>
      <c r="G3053" s="2"/>
      <c r="H3053" s="2"/>
    </row>
    <row r="3054">
      <c r="A3054" s="2"/>
      <c r="B3054" s="13"/>
      <c r="C3054" s="2"/>
      <c r="D3054" s="2"/>
      <c r="E3054" s="2"/>
      <c r="F3054" s="14"/>
      <c r="G3054" s="2"/>
      <c r="H3054" s="2"/>
    </row>
    <row r="3055">
      <c r="A3055" s="2"/>
      <c r="B3055" s="13"/>
      <c r="C3055" s="2"/>
      <c r="D3055" s="2"/>
      <c r="E3055" s="2"/>
      <c r="F3055" s="14"/>
      <c r="G3055" s="2"/>
      <c r="H3055" s="2"/>
    </row>
    <row r="3056">
      <c r="A3056" s="2"/>
      <c r="B3056" s="13"/>
      <c r="C3056" s="2"/>
      <c r="D3056" s="2"/>
      <c r="E3056" s="2"/>
      <c r="F3056" s="14"/>
      <c r="G3056" s="2"/>
      <c r="H3056" s="2"/>
    </row>
    <row r="3057">
      <c r="A3057" s="2"/>
      <c r="B3057" s="13"/>
      <c r="C3057" s="2"/>
      <c r="D3057" s="2"/>
      <c r="E3057" s="2"/>
      <c r="F3057" s="14"/>
      <c r="G3057" s="2"/>
      <c r="H3057" s="2"/>
    </row>
    <row r="3058">
      <c r="A3058" s="2"/>
      <c r="B3058" s="13"/>
      <c r="C3058" s="2"/>
      <c r="D3058" s="2"/>
      <c r="E3058" s="2"/>
      <c r="F3058" s="14"/>
      <c r="G3058" s="2"/>
      <c r="H3058" s="2"/>
    </row>
    <row r="3059">
      <c r="A3059" s="2"/>
      <c r="B3059" s="13"/>
      <c r="C3059" s="2"/>
      <c r="D3059" s="2"/>
      <c r="E3059" s="2"/>
      <c r="F3059" s="14"/>
      <c r="G3059" s="2"/>
      <c r="H3059" s="2"/>
    </row>
    <row r="3060">
      <c r="A3060" s="2"/>
      <c r="B3060" s="13"/>
      <c r="C3060" s="2"/>
      <c r="D3060" s="2"/>
      <c r="E3060" s="2"/>
      <c r="F3060" s="14"/>
      <c r="G3060" s="2"/>
      <c r="H3060" s="2"/>
    </row>
    <row r="3061">
      <c r="A3061" s="2"/>
      <c r="B3061" s="13"/>
      <c r="C3061" s="2"/>
      <c r="D3061" s="2"/>
      <c r="E3061" s="2"/>
      <c r="F3061" s="14"/>
      <c r="G3061" s="2"/>
      <c r="H3061" s="2"/>
    </row>
    <row r="3062">
      <c r="A3062" s="2"/>
      <c r="B3062" s="13"/>
      <c r="C3062" s="2"/>
      <c r="D3062" s="2"/>
      <c r="E3062" s="2"/>
      <c r="F3062" s="14"/>
      <c r="G3062" s="2"/>
      <c r="H3062" s="2"/>
    </row>
    <row r="3063">
      <c r="A3063" s="2"/>
      <c r="B3063" s="13"/>
      <c r="C3063" s="2"/>
      <c r="D3063" s="2"/>
      <c r="E3063" s="2"/>
      <c r="F3063" s="14"/>
      <c r="G3063" s="2"/>
      <c r="H3063" s="2"/>
    </row>
    <row r="3064">
      <c r="A3064" s="2"/>
      <c r="B3064" s="13"/>
      <c r="C3064" s="2"/>
      <c r="D3064" s="2"/>
      <c r="E3064" s="2"/>
      <c r="F3064" s="14"/>
      <c r="G3064" s="2"/>
      <c r="H3064" s="2"/>
    </row>
    <row r="3065">
      <c r="A3065" s="2"/>
      <c r="B3065" s="13"/>
      <c r="C3065" s="2"/>
      <c r="D3065" s="2"/>
      <c r="E3065" s="2"/>
      <c r="F3065" s="14"/>
      <c r="G3065" s="2"/>
      <c r="H3065" s="2"/>
    </row>
    <row r="3066">
      <c r="A3066" s="2"/>
      <c r="B3066" s="13"/>
      <c r="C3066" s="2"/>
      <c r="D3066" s="2"/>
      <c r="E3066" s="2"/>
      <c r="F3066" s="14"/>
      <c r="G3066" s="2"/>
      <c r="H3066" s="2"/>
    </row>
    <row r="3067">
      <c r="A3067" s="2"/>
      <c r="B3067" s="13"/>
      <c r="C3067" s="2"/>
      <c r="D3067" s="2"/>
      <c r="E3067" s="2"/>
      <c r="F3067" s="14"/>
      <c r="G3067" s="2"/>
      <c r="H3067" s="2"/>
    </row>
    <row r="3068">
      <c r="A3068" s="2"/>
      <c r="B3068" s="13"/>
      <c r="C3068" s="2"/>
      <c r="D3068" s="2"/>
      <c r="E3068" s="2"/>
      <c r="F3068" s="14"/>
      <c r="G3068" s="2"/>
      <c r="H3068" s="2"/>
    </row>
    <row r="3069">
      <c r="A3069" s="2"/>
      <c r="B3069" s="13"/>
      <c r="C3069" s="2"/>
      <c r="D3069" s="2"/>
      <c r="E3069" s="2"/>
      <c r="F3069" s="14"/>
      <c r="G3069" s="2"/>
      <c r="H3069" s="2"/>
    </row>
    <row r="3070">
      <c r="A3070" s="2"/>
      <c r="B3070" s="13"/>
      <c r="C3070" s="2"/>
      <c r="D3070" s="2"/>
      <c r="E3070" s="2"/>
      <c r="F3070" s="14"/>
      <c r="G3070" s="2"/>
      <c r="H3070" s="2"/>
    </row>
    <row r="3071">
      <c r="A3071" s="2"/>
      <c r="B3071" s="13"/>
      <c r="C3071" s="2"/>
      <c r="D3071" s="2"/>
      <c r="E3071" s="2"/>
      <c r="F3071" s="14"/>
      <c r="G3071" s="2"/>
      <c r="H3071" s="2"/>
    </row>
    <row r="3072">
      <c r="A3072" s="2"/>
      <c r="B3072" s="13"/>
      <c r="C3072" s="2"/>
      <c r="D3072" s="2"/>
      <c r="E3072" s="2"/>
      <c r="F3072" s="14"/>
      <c r="G3072" s="2"/>
      <c r="H3072" s="2"/>
    </row>
    <row r="3073">
      <c r="A3073" s="2"/>
      <c r="B3073" s="13"/>
      <c r="C3073" s="2"/>
      <c r="D3073" s="2"/>
      <c r="E3073" s="2"/>
      <c r="F3073" s="14"/>
      <c r="G3073" s="2"/>
      <c r="H3073" s="2"/>
    </row>
    <row r="3074">
      <c r="A3074" s="2"/>
      <c r="B3074" s="13"/>
      <c r="C3074" s="2"/>
      <c r="D3074" s="2"/>
      <c r="E3074" s="2"/>
      <c r="F3074" s="14"/>
      <c r="G3074" s="2"/>
      <c r="H3074" s="2"/>
    </row>
    <row r="3075">
      <c r="A3075" s="2"/>
      <c r="B3075" s="13"/>
      <c r="C3075" s="2"/>
      <c r="D3075" s="2"/>
      <c r="E3075" s="2"/>
      <c r="F3075" s="14"/>
      <c r="G3075" s="2"/>
      <c r="H3075" s="2"/>
    </row>
    <row r="3076">
      <c r="A3076" s="2"/>
      <c r="B3076" s="13"/>
      <c r="C3076" s="2"/>
      <c r="D3076" s="2"/>
      <c r="E3076" s="2"/>
      <c r="F3076" s="14"/>
      <c r="G3076" s="2"/>
      <c r="H3076" s="2"/>
    </row>
    <row r="3077">
      <c r="A3077" s="2"/>
      <c r="B3077" s="13"/>
      <c r="C3077" s="2"/>
      <c r="D3077" s="2"/>
      <c r="E3077" s="2"/>
      <c r="F3077" s="14"/>
      <c r="G3077" s="2"/>
      <c r="H3077" s="2"/>
    </row>
    <row r="3078">
      <c r="A3078" s="2"/>
      <c r="B3078" s="13"/>
      <c r="C3078" s="2"/>
      <c r="D3078" s="2"/>
      <c r="E3078" s="2"/>
      <c r="F3078" s="14"/>
      <c r="G3078" s="2"/>
      <c r="H3078" s="2"/>
    </row>
    <row r="3079">
      <c r="A3079" s="2"/>
      <c r="B3079" s="13"/>
      <c r="C3079" s="2"/>
      <c r="D3079" s="2"/>
      <c r="E3079" s="2"/>
      <c r="F3079" s="14"/>
      <c r="G3079" s="2"/>
      <c r="H3079" s="2"/>
    </row>
    <row r="3080">
      <c r="A3080" s="2"/>
      <c r="B3080" s="13"/>
      <c r="C3080" s="2"/>
      <c r="D3080" s="2"/>
      <c r="E3080" s="2"/>
      <c r="F3080" s="14"/>
      <c r="G3080" s="2"/>
      <c r="H3080" s="2"/>
    </row>
    <row r="3081">
      <c r="A3081" s="2"/>
      <c r="B3081" s="13"/>
      <c r="C3081" s="2"/>
      <c r="D3081" s="2"/>
      <c r="E3081" s="2"/>
      <c r="F3081" s="14"/>
      <c r="G3081" s="2"/>
      <c r="H3081" s="2"/>
    </row>
    <row r="3082">
      <c r="A3082" s="2"/>
      <c r="B3082" s="13"/>
      <c r="C3082" s="2"/>
      <c r="D3082" s="2"/>
      <c r="E3082" s="2"/>
      <c r="F3082" s="14"/>
      <c r="G3082" s="2"/>
      <c r="H3082" s="2"/>
    </row>
    <row r="3083">
      <c r="A3083" s="2"/>
      <c r="B3083" s="13"/>
      <c r="C3083" s="2"/>
      <c r="D3083" s="2"/>
      <c r="E3083" s="2"/>
      <c r="F3083" s="14"/>
      <c r="G3083" s="2"/>
      <c r="H3083" s="2"/>
    </row>
    <row r="3084">
      <c r="A3084" s="2"/>
      <c r="B3084" s="13"/>
      <c r="C3084" s="2"/>
      <c r="D3084" s="2"/>
      <c r="E3084" s="2"/>
      <c r="F3084" s="14"/>
      <c r="G3084" s="2"/>
      <c r="H3084" s="2"/>
    </row>
    <row r="3085">
      <c r="A3085" s="2"/>
      <c r="B3085" s="13"/>
      <c r="C3085" s="2"/>
      <c r="D3085" s="2"/>
      <c r="E3085" s="2"/>
      <c r="F3085" s="14"/>
      <c r="G3085" s="2"/>
      <c r="H3085" s="2"/>
    </row>
    <row r="3086">
      <c r="A3086" s="2"/>
      <c r="B3086" s="13"/>
      <c r="C3086" s="2"/>
      <c r="D3086" s="2"/>
      <c r="E3086" s="2"/>
      <c r="F3086" s="14"/>
      <c r="G3086" s="2"/>
      <c r="H3086" s="2"/>
    </row>
    <row r="3087">
      <c r="A3087" s="2"/>
      <c r="B3087" s="13"/>
      <c r="C3087" s="2"/>
      <c r="D3087" s="2"/>
      <c r="E3087" s="2"/>
      <c r="F3087" s="14"/>
      <c r="G3087" s="2"/>
      <c r="H3087" s="2"/>
    </row>
    <row r="3088">
      <c r="A3088" s="2"/>
      <c r="B3088" s="13"/>
      <c r="C3088" s="2"/>
      <c r="D3088" s="2"/>
      <c r="E3088" s="2"/>
      <c r="F3088" s="14"/>
      <c r="G3088" s="2"/>
      <c r="H3088" s="2"/>
    </row>
    <row r="3089">
      <c r="A3089" s="2"/>
      <c r="B3089" s="13"/>
      <c r="C3089" s="2"/>
      <c r="D3089" s="2"/>
      <c r="E3089" s="2"/>
      <c r="F3089" s="14"/>
      <c r="G3089" s="2"/>
      <c r="H3089" s="2"/>
    </row>
    <row r="3090">
      <c r="A3090" s="2"/>
      <c r="B3090" s="13"/>
      <c r="C3090" s="2"/>
      <c r="D3090" s="2"/>
      <c r="E3090" s="2"/>
      <c r="F3090" s="14"/>
      <c r="G3090" s="2"/>
      <c r="H3090" s="2"/>
    </row>
    <row r="3091">
      <c r="A3091" s="2"/>
      <c r="B3091" s="13"/>
      <c r="C3091" s="2"/>
      <c r="D3091" s="2"/>
      <c r="E3091" s="2"/>
      <c r="F3091" s="14"/>
      <c r="G3091" s="2"/>
      <c r="H3091" s="2"/>
    </row>
    <row r="3092">
      <c r="A3092" s="2"/>
      <c r="B3092" s="13"/>
      <c r="C3092" s="2"/>
      <c r="D3092" s="2"/>
      <c r="E3092" s="2"/>
      <c r="F3092" s="14"/>
      <c r="G3092" s="2"/>
      <c r="H3092" s="2"/>
    </row>
    <row r="3093">
      <c r="A3093" s="2"/>
      <c r="B3093" s="13"/>
      <c r="C3093" s="2"/>
      <c r="D3093" s="2"/>
      <c r="E3093" s="2"/>
      <c r="F3093" s="14"/>
      <c r="G3093" s="2"/>
      <c r="H3093" s="2"/>
    </row>
    <row r="3094">
      <c r="A3094" s="2"/>
      <c r="B3094" s="13"/>
      <c r="C3094" s="2"/>
      <c r="D3094" s="2"/>
      <c r="E3094" s="2"/>
      <c r="F3094" s="14"/>
      <c r="G3094" s="2"/>
      <c r="H3094" s="2"/>
    </row>
    <row r="3095">
      <c r="A3095" s="2"/>
      <c r="B3095" s="13"/>
      <c r="C3095" s="2"/>
      <c r="D3095" s="2"/>
      <c r="E3095" s="2"/>
      <c r="F3095" s="14"/>
      <c r="G3095" s="2"/>
      <c r="H3095" s="2"/>
    </row>
    <row r="3096">
      <c r="A3096" s="2"/>
      <c r="B3096" s="13"/>
      <c r="C3096" s="2"/>
      <c r="D3096" s="2"/>
      <c r="E3096" s="2"/>
      <c r="F3096" s="14"/>
      <c r="G3096" s="2"/>
      <c r="H3096" s="2"/>
    </row>
    <row r="3097">
      <c r="A3097" s="2"/>
      <c r="B3097" s="13"/>
      <c r="C3097" s="2"/>
      <c r="D3097" s="2"/>
      <c r="E3097" s="2"/>
      <c r="F3097" s="14"/>
      <c r="G3097" s="2"/>
      <c r="H3097" s="2"/>
    </row>
    <row r="3098">
      <c r="A3098" s="2"/>
      <c r="B3098" s="13"/>
      <c r="C3098" s="2"/>
      <c r="D3098" s="2"/>
      <c r="E3098" s="2"/>
      <c r="F3098" s="14"/>
      <c r="G3098" s="2"/>
      <c r="H3098" s="2"/>
    </row>
    <row r="3099">
      <c r="A3099" s="2"/>
      <c r="B3099" s="13"/>
      <c r="C3099" s="2"/>
      <c r="D3099" s="2"/>
      <c r="E3099" s="2"/>
      <c r="F3099" s="14"/>
      <c r="G3099" s="2"/>
      <c r="H3099" s="2"/>
    </row>
    <row r="3100">
      <c r="A3100" s="2"/>
      <c r="B3100" s="13"/>
      <c r="C3100" s="2"/>
      <c r="D3100" s="2"/>
      <c r="E3100" s="2"/>
      <c r="F3100" s="14"/>
      <c r="G3100" s="2"/>
      <c r="H3100" s="2"/>
    </row>
    <row r="3101">
      <c r="A3101" s="2"/>
      <c r="B3101" s="13"/>
      <c r="C3101" s="2"/>
      <c r="D3101" s="2"/>
      <c r="E3101" s="2"/>
      <c r="F3101" s="14"/>
      <c r="G3101" s="2"/>
      <c r="H3101" s="2"/>
    </row>
    <row r="3102">
      <c r="A3102" s="2"/>
      <c r="B3102" s="13"/>
      <c r="C3102" s="2"/>
      <c r="D3102" s="2"/>
      <c r="E3102" s="2"/>
      <c r="F3102" s="14"/>
      <c r="G3102" s="2"/>
      <c r="H3102" s="2"/>
    </row>
    <row r="3103">
      <c r="A3103" s="2"/>
      <c r="B3103" s="13"/>
      <c r="C3103" s="2"/>
      <c r="D3103" s="2"/>
      <c r="E3103" s="2"/>
      <c r="F3103" s="14"/>
      <c r="G3103" s="2"/>
      <c r="H3103" s="2"/>
    </row>
    <row r="3104">
      <c r="A3104" s="2"/>
      <c r="B3104" s="13"/>
      <c r="C3104" s="2"/>
      <c r="D3104" s="2"/>
      <c r="E3104" s="2"/>
      <c r="F3104" s="14"/>
      <c r="G3104" s="2"/>
      <c r="H3104" s="2"/>
    </row>
    <row r="3105">
      <c r="A3105" s="2"/>
      <c r="B3105" s="13"/>
      <c r="C3105" s="2"/>
      <c r="D3105" s="2"/>
      <c r="E3105" s="2"/>
      <c r="F3105" s="14"/>
      <c r="G3105" s="2"/>
      <c r="H3105" s="2"/>
    </row>
    <row r="3106">
      <c r="A3106" s="2"/>
      <c r="B3106" s="13"/>
      <c r="C3106" s="2"/>
      <c r="D3106" s="2"/>
      <c r="E3106" s="2"/>
      <c r="F3106" s="14"/>
      <c r="G3106" s="2"/>
      <c r="H3106" s="2"/>
    </row>
    <row r="3107">
      <c r="A3107" s="2"/>
      <c r="B3107" s="13"/>
      <c r="C3107" s="2"/>
      <c r="D3107" s="2"/>
      <c r="E3107" s="2"/>
      <c r="F3107" s="14"/>
      <c r="G3107" s="2"/>
      <c r="H3107" s="2"/>
    </row>
    <row r="3108">
      <c r="A3108" s="2"/>
      <c r="B3108" s="13"/>
      <c r="C3108" s="2"/>
      <c r="D3108" s="2"/>
      <c r="E3108" s="2"/>
      <c r="F3108" s="14"/>
      <c r="G3108" s="2"/>
      <c r="H3108" s="2"/>
    </row>
    <row r="3109">
      <c r="A3109" s="2"/>
      <c r="B3109" s="13"/>
      <c r="C3109" s="2"/>
      <c r="D3109" s="2"/>
      <c r="E3109" s="2"/>
      <c r="F3109" s="14"/>
      <c r="G3109" s="2"/>
      <c r="H3109" s="2"/>
    </row>
    <row r="3110">
      <c r="A3110" s="2"/>
      <c r="B3110" s="13"/>
      <c r="C3110" s="2"/>
      <c r="D3110" s="2"/>
      <c r="E3110" s="2"/>
      <c r="F3110" s="14"/>
      <c r="G3110" s="2"/>
      <c r="H3110" s="2"/>
    </row>
    <row r="3111">
      <c r="A3111" s="2"/>
      <c r="B3111" s="13"/>
      <c r="C3111" s="2"/>
      <c r="D3111" s="2"/>
      <c r="E3111" s="2"/>
      <c r="F3111" s="14"/>
      <c r="G3111" s="2"/>
      <c r="H3111" s="2"/>
    </row>
    <row r="3112">
      <c r="A3112" s="2"/>
      <c r="B3112" s="13"/>
      <c r="C3112" s="2"/>
      <c r="D3112" s="2"/>
      <c r="E3112" s="2"/>
      <c r="F3112" s="14"/>
      <c r="G3112" s="2"/>
      <c r="H3112" s="2"/>
    </row>
    <row r="3113">
      <c r="A3113" s="2"/>
      <c r="B3113" s="13"/>
      <c r="C3113" s="2"/>
      <c r="D3113" s="2"/>
      <c r="E3113" s="2"/>
      <c r="F3113" s="14"/>
      <c r="G3113" s="2"/>
      <c r="H3113" s="2"/>
    </row>
    <row r="3114">
      <c r="A3114" s="2"/>
      <c r="B3114" s="13"/>
      <c r="C3114" s="2"/>
      <c r="D3114" s="2"/>
      <c r="E3114" s="2"/>
      <c r="F3114" s="14"/>
      <c r="G3114" s="2"/>
      <c r="H3114" s="2"/>
    </row>
    <row r="3115">
      <c r="A3115" s="2"/>
      <c r="B3115" s="13"/>
      <c r="C3115" s="2"/>
      <c r="D3115" s="2"/>
      <c r="E3115" s="2"/>
      <c r="F3115" s="14"/>
      <c r="G3115" s="2"/>
      <c r="H3115" s="2"/>
    </row>
    <row r="3116">
      <c r="A3116" s="2"/>
      <c r="B3116" s="13"/>
      <c r="C3116" s="2"/>
      <c r="D3116" s="2"/>
      <c r="E3116" s="2"/>
      <c r="F3116" s="14"/>
      <c r="G3116" s="2"/>
      <c r="H3116" s="2"/>
    </row>
    <row r="3117">
      <c r="A3117" s="2"/>
      <c r="B3117" s="13"/>
      <c r="C3117" s="2"/>
      <c r="D3117" s="2"/>
      <c r="E3117" s="2"/>
      <c r="F3117" s="14"/>
      <c r="G3117" s="2"/>
      <c r="H3117" s="2"/>
    </row>
    <row r="3118">
      <c r="A3118" s="2"/>
      <c r="B3118" s="13"/>
      <c r="C3118" s="2"/>
      <c r="D3118" s="2"/>
      <c r="E3118" s="2"/>
      <c r="F3118" s="14"/>
      <c r="G3118" s="2"/>
      <c r="H3118" s="2"/>
    </row>
    <row r="3119">
      <c r="A3119" s="2"/>
      <c r="B3119" s="13"/>
      <c r="C3119" s="2"/>
      <c r="D3119" s="2"/>
      <c r="E3119" s="2"/>
      <c r="F3119" s="14"/>
      <c r="G3119" s="2"/>
      <c r="H3119" s="2"/>
    </row>
    <row r="3120">
      <c r="A3120" s="2"/>
      <c r="B3120" s="13"/>
      <c r="C3120" s="2"/>
      <c r="D3120" s="2"/>
      <c r="E3120" s="2"/>
      <c r="F3120" s="14"/>
      <c r="G3120" s="2"/>
      <c r="H3120" s="2"/>
    </row>
    <row r="3121">
      <c r="A3121" s="2"/>
      <c r="B3121" s="13"/>
      <c r="C3121" s="2"/>
      <c r="D3121" s="2"/>
      <c r="E3121" s="2"/>
      <c r="F3121" s="14"/>
      <c r="G3121" s="2"/>
      <c r="H3121" s="2"/>
    </row>
    <row r="3122">
      <c r="A3122" s="2"/>
      <c r="B3122" s="13"/>
      <c r="C3122" s="2"/>
      <c r="D3122" s="2"/>
      <c r="E3122" s="2"/>
      <c r="F3122" s="14"/>
      <c r="G3122" s="2"/>
      <c r="H3122" s="2"/>
    </row>
    <row r="3123">
      <c r="A3123" s="2"/>
      <c r="B3123" s="13"/>
      <c r="C3123" s="2"/>
      <c r="D3123" s="2"/>
      <c r="E3123" s="2"/>
      <c r="F3123" s="14"/>
      <c r="G3123" s="2"/>
      <c r="H3123" s="2"/>
    </row>
    <row r="3124">
      <c r="A3124" s="2"/>
      <c r="B3124" s="13"/>
      <c r="C3124" s="2"/>
      <c r="D3124" s="2"/>
      <c r="E3124" s="2"/>
      <c r="F3124" s="14"/>
      <c r="G3124" s="2"/>
      <c r="H3124" s="2"/>
    </row>
    <row r="3125">
      <c r="A3125" s="2"/>
      <c r="B3125" s="13"/>
      <c r="C3125" s="2"/>
      <c r="D3125" s="2"/>
      <c r="E3125" s="2"/>
      <c r="F3125" s="14"/>
      <c r="G3125" s="2"/>
      <c r="H3125" s="2"/>
    </row>
    <row r="3126">
      <c r="A3126" s="2"/>
      <c r="B3126" s="13"/>
      <c r="C3126" s="2"/>
      <c r="D3126" s="2"/>
      <c r="E3126" s="2"/>
      <c r="F3126" s="14"/>
      <c r="G3126" s="2"/>
      <c r="H3126" s="2"/>
    </row>
    <row r="3127">
      <c r="A3127" s="2"/>
      <c r="B3127" s="13"/>
      <c r="C3127" s="2"/>
      <c r="D3127" s="2"/>
      <c r="E3127" s="2"/>
      <c r="F3127" s="14"/>
      <c r="G3127" s="2"/>
      <c r="H3127" s="2"/>
    </row>
    <row r="3128">
      <c r="A3128" s="2"/>
      <c r="B3128" s="13"/>
      <c r="C3128" s="2"/>
      <c r="D3128" s="2"/>
      <c r="E3128" s="2"/>
      <c r="F3128" s="14"/>
      <c r="G3128" s="2"/>
      <c r="H3128" s="2"/>
    </row>
    <row r="3129">
      <c r="A3129" s="2"/>
      <c r="B3129" s="13"/>
      <c r="C3129" s="2"/>
      <c r="D3129" s="2"/>
      <c r="E3129" s="2"/>
      <c r="F3129" s="14"/>
      <c r="G3129" s="2"/>
      <c r="H3129" s="2"/>
    </row>
    <row r="3130">
      <c r="A3130" s="2"/>
      <c r="B3130" s="13"/>
      <c r="C3130" s="2"/>
      <c r="D3130" s="2"/>
      <c r="E3130" s="2"/>
      <c r="F3130" s="14"/>
      <c r="G3130" s="2"/>
      <c r="H3130" s="2"/>
    </row>
    <row r="3131">
      <c r="A3131" s="2"/>
      <c r="B3131" s="13"/>
      <c r="C3131" s="2"/>
      <c r="D3131" s="2"/>
      <c r="E3131" s="2"/>
      <c r="F3131" s="14"/>
      <c r="G3131" s="2"/>
      <c r="H3131" s="2"/>
    </row>
    <row r="3132">
      <c r="A3132" s="2"/>
      <c r="B3132" s="13"/>
      <c r="C3132" s="2"/>
      <c r="D3132" s="2"/>
      <c r="E3132" s="2"/>
      <c r="F3132" s="14"/>
      <c r="G3132" s="2"/>
      <c r="H3132" s="2"/>
    </row>
    <row r="3133">
      <c r="A3133" s="2"/>
      <c r="B3133" s="13"/>
      <c r="C3133" s="2"/>
      <c r="D3133" s="2"/>
      <c r="E3133" s="2"/>
      <c r="F3133" s="14"/>
      <c r="G3133" s="2"/>
      <c r="H3133" s="2"/>
    </row>
    <row r="3134">
      <c r="A3134" s="2"/>
      <c r="B3134" s="13"/>
      <c r="C3134" s="2"/>
      <c r="D3134" s="2"/>
      <c r="E3134" s="2"/>
      <c r="F3134" s="14"/>
      <c r="G3134" s="2"/>
      <c r="H3134" s="2"/>
    </row>
    <row r="3135">
      <c r="A3135" s="2"/>
      <c r="B3135" s="13"/>
      <c r="C3135" s="2"/>
      <c r="D3135" s="2"/>
      <c r="E3135" s="2"/>
      <c r="F3135" s="14"/>
      <c r="G3135" s="2"/>
      <c r="H3135" s="2"/>
    </row>
    <row r="3136">
      <c r="A3136" s="2"/>
      <c r="B3136" s="13"/>
      <c r="C3136" s="2"/>
      <c r="D3136" s="2"/>
      <c r="E3136" s="2"/>
      <c r="F3136" s="14"/>
      <c r="G3136" s="2"/>
      <c r="H3136" s="2"/>
    </row>
    <row r="3137">
      <c r="A3137" s="2"/>
      <c r="B3137" s="13"/>
      <c r="C3137" s="2"/>
      <c r="D3137" s="2"/>
      <c r="E3137" s="2"/>
      <c r="F3137" s="14"/>
      <c r="G3137" s="2"/>
      <c r="H3137" s="2"/>
    </row>
    <row r="3138">
      <c r="A3138" s="2"/>
      <c r="B3138" s="13"/>
      <c r="C3138" s="2"/>
      <c r="D3138" s="2"/>
      <c r="E3138" s="2"/>
      <c r="F3138" s="14"/>
      <c r="G3138" s="2"/>
      <c r="H3138" s="2"/>
    </row>
    <row r="3139">
      <c r="A3139" s="2"/>
      <c r="B3139" s="13"/>
      <c r="C3139" s="2"/>
      <c r="D3139" s="2"/>
      <c r="E3139" s="2"/>
      <c r="F3139" s="14"/>
      <c r="G3139" s="2"/>
      <c r="H3139" s="2"/>
    </row>
    <row r="3140">
      <c r="A3140" s="2"/>
      <c r="B3140" s="13"/>
      <c r="C3140" s="2"/>
      <c r="D3140" s="2"/>
      <c r="E3140" s="2"/>
      <c r="F3140" s="14"/>
      <c r="G3140" s="2"/>
      <c r="H3140" s="2"/>
    </row>
    <row r="3141">
      <c r="A3141" s="2"/>
      <c r="B3141" s="13"/>
      <c r="C3141" s="2"/>
      <c r="D3141" s="2"/>
      <c r="E3141" s="2"/>
      <c r="F3141" s="14"/>
      <c r="G3141" s="2"/>
      <c r="H3141" s="2"/>
    </row>
    <row r="3142">
      <c r="A3142" s="2"/>
      <c r="B3142" s="13"/>
      <c r="C3142" s="2"/>
      <c r="D3142" s="2"/>
      <c r="E3142" s="2"/>
      <c r="F3142" s="14"/>
      <c r="G3142" s="2"/>
      <c r="H3142" s="2"/>
    </row>
    <row r="3143">
      <c r="A3143" s="2"/>
      <c r="B3143" s="13"/>
      <c r="C3143" s="2"/>
      <c r="D3143" s="2"/>
      <c r="E3143" s="2"/>
      <c r="F3143" s="14"/>
      <c r="G3143" s="2"/>
      <c r="H3143" s="2"/>
    </row>
    <row r="3144">
      <c r="A3144" s="2"/>
      <c r="B3144" s="13"/>
      <c r="C3144" s="2"/>
      <c r="D3144" s="2"/>
      <c r="E3144" s="2"/>
      <c r="F3144" s="14"/>
      <c r="G3144" s="2"/>
      <c r="H3144" s="2"/>
    </row>
    <row r="3145">
      <c r="A3145" s="2"/>
      <c r="B3145" s="13"/>
      <c r="C3145" s="2"/>
      <c r="D3145" s="2"/>
      <c r="E3145" s="2"/>
      <c r="F3145" s="14"/>
      <c r="G3145" s="2"/>
      <c r="H3145" s="2"/>
    </row>
    <row r="3146">
      <c r="A3146" s="2"/>
      <c r="B3146" s="13"/>
      <c r="C3146" s="2"/>
      <c r="D3146" s="2"/>
      <c r="E3146" s="2"/>
      <c r="F3146" s="14"/>
      <c r="G3146" s="2"/>
      <c r="H3146" s="2"/>
    </row>
    <row r="3147">
      <c r="A3147" s="2"/>
      <c r="B3147" s="13"/>
      <c r="C3147" s="2"/>
      <c r="D3147" s="2"/>
      <c r="E3147" s="2"/>
      <c r="F3147" s="14"/>
      <c r="G3147" s="2"/>
      <c r="H3147" s="2"/>
    </row>
    <row r="3148">
      <c r="A3148" s="2"/>
      <c r="B3148" s="13"/>
      <c r="C3148" s="2"/>
      <c r="D3148" s="2"/>
      <c r="E3148" s="2"/>
      <c r="F3148" s="14"/>
      <c r="G3148" s="2"/>
      <c r="H3148" s="2"/>
    </row>
    <row r="3149">
      <c r="A3149" s="2"/>
      <c r="B3149" s="13"/>
      <c r="C3149" s="2"/>
      <c r="D3149" s="2"/>
      <c r="E3149" s="2"/>
      <c r="F3149" s="14"/>
      <c r="G3149" s="2"/>
      <c r="H3149" s="2"/>
    </row>
    <row r="3150">
      <c r="A3150" s="2"/>
      <c r="B3150" s="13"/>
      <c r="C3150" s="2"/>
      <c r="D3150" s="2"/>
      <c r="E3150" s="2"/>
      <c r="F3150" s="14"/>
      <c r="G3150" s="2"/>
      <c r="H3150" s="2"/>
    </row>
    <row r="3151">
      <c r="A3151" s="2"/>
      <c r="B3151" s="13"/>
      <c r="C3151" s="2"/>
      <c r="D3151" s="2"/>
      <c r="E3151" s="2"/>
      <c r="F3151" s="14"/>
      <c r="G3151" s="2"/>
      <c r="H3151" s="2"/>
    </row>
    <row r="3152">
      <c r="A3152" s="2"/>
      <c r="B3152" s="13"/>
      <c r="C3152" s="2"/>
      <c r="D3152" s="2"/>
      <c r="E3152" s="2"/>
      <c r="F3152" s="14"/>
      <c r="G3152" s="2"/>
      <c r="H3152" s="2"/>
    </row>
    <row r="3153">
      <c r="A3153" s="2"/>
      <c r="B3153" s="13"/>
      <c r="C3153" s="2"/>
      <c r="D3153" s="2"/>
      <c r="E3153" s="2"/>
      <c r="F3153" s="14"/>
      <c r="G3153" s="2"/>
      <c r="H3153" s="2"/>
    </row>
    <row r="3154">
      <c r="A3154" s="2"/>
      <c r="B3154" s="13"/>
      <c r="C3154" s="2"/>
      <c r="D3154" s="2"/>
      <c r="E3154" s="2"/>
      <c r="F3154" s="14"/>
      <c r="G3154" s="2"/>
      <c r="H3154" s="2"/>
    </row>
    <row r="3155">
      <c r="A3155" s="2"/>
      <c r="B3155" s="13"/>
      <c r="C3155" s="2"/>
      <c r="D3155" s="2"/>
      <c r="E3155" s="2"/>
      <c r="F3155" s="14"/>
      <c r="G3155" s="2"/>
      <c r="H3155" s="2"/>
    </row>
    <row r="3156">
      <c r="A3156" s="2"/>
      <c r="B3156" s="13"/>
      <c r="C3156" s="2"/>
      <c r="D3156" s="2"/>
      <c r="E3156" s="2"/>
      <c r="F3156" s="14"/>
      <c r="G3156" s="2"/>
      <c r="H3156" s="2"/>
    </row>
    <row r="3157">
      <c r="A3157" s="2"/>
      <c r="B3157" s="13"/>
      <c r="C3157" s="2"/>
      <c r="D3157" s="2"/>
      <c r="E3157" s="2"/>
      <c r="F3157" s="14"/>
      <c r="G3157" s="2"/>
      <c r="H3157" s="2"/>
    </row>
    <row r="3158">
      <c r="A3158" s="2"/>
      <c r="B3158" s="13"/>
      <c r="C3158" s="2"/>
      <c r="D3158" s="2"/>
      <c r="E3158" s="2"/>
      <c r="F3158" s="14"/>
      <c r="G3158" s="2"/>
      <c r="H3158" s="2"/>
    </row>
    <row r="3159">
      <c r="A3159" s="2"/>
      <c r="B3159" s="13"/>
      <c r="C3159" s="2"/>
      <c r="D3159" s="2"/>
      <c r="E3159" s="2"/>
      <c r="F3159" s="14"/>
      <c r="G3159" s="2"/>
      <c r="H3159" s="2"/>
    </row>
    <row r="3160">
      <c r="A3160" s="2"/>
      <c r="B3160" s="13"/>
      <c r="C3160" s="2"/>
      <c r="D3160" s="2"/>
      <c r="E3160" s="2"/>
      <c r="F3160" s="14"/>
      <c r="G3160" s="2"/>
      <c r="H3160" s="2"/>
    </row>
    <row r="3161">
      <c r="A3161" s="2"/>
      <c r="B3161" s="13"/>
      <c r="C3161" s="2"/>
      <c r="D3161" s="2"/>
      <c r="E3161" s="2"/>
      <c r="F3161" s="14"/>
      <c r="G3161" s="2"/>
      <c r="H3161" s="2"/>
    </row>
    <row r="3162">
      <c r="A3162" s="2"/>
      <c r="B3162" s="13"/>
      <c r="C3162" s="2"/>
      <c r="D3162" s="2"/>
      <c r="E3162" s="2"/>
      <c r="F3162" s="14"/>
      <c r="G3162" s="2"/>
      <c r="H3162" s="2"/>
    </row>
    <row r="3163">
      <c r="A3163" s="2"/>
      <c r="B3163" s="13"/>
      <c r="C3163" s="2"/>
      <c r="D3163" s="2"/>
      <c r="E3163" s="2"/>
      <c r="F3163" s="14"/>
      <c r="G3163" s="2"/>
      <c r="H3163" s="2"/>
    </row>
    <row r="3164">
      <c r="A3164" s="2"/>
      <c r="B3164" s="13"/>
      <c r="C3164" s="2"/>
      <c r="D3164" s="2"/>
      <c r="E3164" s="2"/>
      <c r="F3164" s="14"/>
      <c r="G3164" s="2"/>
      <c r="H3164" s="2"/>
    </row>
    <row r="3165">
      <c r="A3165" s="2"/>
      <c r="B3165" s="13"/>
      <c r="C3165" s="2"/>
      <c r="D3165" s="2"/>
      <c r="E3165" s="2"/>
      <c r="F3165" s="14"/>
      <c r="G3165" s="2"/>
      <c r="H3165" s="2"/>
    </row>
    <row r="3166">
      <c r="A3166" s="2"/>
      <c r="B3166" s="13"/>
      <c r="C3166" s="2"/>
      <c r="D3166" s="2"/>
      <c r="E3166" s="2"/>
      <c r="F3166" s="14"/>
      <c r="G3166" s="2"/>
      <c r="H3166" s="2"/>
    </row>
    <row r="3167">
      <c r="A3167" s="2"/>
      <c r="B3167" s="13"/>
      <c r="C3167" s="2"/>
      <c r="D3167" s="2"/>
      <c r="E3167" s="2"/>
      <c r="F3167" s="14"/>
      <c r="G3167" s="2"/>
      <c r="H3167" s="2"/>
    </row>
    <row r="3168">
      <c r="A3168" s="2"/>
      <c r="B3168" s="13"/>
      <c r="C3168" s="2"/>
      <c r="D3168" s="2"/>
      <c r="E3168" s="2"/>
      <c r="F3168" s="14"/>
      <c r="G3168" s="2"/>
      <c r="H3168" s="2"/>
    </row>
    <row r="3169">
      <c r="A3169" s="2"/>
      <c r="B3169" s="13"/>
      <c r="C3169" s="2"/>
      <c r="D3169" s="2"/>
      <c r="E3169" s="2"/>
      <c r="F3169" s="14"/>
      <c r="G3169" s="2"/>
      <c r="H3169" s="2"/>
    </row>
    <row r="3170">
      <c r="A3170" s="2"/>
      <c r="B3170" s="13"/>
      <c r="C3170" s="2"/>
      <c r="D3170" s="2"/>
      <c r="E3170" s="2"/>
      <c r="F3170" s="14"/>
      <c r="G3170" s="2"/>
      <c r="H3170" s="2"/>
    </row>
    <row r="3171">
      <c r="A3171" s="2"/>
      <c r="B3171" s="13"/>
      <c r="C3171" s="2"/>
      <c r="D3171" s="2"/>
      <c r="E3171" s="2"/>
      <c r="F3171" s="14"/>
      <c r="G3171" s="2"/>
      <c r="H3171" s="2"/>
    </row>
    <row r="3172">
      <c r="A3172" s="2"/>
      <c r="B3172" s="13"/>
      <c r="C3172" s="2"/>
      <c r="D3172" s="2"/>
      <c r="E3172" s="2"/>
      <c r="F3172" s="14"/>
      <c r="G3172" s="2"/>
      <c r="H3172" s="2"/>
    </row>
    <row r="3173">
      <c r="A3173" s="2"/>
      <c r="B3173" s="13"/>
      <c r="C3173" s="2"/>
      <c r="D3173" s="2"/>
      <c r="E3173" s="2"/>
      <c r="F3173" s="14"/>
      <c r="G3173" s="2"/>
      <c r="H3173" s="2"/>
    </row>
    <row r="3174">
      <c r="A3174" s="2"/>
      <c r="B3174" s="13"/>
      <c r="C3174" s="2"/>
      <c r="D3174" s="2"/>
      <c r="E3174" s="2"/>
      <c r="F3174" s="14"/>
      <c r="G3174" s="2"/>
      <c r="H3174" s="2"/>
    </row>
    <row r="3175">
      <c r="A3175" s="2"/>
      <c r="B3175" s="13"/>
      <c r="C3175" s="2"/>
      <c r="D3175" s="2"/>
      <c r="E3175" s="2"/>
      <c r="F3175" s="14"/>
      <c r="G3175" s="2"/>
      <c r="H3175" s="2"/>
    </row>
    <row r="3176">
      <c r="A3176" s="2"/>
      <c r="B3176" s="13"/>
      <c r="C3176" s="2"/>
      <c r="D3176" s="2"/>
      <c r="E3176" s="2"/>
      <c r="F3176" s="14"/>
      <c r="G3176" s="2"/>
      <c r="H3176" s="2"/>
    </row>
    <row r="3177">
      <c r="A3177" s="2"/>
      <c r="B3177" s="13"/>
      <c r="C3177" s="2"/>
      <c r="D3177" s="2"/>
      <c r="E3177" s="2"/>
      <c r="F3177" s="14"/>
      <c r="G3177" s="2"/>
      <c r="H3177" s="2"/>
    </row>
    <row r="3178">
      <c r="A3178" s="2"/>
      <c r="B3178" s="13"/>
      <c r="C3178" s="2"/>
      <c r="D3178" s="2"/>
      <c r="E3178" s="2"/>
      <c r="F3178" s="14"/>
      <c r="G3178" s="2"/>
      <c r="H3178" s="2"/>
    </row>
    <row r="3179">
      <c r="A3179" s="2"/>
      <c r="B3179" s="13"/>
      <c r="C3179" s="2"/>
      <c r="D3179" s="2"/>
      <c r="E3179" s="2"/>
      <c r="F3179" s="14"/>
      <c r="G3179" s="2"/>
      <c r="H3179" s="2"/>
    </row>
    <row r="3180">
      <c r="A3180" s="2"/>
      <c r="B3180" s="13"/>
      <c r="C3180" s="2"/>
      <c r="D3180" s="2"/>
      <c r="E3180" s="2"/>
      <c r="F3180" s="14"/>
      <c r="G3180" s="2"/>
      <c r="H3180" s="2"/>
    </row>
    <row r="3181">
      <c r="A3181" s="2"/>
      <c r="B3181" s="13"/>
      <c r="C3181" s="2"/>
      <c r="D3181" s="2"/>
      <c r="E3181" s="2"/>
      <c r="F3181" s="14"/>
      <c r="G3181" s="2"/>
      <c r="H3181" s="2"/>
    </row>
    <row r="3182">
      <c r="A3182" s="2"/>
      <c r="B3182" s="13"/>
      <c r="C3182" s="2"/>
      <c r="D3182" s="2"/>
      <c r="E3182" s="2"/>
      <c r="F3182" s="14"/>
      <c r="G3182" s="2"/>
      <c r="H3182" s="2"/>
    </row>
    <row r="3183">
      <c r="A3183" s="2"/>
      <c r="B3183" s="13"/>
      <c r="C3183" s="2"/>
      <c r="D3183" s="2"/>
      <c r="E3183" s="2"/>
      <c r="F3183" s="14"/>
      <c r="G3183" s="2"/>
      <c r="H3183" s="2"/>
    </row>
    <row r="3184">
      <c r="A3184" s="2"/>
      <c r="B3184" s="13"/>
      <c r="C3184" s="2"/>
      <c r="D3184" s="2"/>
      <c r="E3184" s="2"/>
      <c r="F3184" s="14"/>
      <c r="G3184" s="2"/>
      <c r="H3184" s="2"/>
    </row>
    <row r="3185">
      <c r="A3185" s="2"/>
      <c r="B3185" s="13"/>
      <c r="C3185" s="2"/>
      <c r="D3185" s="2"/>
      <c r="E3185" s="2"/>
      <c r="F3185" s="14"/>
      <c r="G3185" s="2"/>
      <c r="H3185" s="2"/>
    </row>
    <row r="3186">
      <c r="A3186" s="2"/>
      <c r="B3186" s="13"/>
      <c r="C3186" s="2"/>
      <c r="D3186" s="2"/>
      <c r="E3186" s="2"/>
      <c r="F3186" s="14"/>
      <c r="G3186" s="2"/>
      <c r="H3186" s="2"/>
    </row>
    <row r="3187">
      <c r="A3187" s="2"/>
      <c r="B3187" s="13"/>
      <c r="C3187" s="2"/>
      <c r="D3187" s="2"/>
      <c r="E3187" s="2"/>
      <c r="F3187" s="14"/>
      <c r="G3187" s="2"/>
      <c r="H3187" s="2"/>
    </row>
    <row r="3188">
      <c r="A3188" s="2"/>
      <c r="B3188" s="13"/>
      <c r="C3188" s="2"/>
      <c r="D3188" s="2"/>
      <c r="E3188" s="2"/>
      <c r="F3188" s="14"/>
      <c r="G3188" s="2"/>
      <c r="H3188" s="2"/>
    </row>
    <row r="3189">
      <c r="A3189" s="2"/>
      <c r="B3189" s="13"/>
      <c r="C3189" s="2"/>
      <c r="D3189" s="2"/>
      <c r="E3189" s="2"/>
      <c r="F3189" s="14"/>
      <c r="G3189" s="2"/>
      <c r="H3189" s="2"/>
    </row>
    <row r="3190">
      <c r="A3190" s="2"/>
      <c r="B3190" s="13"/>
      <c r="C3190" s="2"/>
      <c r="D3190" s="2"/>
      <c r="E3190" s="2"/>
      <c r="F3190" s="14"/>
      <c r="G3190" s="2"/>
      <c r="H3190" s="2"/>
    </row>
    <row r="3191">
      <c r="A3191" s="2"/>
      <c r="B3191" s="13"/>
      <c r="C3191" s="2"/>
      <c r="D3191" s="2"/>
      <c r="E3191" s="2"/>
      <c r="F3191" s="14"/>
      <c r="G3191" s="2"/>
      <c r="H3191" s="2"/>
    </row>
    <row r="3192">
      <c r="A3192" s="2"/>
      <c r="B3192" s="13"/>
      <c r="C3192" s="2"/>
      <c r="D3192" s="2"/>
      <c r="E3192" s="2"/>
      <c r="F3192" s="14"/>
      <c r="G3192" s="2"/>
      <c r="H3192" s="2"/>
    </row>
    <row r="3193">
      <c r="A3193" s="2"/>
      <c r="B3193" s="13"/>
      <c r="C3193" s="2"/>
      <c r="D3193" s="2"/>
      <c r="E3193" s="2"/>
      <c r="F3193" s="14"/>
      <c r="G3193" s="2"/>
      <c r="H3193" s="2"/>
    </row>
    <row r="3194">
      <c r="A3194" s="2"/>
      <c r="B3194" s="13"/>
      <c r="C3194" s="2"/>
      <c r="D3194" s="2"/>
      <c r="E3194" s="2"/>
      <c r="F3194" s="14"/>
      <c r="G3194" s="2"/>
      <c r="H3194" s="2"/>
    </row>
    <row r="3195">
      <c r="A3195" s="2"/>
      <c r="B3195" s="13"/>
      <c r="C3195" s="2"/>
      <c r="D3195" s="2"/>
      <c r="E3195" s="2"/>
      <c r="F3195" s="14"/>
      <c r="G3195" s="2"/>
      <c r="H3195" s="2"/>
    </row>
    <row r="3196">
      <c r="A3196" s="2"/>
      <c r="B3196" s="13"/>
      <c r="C3196" s="2"/>
      <c r="D3196" s="2"/>
      <c r="E3196" s="2"/>
      <c r="F3196" s="14"/>
      <c r="G3196" s="2"/>
      <c r="H3196" s="2"/>
    </row>
    <row r="3197">
      <c r="A3197" s="2"/>
      <c r="B3197" s="13"/>
      <c r="C3197" s="2"/>
      <c r="D3197" s="2"/>
      <c r="E3197" s="2"/>
      <c r="F3197" s="14"/>
      <c r="G3197" s="2"/>
      <c r="H3197" s="2"/>
    </row>
    <row r="3198">
      <c r="A3198" s="2"/>
      <c r="B3198" s="13"/>
      <c r="C3198" s="2"/>
      <c r="D3198" s="2"/>
      <c r="E3198" s="2"/>
      <c r="F3198" s="14"/>
      <c r="G3198" s="2"/>
      <c r="H3198" s="2"/>
    </row>
    <row r="3199">
      <c r="A3199" s="2"/>
      <c r="B3199" s="13"/>
      <c r="C3199" s="2"/>
      <c r="D3199" s="2"/>
      <c r="E3199" s="2"/>
      <c r="F3199" s="14"/>
      <c r="G3199" s="2"/>
      <c r="H3199" s="2"/>
    </row>
    <row r="3200">
      <c r="A3200" s="2"/>
      <c r="B3200" s="13"/>
      <c r="C3200" s="2"/>
      <c r="D3200" s="2"/>
      <c r="E3200" s="2"/>
      <c r="F3200" s="14"/>
      <c r="G3200" s="2"/>
      <c r="H3200" s="2"/>
    </row>
    <row r="3201">
      <c r="A3201" s="2"/>
      <c r="B3201" s="13"/>
      <c r="C3201" s="2"/>
      <c r="D3201" s="2"/>
      <c r="E3201" s="2"/>
      <c r="F3201" s="14"/>
      <c r="G3201" s="2"/>
      <c r="H3201" s="2"/>
    </row>
    <row r="3202">
      <c r="A3202" s="2"/>
      <c r="B3202" s="13"/>
      <c r="C3202" s="2"/>
      <c r="D3202" s="2"/>
      <c r="E3202" s="2"/>
      <c r="F3202" s="14"/>
      <c r="G3202" s="2"/>
      <c r="H3202" s="2"/>
    </row>
    <row r="3203">
      <c r="A3203" s="2"/>
      <c r="B3203" s="13"/>
      <c r="C3203" s="2"/>
      <c r="D3203" s="2"/>
      <c r="E3203" s="2"/>
      <c r="F3203" s="14"/>
      <c r="G3203" s="2"/>
      <c r="H3203" s="2"/>
    </row>
    <row r="3204">
      <c r="A3204" s="2"/>
      <c r="B3204" s="13"/>
      <c r="C3204" s="2"/>
      <c r="D3204" s="2"/>
      <c r="E3204" s="2"/>
      <c r="F3204" s="14"/>
      <c r="G3204" s="2"/>
      <c r="H3204" s="2"/>
    </row>
    <row r="3205">
      <c r="A3205" s="2"/>
      <c r="B3205" s="13"/>
      <c r="C3205" s="2"/>
      <c r="D3205" s="2"/>
      <c r="E3205" s="2"/>
      <c r="F3205" s="14"/>
      <c r="G3205" s="2"/>
      <c r="H3205" s="2"/>
    </row>
    <row r="3206">
      <c r="A3206" s="2"/>
      <c r="B3206" s="13"/>
      <c r="C3206" s="2"/>
      <c r="D3206" s="2"/>
      <c r="E3206" s="2"/>
      <c r="F3206" s="14"/>
      <c r="G3206" s="2"/>
      <c r="H3206" s="2"/>
    </row>
    <row r="3207">
      <c r="A3207" s="2"/>
      <c r="B3207" s="13"/>
      <c r="C3207" s="2"/>
      <c r="D3207" s="2"/>
      <c r="E3207" s="2"/>
      <c r="F3207" s="14"/>
      <c r="G3207" s="2"/>
      <c r="H3207" s="2"/>
    </row>
    <row r="3208">
      <c r="A3208" s="2"/>
      <c r="B3208" s="13"/>
      <c r="C3208" s="2"/>
      <c r="D3208" s="2"/>
      <c r="E3208" s="2"/>
      <c r="F3208" s="14"/>
      <c r="G3208" s="2"/>
      <c r="H3208" s="2"/>
    </row>
    <row r="3209">
      <c r="A3209" s="2"/>
      <c r="B3209" s="13"/>
      <c r="C3209" s="2"/>
      <c r="D3209" s="2"/>
      <c r="E3209" s="2"/>
      <c r="F3209" s="14"/>
      <c r="G3209" s="2"/>
      <c r="H3209" s="2"/>
    </row>
    <row r="3210">
      <c r="A3210" s="2"/>
      <c r="B3210" s="13"/>
      <c r="C3210" s="2"/>
      <c r="D3210" s="2"/>
      <c r="E3210" s="2"/>
      <c r="F3210" s="14"/>
      <c r="G3210" s="2"/>
      <c r="H3210" s="2"/>
    </row>
    <row r="3211">
      <c r="A3211" s="2"/>
      <c r="B3211" s="13"/>
      <c r="C3211" s="2"/>
      <c r="D3211" s="2"/>
      <c r="E3211" s="2"/>
      <c r="F3211" s="14"/>
      <c r="G3211" s="2"/>
      <c r="H3211" s="2"/>
    </row>
    <row r="3212">
      <c r="A3212" s="2"/>
      <c r="B3212" s="13"/>
      <c r="C3212" s="2"/>
      <c r="D3212" s="2"/>
      <c r="E3212" s="2"/>
      <c r="F3212" s="14"/>
      <c r="G3212" s="2"/>
      <c r="H3212" s="2"/>
    </row>
    <row r="3213">
      <c r="A3213" s="2"/>
      <c r="B3213" s="13"/>
      <c r="C3213" s="2"/>
      <c r="D3213" s="2"/>
      <c r="E3213" s="2"/>
      <c r="F3213" s="14"/>
      <c r="G3213" s="2"/>
      <c r="H3213" s="2"/>
    </row>
    <row r="3214">
      <c r="A3214" s="2"/>
      <c r="B3214" s="13"/>
      <c r="C3214" s="2"/>
      <c r="D3214" s="2"/>
      <c r="E3214" s="2"/>
      <c r="F3214" s="14"/>
      <c r="G3214" s="2"/>
      <c r="H3214" s="2"/>
    </row>
    <row r="3215">
      <c r="A3215" s="2"/>
      <c r="B3215" s="13"/>
      <c r="C3215" s="2"/>
      <c r="D3215" s="2"/>
      <c r="E3215" s="2"/>
      <c r="F3215" s="14"/>
      <c r="G3215" s="2"/>
      <c r="H3215" s="2"/>
    </row>
    <row r="3216">
      <c r="A3216" s="2"/>
      <c r="B3216" s="13"/>
      <c r="C3216" s="2"/>
      <c r="D3216" s="2"/>
      <c r="E3216" s="2"/>
      <c r="F3216" s="14"/>
      <c r="G3216" s="2"/>
      <c r="H3216" s="2"/>
    </row>
    <row r="3217">
      <c r="A3217" s="2"/>
      <c r="B3217" s="13"/>
      <c r="C3217" s="2"/>
      <c r="D3217" s="2"/>
      <c r="E3217" s="2"/>
      <c r="F3217" s="14"/>
      <c r="G3217" s="2"/>
      <c r="H3217" s="2"/>
    </row>
    <row r="3218">
      <c r="A3218" s="2"/>
      <c r="B3218" s="13"/>
      <c r="C3218" s="2"/>
      <c r="D3218" s="2"/>
      <c r="E3218" s="2"/>
      <c r="F3218" s="14"/>
      <c r="G3218" s="2"/>
      <c r="H3218" s="2"/>
    </row>
    <row r="3219">
      <c r="A3219" s="2"/>
      <c r="B3219" s="13"/>
      <c r="C3219" s="2"/>
      <c r="D3219" s="2"/>
      <c r="E3219" s="2"/>
      <c r="F3219" s="14"/>
      <c r="G3219" s="2"/>
      <c r="H3219" s="2"/>
    </row>
    <row r="3220">
      <c r="A3220" s="2"/>
      <c r="B3220" s="13"/>
      <c r="C3220" s="2"/>
      <c r="D3220" s="2"/>
      <c r="E3220" s="2"/>
      <c r="F3220" s="14"/>
      <c r="G3220" s="2"/>
      <c r="H3220" s="2"/>
    </row>
    <row r="3221">
      <c r="A3221" s="2"/>
      <c r="B3221" s="13"/>
      <c r="C3221" s="2"/>
      <c r="D3221" s="2"/>
      <c r="E3221" s="2"/>
      <c r="F3221" s="14"/>
      <c r="G3221" s="2"/>
      <c r="H3221" s="2"/>
    </row>
    <row r="3222">
      <c r="A3222" s="2"/>
      <c r="B3222" s="13"/>
      <c r="C3222" s="2"/>
      <c r="D3222" s="2"/>
      <c r="E3222" s="2"/>
      <c r="F3222" s="14"/>
      <c r="G3222" s="2"/>
      <c r="H3222" s="2"/>
    </row>
    <row r="3223">
      <c r="A3223" s="2"/>
      <c r="B3223" s="13"/>
      <c r="C3223" s="2"/>
      <c r="D3223" s="2"/>
      <c r="E3223" s="2"/>
      <c r="F3223" s="14"/>
      <c r="G3223" s="2"/>
      <c r="H3223" s="2"/>
    </row>
    <row r="3224">
      <c r="A3224" s="2"/>
      <c r="B3224" s="13"/>
      <c r="C3224" s="2"/>
      <c r="D3224" s="2"/>
      <c r="E3224" s="2"/>
      <c r="F3224" s="14"/>
      <c r="G3224" s="2"/>
      <c r="H3224" s="2"/>
    </row>
    <row r="3225">
      <c r="A3225" s="2"/>
      <c r="B3225" s="13"/>
      <c r="C3225" s="2"/>
      <c r="D3225" s="2"/>
      <c r="E3225" s="2"/>
      <c r="F3225" s="14"/>
      <c r="G3225" s="2"/>
      <c r="H3225" s="2"/>
    </row>
    <row r="3226">
      <c r="A3226" s="2"/>
      <c r="B3226" s="13"/>
      <c r="C3226" s="2"/>
      <c r="D3226" s="2"/>
      <c r="E3226" s="2"/>
      <c r="F3226" s="14"/>
      <c r="G3226" s="2"/>
      <c r="H3226" s="2"/>
    </row>
    <row r="3227">
      <c r="A3227" s="2"/>
      <c r="B3227" s="13"/>
      <c r="C3227" s="2"/>
      <c r="D3227" s="2"/>
      <c r="E3227" s="2"/>
      <c r="F3227" s="14"/>
      <c r="G3227" s="2"/>
      <c r="H3227" s="2"/>
    </row>
    <row r="3228">
      <c r="A3228" s="2"/>
      <c r="B3228" s="13"/>
      <c r="C3228" s="2"/>
      <c r="D3228" s="2"/>
      <c r="E3228" s="2"/>
      <c r="F3228" s="14"/>
      <c r="G3228" s="2"/>
      <c r="H3228" s="2"/>
    </row>
    <row r="3229">
      <c r="A3229" s="2"/>
      <c r="B3229" s="13"/>
      <c r="C3229" s="2"/>
      <c r="D3229" s="2"/>
      <c r="E3229" s="2"/>
      <c r="F3229" s="14"/>
      <c r="G3229" s="2"/>
      <c r="H3229" s="2"/>
    </row>
    <row r="3230">
      <c r="A3230" s="2"/>
      <c r="B3230" s="13"/>
      <c r="C3230" s="2"/>
      <c r="D3230" s="2"/>
      <c r="E3230" s="2"/>
      <c r="F3230" s="14"/>
      <c r="G3230" s="2"/>
      <c r="H3230" s="2"/>
    </row>
    <row r="3231">
      <c r="A3231" s="2"/>
      <c r="B3231" s="13"/>
      <c r="C3231" s="2"/>
      <c r="D3231" s="2"/>
      <c r="E3231" s="2"/>
      <c r="F3231" s="14"/>
      <c r="G3231" s="2"/>
      <c r="H3231" s="2"/>
    </row>
    <row r="3232">
      <c r="A3232" s="2"/>
      <c r="B3232" s="13"/>
      <c r="C3232" s="2"/>
      <c r="D3232" s="2"/>
      <c r="E3232" s="2"/>
      <c r="F3232" s="14"/>
      <c r="G3232" s="2"/>
      <c r="H3232" s="2"/>
    </row>
    <row r="3233">
      <c r="A3233" s="2"/>
      <c r="B3233" s="13"/>
      <c r="C3233" s="2"/>
      <c r="D3233" s="2"/>
      <c r="E3233" s="2"/>
      <c r="F3233" s="14"/>
      <c r="G3233" s="2"/>
      <c r="H3233" s="2"/>
    </row>
    <row r="3234">
      <c r="A3234" s="2"/>
      <c r="B3234" s="13"/>
      <c r="C3234" s="2"/>
      <c r="D3234" s="2"/>
      <c r="E3234" s="2"/>
      <c r="F3234" s="14"/>
      <c r="G3234" s="2"/>
      <c r="H3234" s="2"/>
    </row>
    <row r="3235">
      <c r="A3235" s="2"/>
      <c r="B3235" s="13"/>
      <c r="C3235" s="2"/>
      <c r="D3235" s="2"/>
      <c r="E3235" s="2"/>
      <c r="F3235" s="14"/>
      <c r="G3235" s="2"/>
      <c r="H3235" s="2"/>
    </row>
    <row r="3236">
      <c r="A3236" s="2"/>
      <c r="B3236" s="13"/>
      <c r="C3236" s="2"/>
      <c r="D3236" s="2"/>
      <c r="E3236" s="2"/>
      <c r="F3236" s="14"/>
      <c r="G3236" s="2"/>
      <c r="H3236" s="2"/>
    </row>
    <row r="3237">
      <c r="A3237" s="2"/>
      <c r="B3237" s="13"/>
      <c r="C3237" s="2"/>
      <c r="D3237" s="2"/>
      <c r="E3237" s="2"/>
      <c r="F3237" s="14"/>
      <c r="G3237" s="2"/>
      <c r="H3237" s="2"/>
    </row>
    <row r="3238">
      <c r="A3238" s="2"/>
      <c r="B3238" s="13"/>
      <c r="C3238" s="2"/>
      <c r="D3238" s="2"/>
      <c r="E3238" s="2"/>
      <c r="F3238" s="14"/>
      <c r="G3238" s="2"/>
      <c r="H3238" s="2"/>
    </row>
    <row r="3239">
      <c r="A3239" s="2"/>
      <c r="B3239" s="13"/>
      <c r="C3239" s="2"/>
      <c r="D3239" s="2"/>
      <c r="E3239" s="2"/>
      <c r="F3239" s="14"/>
      <c r="G3239" s="2"/>
      <c r="H3239" s="2"/>
    </row>
    <row r="3240">
      <c r="A3240" s="2"/>
      <c r="B3240" s="13"/>
      <c r="C3240" s="2"/>
      <c r="D3240" s="2"/>
      <c r="E3240" s="2"/>
      <c r="F3240" s="14"/>
      <c r="G3240" s="2"/>
      <c r="H3240" s="2"/>
    </row>
    <row r="3241">
      <c r="A3241" s="2"/>
      <c r="B3241" s="13"/>
      <c r="C3241" s="2"/>
      <c r="D3241" s="2"/>
      <c r="E3241" s="2"/>
      <c r="F3241" s="14"/>
      <c r="G3241" s="2"/>
      <c r="H3241" s="2"/>
    </row>
    <row r="3242">
      <c r="A3242" s="2"/>
      <c r="B3242" s="13"/>
      <c r="C3242" s="2"/>
      <c r="D3242" s="2"/>
      <c r="E3242" s="2"/>
      <c r="F3242" s="14"/>
      <c r="G3242" s="2"/>
      <c r="H3242" s="2"/>
    </row>
    <row r="3243">
      <c r="A3243" s="2"/>
      <c r="B3243" s="13"/>
      <c r="C3243" s="2"/>
      <c r="D3243" s="2"/>
      <c r="E3243" s="2"/>
      <c r="F3243" s="14"/>
      <c r="G3243" s="2"/>
      <c r="H3243" s="2"/>
    </row>
    <row r="3244">
      <c r="A3244" s="2"/>
      <c r="B3244" s="13"/>
      <c r="C3244" s="2"/>
      <c r="D3244" s="2"/>
      <c r="E3244" s="2"/>
      <c r="F3244" s="14"/>
      <c r="G3244" s="2"/>
      <c r="H3244" s="2"/>
    </row>
    <row r="3245">
      <c r="A3245" s="2"/>
      <c r="B3245" s="13"/>
      <c r="C3245" s="2"/>
      <c r="D3245" s="2"/>
      <c r="E3245" s="2"/>
      <c r="F3245" s="14"/>
      <c r="G3245" s="2"/>
      <c r="H3245" s="2"/>
    </row>
    <row r="3246">
      <c r="A3246" s="2"/>
      <c r="B3246" s="13"/>
      <c r="C3246" s="2"/>
      <c r="D3246" s="2"/>
      <c r="E3246" s="2"/>
      <c r="F3246" s="14"/>
      <c r="G3246" s="2"/>
      <c r="H3246" s="2"/>
    </row>
    <row r="3247">
      <c r="A3247" s="2"/>
      <c r="B3247" s="13"/>
      <c r="C3247" s="2"/>
      <c r="D3247" s="2"/>
      <c r="E3247" s="2"/>
      <c r="F3247" s="14"/>
      <c r="G3247" s="2"/>
      <c r="H3247" s="2"/>
    </row>
    <row r="3248">
      <c r="A3248" s="2"/>
      <c r="B3248" s="13"/>
      <c r="C3248" s="2"/>
      <c r="D3248" s="2"/>
      <c r="E3248" s="2"/>
      <c r="F3248" s="14"/>
      <c r="G3248" s="2"/>
      <c r="H3248" s="2"/>
    </row>
    <row r="3249">
      <c r="A3249" s="2"/>
      <c r="B3249" s="13"/>
      <c r="C3249" s="2"/>
      <c r="D3249" s="2"/>
      <c r="E3249" s="2"/>
      <c r="F3249" s="14"/>
      <c r="G3249" s="2"/>
      <c r="H3249" s="2"/>
    </row>
    <row r="3250">
      <c r="A3250" s="2"/>
      <c r="B3250" s="13"/>
      <c r="C3250" s="2"/>
      <c r="D3250" s="2"/>
      <c r="E3250" s="2"/>
      <c r="F3250" s="14"/>
      <c r="G3250" s="2"/>
      <c r="H3250" s="2"/>
    </row>
    <row r="3251">
      <c r="A3251" s="2"/>
      <c r="B3251" s="13"/>
      <c r="C3251" s="2"/>
      <c r="D3251" s="2"/>
      <c r="E3251" s="2"/>
      <c r="F3251" s="14"/>
      <c r="G3251" s="2"/>
      <c r="H3251" s="2"/>
    </row>
    <row r="3252">
      <c r="A3252" s="2"/>
      <c r="B3252" s="13"/>
      <c r="C3252" s="2"/>
      <c r="D3252" s="2"/>
      <c r="E3252" s="2"/>
      <c r="F3252" s="14"/>
      <c r="G3252" s="2"/>
      <c r="H3252" s="2"/>
    </row>
    <row r="3253">
      <c r="A3253" s="2"/>
      <c r="B3253" s="13"/>
      <c r="C3253" s="2"/>
      <c r="D3253" s="2"/>
      <c r="E3253" s="2"/>
      <c r="F3253" s="14"/>
      <c r="G3253" s="2"/>
      <c r="H3253" s="2"/>
    </row>
    <row r="3254">
      <c r="A3254" s="2"/>
      <c r="B3254" s="13"/>
      <c r="C3254" s="2"/>
      <c r="D3254" s="2"/>
      <c r="E3254" s="2"/>
      <c r="F3254" s="14"/>
      <c r="G3254" s="2"/>
      <c r="H3254" s="2"/>
    </row>
    <row r="3255">
      <c r="A3255" s="2"/>
      <c r="B3255" s="13"/>
      <c r="C3255" s="2"/>
      <c r="D3255" s="2"/>
      <c r="E3255" s="2"/>
      <c r="F3255" s="14"/>
      <c r="G3255" s="2"/>
      <c r="H3255" s="2"/>
    </row>
    <row r="3256">
      <c r="A3256" s="2"/>
      <c r="B3256" s="13"/>
      <c r="C3256" s="2"/>
      <c r="D3256" s="2"/>
      <c r="E3256" s="2"/>
      <c r="F3256" s="14"/>
      <c r="G3256" s="2"/>
      <c r="H3256" s="2"/>
    </row>
    <row r="3257">
      <c r="A3257" s="2"/>
      <c r="B3257" s="13"/>
      <c r="C3257" s="2"/>
      <c r="D3257" s="2"/>
      <c r="E3257" s="2"/>
      <c r="F3257" s="14"/>
      <c r="G3257" s="2"/>
      <c r="H3257" s="2"/>
    </row>
    <row r="3258">
      <c r="A3258" s="2"/>
      <c r="B3258" s="13"/>
      <c r="C3258" s="2"/>
      <c r="D3258" s="2"/>
      <c r="E3258" s="2"/>
      <c r="F3258" s="14"/>
      <c r="G3258" s="2"/>
      <c r="H3258" s="2"/>
    </row>
    <row r="3259">
      <c r="A3259" s="2"/>
      <c r="B3259" s="13"/>
      <c r="C3259" s="2"/>
      <c r="D3259" s="2"/>
      <c r="E3259" s="2"/>
      <c r="F3259" s="14"/>
      <c r="G3259" s="2"/>
      <c r="H3259" s="2"/>
    </row>
    <row r="3260">
      <c r="A3260" s="2"/>
      <c r="B3260" s="13"/>
      <c r="C3260" s="2"/>
      <c r="D3260" s="2"/>
      <c r="E3260" s="2"/>
      <c r="F3260" s="14"/>
      <c r="G3260" s="2"/>
      <c r="H3260" s="2"/>
    </row>
    <row r="3261">
      <c r="A3261" s="2"/>
      <c r="B3261" s="13"/>
      <c r="C3261" s="2"/>
      <c r="D3261" s="2"/>
      <c r="E3261" s="2"/>
      <c r="F3261" s="14"/>
      <c r="G3261" s="2"/>
      <c r="H3261" s="2"/>
    </row>
    <row r="3262">
      <c r="A3262" s="2"/>
      <c r="B3262" s="13"/>
      <c r="C3262" s="2"/>
      <c r="D3262" s="2"/>
      <c r="E3262" s="2"/>
      <c r="F3262" s="14"/>
      <c r="G3262" s="2"/>
      <c r="H3262" s="2"/>
    </row>
    <row r="3263">
      <c r="A3263" s="2"/>
      <c r="B3263" s="13"/>
      <c r="C3263" s="2"/>
      <c r="D3263" s="2"/>
      <c r="E3263" s="2"/>
      <c r="F3263" s="14"/>
      <c r="G3263" s="2"/>
      <c r="H3263" s="2"/>
    </row>
    <row r="3264">
      <c r="A3264" s="2"/>
      <c r="B3264" s="13"/>
      <c r="C3264" s="2"/>
      <c r="D3264" s="2"/>
      <c r="E3264" s="2"/>
      <c r="F3264" s="14"/>
      <c r="G3264" s="2"/>
      <c r="H3264" s="2"/>
    </row>
    <row r="3265">
      <c r="A3265" s="2"/>
      <c r="B3265" s="13"/>
      <c r="C3265" s="2"/>
      <c r="D3265" s="2"/>
      <c r="E3265" s="2"/>
      <c r="F3265" s="14"/>
      <c r="G3265" s="2"/>
      <c r="H3265" s="2"/>
    </row>
    <row r="3266">
      <c r="A3266" s="2"/>
      <c r="B3266" s="13"/>
      <c r="C3266" s="2"/>
      <c r="D3266" s="2"/>
      <c r="E3266" s="2"/>
      <c r="F3266" s="14"/>
      <c r="G3266" s="2"/>
      <c r="H3266" s="2"/>
    </row>
    <row r="3267">
      <c r="A3267" s="2"/>
      <c r="B3267" s="13"/>
      <c r="C3267" s="2"/>
      <c r="D3267" s="2"/>
      <c r="E3267" s="2"/>
      <c r="F3267" s="14"/>
      <c r="G3267" s="2"/>
      <c r="H3267" s="2"/>
    </row>
    <row r="3268">
      <c r="A3268" s="2"/>
      <c r="B3268" s="13"/>
      <c r="C3268" s="2"/>
      <c r="D3268" s="2"/>
      <c r="E3268" s="2"/>
      <c r="F3268" s="14"/>
      <c r="G3268" s="2"/>
      <c r="H3268" s="2"/>
    </row>
    <row r="3269">
      <c r="A3269" s="2"/>
      <c r="B3269" s="13"/>
      <c r="C3269" s="2"/>
      <c r="D3269" s="2"/>
      <c r="E3269" s="2"/>
      <c r="F3269" s="14"/>
      <c r="G3269" s="2"/>
      <c r="H3269" s="2"/>
    </row>
    <row r="3270">
      <c r="A3270" s="2"/>
      <c r="B3270" s="13"/>
      <c r="C3270" s="2"/>
      <c r="D3270" s="2"/>
      <c r="E3270" s="2"/>
      <c r="F3270" s="14"/>
      <c r="G3270" s="2"/>
      <c r="H3270" s="2"/>
    </row>
    <row r="3271">
      <c r="A3271" s="2"/>
      <c r="B3271" s="13"/>
      <c r="C3271" s="2"/>
      <c r="D3271" s="2"/>
      <c r="E3271" s="2"/>
      <c r="F3271" s="14"/>
      <c r="G3271" s="2"/>
      <c r="H3271" s="2"/>
    </row>
    <row r="3272">
      <c r="A3272" s="2"/>
      <c r="B3272" s="13"/>
      <c r="C3272" s="2"/>
      <c r="D3272" s="2"/>
      <c r="E3272" s="2"/>
      <c r="F3272" s="14"/>
      <c r="G3272" s="2"/>
      <c r="H3272" s="2"/>
    </row>
    <row r="3273">
      <c r="A3273" s="2"/>
      <c r="B3273" s="13"/>
      <c r="C3273" s="2"/>
      <c r="D3273" s="2"/>
      <c r="E3273" s="2"/>
      <c r="F3273" s="14"/>
      <c r="G3273" s="2"/>
      <c r="H3273" s="2"/>
    </row>
    <row r="3274">
      <c r="A3274" s="2"/>
      <c r="B3274" s="13"/>
      <c r="C3274" s="2"/>
      <c r="D3274" s="2"/>
      <c r="E3274" s="2"/>
      <c r="F3274" s="14"/>
      <c r="G3274" s="2"/>
      <c r="H3274" s="2"/>
    </row>
    <row r="3275">
      <c r="A3275" s="2"/>
      <c r="B3275" s="13"/>
      <c r="C3275" s="2"/>
      <c r="D3275" s="2"/>
      <c r="E3275" s="2"/>
      <c r="F3275" s="14"/>
      <c r="G3275" s="2"/>
      <c r="H3275" s="2"/>
    </row>
    <row r="3276">
      <c r="A3276" s="2"/>
      <c r="B3276" s="13"/>
      <c r="C3276" s="2"/>
      <c r="D3276" s="2"/>
      <c r="E3276" s="2"/>
      <c r="F3276" s="14"/>
      <c r="G3276" s="2"/>
      <c r="H3276" s="2"/>
    </row>
    <row r="3277">
      <c r="A3277" s="2"/>
      <c r="B3277" s="13"/>
      <c r="C3277" s="2"/>
      <c r="D3277" s="2"/>
      <c r="E3277" s="2"/>
      <c r="F3277" s="14"/>
      <c r="G3277" s="2"/>
      <c r="H3277" s="2"/>
    </row>
    <row r="3278">
      <c r="A3278" s="2"/>
      <c r="B3278" s="13"/>
      <c r="C3278" s="2"/>
      <c r="D3278" s="2"/>
      <c r="E3278" s="2"/>
      <c r="F3278" s="14"/>
      <c r="G3278" s="2"/>
      <c r="H3278" s="2"/>
    </row>
    <row r="3279">
      <c r="A3279" s="2"/>
      <c r="B3279" s="13"/>
      <c r="C3279" s="2"/>
      <c r="D3279" s="2"/>
      <c r="E3279" s="2"/>
      <c r="F3279" s="14"/>
      <c r="G3279" s="2"/>
      <c r="H3279" s="2"/>
    </row>
    <row r="3280">
      <c r="A3280" s="2"/>
      <c r="B3280" s="13"/>
      <c r="C3280" s="2"/>
      <c r="D3280" s="2"/>
      <c r="E3280" s="2"/>
      <c r="F3280" s="14"/>
      <c r="G3280" s="2"/>
      <c r="H3280" s="2"/>
    </row>
    <row r="3281">
      <c r="A3281" s="2"/>
      <c r="B3281" s="13"/>
      <c r="C3281" s="2"/>
      <c r="D3281" s="2"/>
      <c r="E3281" s="2"/>
      <c r="F3281" s="14"/>
      <c r="G3281" s="2"/>
      <c r="H3281" s="2"/>
    </row>
    <row r="3282">
      <c r="A3282" s="2"/>
      <c r="B3282" s="13"/>
      <c r="C3282" s="2"/>
      <c r="D3282" s="2"/>
      <c r="E3282" s="2"/>
      <c r="F3282" s="14"/>
      <c r="G3282" s="2"/>
      <c r="H3282" s="2"/>
    </row>
    <row r="3283">
      <c r="A3283" s="2"/>
      <c r="B3283" s="13"/>
      <c r="C3283" s="2"/>
      <c r="D3283" s="2"/>
      <c r="E3283" s="2"/>
      <c r="F3283" s="14"/>
      <c r="G3283" s="2"/>
      <c r="H3283" s="2"/>
    </row>
    <row r="3284">
      <c r="A3284" s="2"/>
      <c r="B3284" s="13"/>
      <c r="C3284" s="2"/>
      <c r="D3284" s="2"/>
      <c r="E3284" s="2"/>
      <c r="F3284" s="14"/>
      <c r="G3284" s="2"/>
      <c r="H3284" s="2"/>
    </row>
    <row r="3285">
      <c r="A3285" s="2"/>
      <c r="B3285" s="13"/>
      <c r="C3285" s="2"/>
      <c r="D3285" s="2"/>
      <c r="E3285" s="2"/>
      <c r="F3285" s="14"/>
      <c r="G3285" s="2"/>
      <c r="H3285" s="2"/>
    </row>
    <row r="3286">
      <c r="A3286" s="2"/>
      <c r="B3286" s="13"/>
      <c r="C3286" s="2"/>
      <c r="D3286" s="2"/>
      <c r="E3286" s="2"/>
      <c r="F3286" s="14"/>
      <c r="G3286" s="2"/>
      <c r="H3286" s="2"/>
    </row>
    <row r="3287">
      <c r="A3287" s="2"/>
      <c r="B3287" s="13"/>
      <c r="C3287" s="2"/>
      <c r="D3287" s="2"/>
      <c r="E3287" s="2"/>
      <c r="F3287" s="14"/>
      <c r="G3287" s="2"/>
      <c r="H3287" s="2"/>
    </row>
    <row r="3288">
      <c r="A3288" s="2"/>
      <c r="B3288" s="13"/>
      <c r="C3288" s="2"/>
      <c r="D3288" s="2"/>
      <c r="E3288" s="2"/>
      <c r="F3288" s="14"/>
      <c r="G3288" s="2"/>
      <c r="H3288" s="2"/>
    </row>
    <row r="3289">
      <c r="A3289" s="2"/>
      <c r="B3289" s="13"/>
      <c r="C3289" s="2"/>
      <c r="D3289" s="2"/>
      <c r="E3289" s="2"/>
      <c r="F3289" s="14"/>
      <c r="G3289" s="2"/>
      <c r="H3289" s="2"/>
    </row>
    <row r="3290">
      <c r="A3290" s="2"/>
      <c r="B3290" s="13"/>
      <c r="C3290" s="2"/>
      <c r="D3290" s="2"/>
      <c r="E3290" s="2"/>
      <c r="F3290" s="14"/>
      <c r="G3290" s="2"/>
      <c r="H3290" s="2"/>
    </row>
    <row r="3291">
      <c r="A3291" s="2"/>
      <c r="B3291" s="13"/>
      <c r="C3291" s="2"/>
      <c r="D3291" s="2"/>
      <c r="E3291" s="2"/>
      <c r="F3291" s="14"/>
      <c r="G3291" s="2"/>
      <c r="H3291" s="2"/>
    </row>
    <row r="3292">
      <c r="A3292" s="2"/>
      <c r="B3292" s="13"/>
      <c r="C3292" s="2"/>
      <c r="D3292" s="2"/>
      <c r="E3292" s="2"/>
      <c r="F3292" s="14"/>
      <c r="G3292" s="2"/>
      <c r="H3292" s="2"/>
    </row>
    <row r="3293">
      <c r="A3293" s="2"/>
      <c r="B3293" s="13"/>
      <c r="C3293" s="2"/>
      <c r="D3293" s="2"/>
      <c r="E3293" s="2"/>
      <c r="F3293" s="14"/>
      <c r="G3293" s="2"/>
      <c r="H3293" s="2"/>
    </row>
    <row r="3294">
      <c r="A3294" s="2"/>
      <c r="B3294" s="13"/>
      <c r="C3294" s="2"/>
      <c r="D3294" s="2"/>
      <c r="E3294" s="2"/>
      <c r="F3294" s="14"/>
      <c r="G3294" s="2"/>
      <c r="H3294" s="2"/>
    </row>
    <row r="3295">
      <c r="A3295" s="2"/>
      <c r="B3295" s="13"/>
      <c r="C3295" s="2"/>
      <c r="D3295" s="2"/>
      <c r="E3295" s="2"/>
      <c r="F3295" s="14"/>
      <c r="G3295" s="2"/>
      <c r="H3295" s="2"/>
    </row>
    <row r="3296">
      <c r="A3296" s="2"/>
      <c r="B3296" s="13"/>
      <c r="C3296" s="2"/>
      <c r="D3296" s="2"/>
      <c r="E3296" s="2"/>
      <c r="F3296" s="14"/>
      <c r="G3296" s="2"/>
      <c r="H3296" s="2"/>
    </row>
    <row r="3297">
      <c r="A3297" s="2"/>
      <c r="B3297" s="13"/>
      <c r="C3297" s="2"/>
      <c r="D3297" s="2"/>
      <c r="E3297" s="2"/>
      <c r="F3297" s="14"/>
      <c r="G3297" s="2"/>
      <c r="H3297" s="2"/>
    </row>
    <row r="3298">
      <c r="A3298" s="2"/>
      <c r="B3298" s="13"/>
      <c r="C3298" s="2"/>
      <c r="D3298" s="2"/>
      <c r="E3298" s="2"/>
      <c r="F3298" s="14"/>
      <c r="G3298" s="2"/>
      <c r="H3298" s="2"/>
    </row>
    <row r="3299">
      <c r="A3299" s="2"/>
      <c r="B3299" s="13"/>
      <c r="C3299" s="2"/>
      <c r="D3299" s="2"/>
      <c r="E3299" s="2"/>
      <c r="F3299" s="14"/>
      <c r="G3299" s="2"/>
      <c r="H3299" s="2"/>
    </row>
    <row r="3300">
      <c r="A3300" s="2"/>
      <c r="B3300" s="13"/>
      <c r="C3300" s="2"/>
      <c r="D3300" s="2"/>
      <c r="E3300" s="2"/>
      <c r="F3300" s="14"/>
      <c r="G3300" s="2"/>
      <c r="H3300" s="2"/>
    </row>
    <row r="3301">
      <c r="A3301" s="2"/>
      <c r="B3301" s="13"/>
      <c r="C3301" s="2"/>
      <c r="D3301" s="2"/>
      <c r="E3301" s="2"/>
      <c r="F3301" s="14"/>
      <c r="G3301" s="2"/>
      <c r="H3301" s="2"/>
    </row>
    <row r="3302">
      <c r="A3302" s="2"/>
      <c r="B3302" s="13"/>
      <c r="C3302" s="2"/>
      <c r="D3302" s="2"/>
      <c r="E3302" s="2"/>
      <c r="F3302" s="14"/>
      <c r="G3302" s="2"/>
      <c r="H3302" s="2"/>
    </row>
    <row r="3303">
      <c r="A3303" s="2"/>
      <c r="B3303" s="13"/>
      <c r="C3303" s="2"/>
      <c r="D3303" s="2"/>
      <c r="E3303" s="2"/>
      <c r="F3303" s="14"/>
      <c r="G3303" s="2"/>
      <c r="H3303" s="2"/>
    </row>
    <row r="3304">
      <c r="A3304" s="2"/>
      <c r="B3304" s="13"/>
      <c r="C3304" s="2"/>
      <c r="D3304" s="2"/>
      <c r="E3304" s="2"/>
      <c r="F3304" s="14"/>
      <c r="G3304" s="2"/>
      <c r="H3304" s="2"/>
    </row>
    <row r="3305">
      <c r="A3305" s="2"/>
      <c r="B3305" s="13"/>
      <c r="C3305" s="2"/>
      <c r="D3305" s="2"/>
      <c r="E3305" s="2"/>
      <c r="F3305" s="14"/>
      <c r="G3305" s="2"/>
      <c r="H3305" s="2"/>
    </row>
    <row r="3306">
      <c r="A3306" s="2"/>
      <c r="B3306" s="13"/>
      <c r="C3306" s="2"/>
      <c r="D3306" s="2"/>
      <c r="E3306" s="2"/>
      <c r="F3306" s="14"/>
      <c r="G3306" s="2"/>
      <c r="H3306" s="2"/>
    </row>
    <row r="3307">
      <c r="A3307" s="2"/>
      <c r="B3307" s="13"/>
      <c r="C3307" s="2"/>
      <c r="D3307" s="2"/>
      <c r="E3307" s="2"/>
      <c r="F3307" s="14"/>
      <c r="G3307" s="2"/>
      <c r="H3307" s="2"/>
    </row>
    <row r="3308">
      <c r="A3308" s="2"/>
      <c r="B3308" s="13"/>
      <c r="C3308" s="2"/>
      <c r="D3308" s="2"/>
      <c r="E3308" s="2"/>
      <c r="F3308" s="14"/>
      <c r="G3308" s="2"/>
      <c r="H3308" s="2"/>
    </row>
    <row r="3309">
      <c r="A3309" s="2"/>
      <c r="B3309" s="13"/>
      <c r="C3309" s="2"/>
      <c r="D3309" s="2"/>
      <c r="E3309" s="2"/>
      <c r="F3309" s="14"/>
      <c r="G3309" s="2"/>
      <c r="H3309" s="2"/>
    </row>
    <row r="3310">
      <c r="A3310" s="2"/>
      <c r="B3310" s="13"/>
      <c r="C3310" s="2"/>
      <c r="D3310" s="2"/>
      <c r="E3310" s="2"/>
      <c r="F3310" s="14"/>
      <c r="G3310" s="2"/>
      <c r="H3310" s="2"/>
    </row>
    <row r="3311">
      <c r="A3311" s="2"/>
      <c r="B3311" s="13"/>
      <c r="C3311" s="2"/>
      <c r="D3311" s="2"/>
      <c r="E3311" s="2"/>
      <c r="F3311" s="14"/>
      <c r="G3311" s="2"/>
      <c r="H3311" s="2"/>
    </row>
    <row r="3312">
      <c r="A3312" s="2"/>
      <c r="B3312" s="13"/>
      <c r="C3312" s="2"/>
      <c r="D3312" s="2"/>
      <c r="E3312" s="2"/>
      <c r="F3312" s="14"/>
      <c r="G3312" s="2"/>
      <c r="H3312" s="2"/>
    </row>
    <row r="3313">
      <c r="A3313" s="2"/>
      <c r="B3313" s="13"/>
      <c r="C3313" s="2"/>
      <c r="D3313" s="2"/>
      <c r="E3313" s="2"/>
      <c r="F3313" s="14"/>
      <c r="G3313" s="2"/>
      <c r="H3313" s="2"/>
    </row>
    <row r="3314">
      <c r="A3314" s="2"/>
      <c r="B3314" s="13"/>
      <c r="C3314" s="2"/>
      <c r="D3314" s="2"/>
      <c r="E3314" s="2"/>
      <c r="F3314" s="14"/>
      <c r="G3314" s="2"/>
      <c r="H3314" s="2"/>
    </row>
    <row r="3315">
      <c r="A3315" s="2"/>
      <c r="B3315" s="13"/>
      <c r="C3315" s="2"/>
      <c r="D3315" s="2"/>
      <c r="E3315" s="2"/>
      <c r="F3315" s="14"/>
      <c r="G3315" s="2"/>
      <c r="H3315" s="2"/>
    </row>
    <row r="3316">
      <c r="A3316" s="2"/>
      <c r="B3316" s="13"/>
      <c r="C3316" s="2"/>
      <c r="D3316" s="2"/>
      <c r="E3316" s="2"/>
      <c r="F3316" s="14"/>
      <c r="G3316" s="2"/>
      <c r="H3316" s="2"/>
    </row>
    <row r="3317">
      <c r="A3317" s="2"/>
      <c r="B3317" s="13"/>
      <c r="C3317" s="2"/>
      <c r="D3317" s="2"/>
      <c r="E3317" s="2"/>
      <c r="F3317" s="14"/>
      <c r="G3317" s="2"/>
      <c r="H3317" s="2"/>
    </row>
    <row r="3318">
      <c r="A3318" s="2"/>
      <c r="B3318" s="13"/>
      <c r="C3318" s="2"/>
      <c r="D3318" s="2"/>
      <c r="E3318" s="2"/>
      <c r="F3318" s="14"/>
      <c r="G3318" s="2"/>
      <c r="H3318" s="2"/>
    </row>
    <row r="3319">
      <c r="A3319" s="2"/>
      <c r="B3319" s="13"/>
      <c r="C3319" s="2"/>
      <c r="D3319" s="2"/>
      <c r="E3319" s="2"/>
      <c r="F3319" s="14"/>
      <c r="G3319" s="2"/>
      <c r="H3319" s="2"/>
    </row>
    <row r="3320">
      <c r="A3320" s="2"/>
      <c r="B3320" s="13"/>
      <c r="C3320" s="2"/>
      <c r="D3320" s="2"/>
      <c r="E3320" s="2"/>
      <c r="F3320" s="14"/>
      <c r="G3320" s="2"/>
      <c r="H3320" s="2"/>
    </row>
    <row r="3321">
      <c r="A3321" s="2"/>
      <c r="B3321" s="13"/>
      <c r="C3321" s="2"/>
      <c r="D3321" s="2"/>
      <c r="E3321" s="2"/>
      <c r="F3321" s="14"/>
      <c r="G3321" s="2"/>
      <c r="H3321" s="2"/>
    </row>
    <row r="3322">
      <c r="A3322" s="2"/>
      <c r="B3322" s="13"/>
      <c r="C3322" s="2"/>
      <c r="D3322" s="2"/>
      <c r="E3322" s="2"/>
      <c r="F3322" s="14"/>
      <c r="G3322" s="2"/>
      <c r="H3322" s="2"/>
    </row>
    <row r="3323">
      <c r="A3323" s="2"/>
      <c r="B3323" s="13"/>
      <c r="C3323" s="2"/>
      <c r="D3323" s="2"/>
      <c r="E3323" s="2"/>
      <c r="F3323" s="14"/>
      <c r="G3323" s="2"/>
      <c r="H3323" s="2"/>
    </row>
    <row r="3324">
      <c r="A3324" s="2"/>
      <c r="B3324" s="13"/>
      <c r="C3324" s="2"/>
      <c r="D3324" s="2"/>
      <c r="E3324" s="2"/>
      <c r="F3324" s="14"/>
      <c r="G3324" s="2"/>
      <c r="H3324" s="2"/>
    </row>
    <row r="3325">
      <c r="A3325" s="2"/>
      <c r="B3325" s="13"/>
      <c r="C3325" s="2"/>
      <c r="D3325" s="2"/>
      <c r="E3325" s="2"/>
      <c r="F3325" s="14"/>
      <c r="G3325" s="2"/>
      <c r="H3325" s="2"/>
    </row>
    <row r="3326">
      <c r="A3326" s="2"/>
      <c r="B3326" s="13"/>
      <c r="C3326" s="2"/>
      <c r="D3326" s="2"/>
      <c r="E3326" s="2"/>
      <c r="F3326" s="14"/>
      <c r="G3326" s="2"/>
      <c r="H3326" s="2"/>
    </row>
    <row r="3327">
      <c r="A3327" s="2"/>
      <c r="B3327" s="13"/>
      <c r="C3327" s="2"/>
      <c r="D3327" s="2"/>
      <c r="E3327" s="2"/>
      <c r="F3327" s="14"/>
      <c r="G3327" s="2"/>
      <c r="H3327" s="2"/>
    </row>
    <row r="3328">
      <c r="A3328" s="2"/>
      <c r="B3328" s="13"/>
      <c r="C3328" s="2"/>
      <c r="D3328" s="2"/>
      <c r="E3328" s="2"/>
      <c r="F3328" s="14"/>
      <c r="G3328" s="2"/>
      <c r="H3328" s="2"/>
    </row>
    <row r="3329">
      <c r="A3329" s="2"/>
      <c r="B3329" s="13"/>
      <c r="C3329" s="2"/>
      <c r="D3329" s="2"/>
      <c r="E3329" s="2"/>
      <c r="F3329" s="14"/>
      <c r="G3329" s="2"/>
      <c r="H3329" s="2"/>
    </row>
    <row r="3330">
      <c r="A3330" s="2"/>
      <c r="B3330" s="13"/>
      <c r="C3330" s="2"/>
      <c r="D3330" s="2"/>
      <c r="E3330" s="2"/>
      <c r="F3330" s="14"/>
      <c r="G3330" s="2"/>
      <c r="H3330" s="2"/>
    </row>
    <row r="3331">
      <c r="A3331" s="2"/>
      <c r="B3331" s="13"/>
      <c r="C3331" s="2"/>
      <c r="D3331" s="2"/>
      <c r="E3331" s="2"/>
      <c r="F3331" s="14"/>
      <c r="G3331" s="2"/>
      <c r="H3331" s="2"/>
    </row>
    <row r="3332">
      <c r="A3332" s="2"/>
      <c r="B3332" s="13"/>
      <c r="C3332" s="2"/>
      <c r="D3332" s="2"/>
      <c r="E3332" s="2"/>
      <c r="F3332" s="14"/>
      <c r="G3332" s="2"/>
      <c r="H3332" s="2"/>
    </row>
    <row r="3333">
      <c r="A3333" s="2"/>
      <c r="B3333" s="13"/>
      <c r="C3333" s="2"/>
      <c r="D3333" s="2"/>
      <c r="E3333" s="2"/>
      <c r="F3333" s="14"/>
      <c r="G3333" s="2"/>
      <c r="H3333" s="2"/>
    </row>
    <row r="3334">
      <c r="A3334" s="2"/>
      <c r="B3334" s="13"/>
      <c r="C3334" s="2"/>
      <c r="D3334" s="2"/>
      <c r="E3334" s="2"/>
      <c r="F3334" s="14"/>
      <c r="G3334" s="2"/>
      <c r="H3334" s="2"/>
    </row>
    <row r="3335">
      <c r="A3335" s="2"/>
      <c r="B3335" s="13"/>
      <c r="C3335" s="2"/>
      <c r="D3335" s="2"/>
      <c r="E3335" s="2"/>
      <c r="F3335" s="14"/>
      <c r="G3335" s="2"/>
      <c r="H3335" s="2"/>
    </row>
    <row r="3336">
      <c r="A3336" s="2"/>
      <c r="B3336" s="13"/>
      <c r="C3336" s="2"/>
      <c r="D3336" s="2"/>
      <c r="E3336" s="2"/>
      <c r="F3336" s="14"/>
      <c r="G3336" s="2"/>
      <c r="H3336" s="2"/>
    </row>
    <row r="3337">
      <c r="A3337" s="2"/>
      <c r="B3337" s="13"/>
      <c r="C3337" s="2"/>
      <c r="D3337" s="2"/>
      <c r="E3337" s="2"/>
      <c r="F3337" s="14"/>
      <c r="G3337" s="2"/>
      <c r="H3337" s="2"/>
    </row>
    <row r="3338">
      <c r="A3338" s="2"/>
      <c r="B3338" s="13"/>
      <c r="C3338" s="2"/>
      <c r="D3338" s="2"/>
      <c r="E3338" s="2"/>
      <c r="F3338" s="14"/>
      <c r="G3338" s="2"/>
      <c r="H3338" s="2"/>
    </row>
    <row r="3339">
      <c r="A3339" s="2"/>
      <c r="B3339" s="13"/>
      <c r="C3339" s="2"/>
      <c r="D3339" s="2"/>
      <c r="E3339" s="2"/>
      <c r="F3339" s="14"/>
      <c r="G3339" s="2"/>
      <c r="H3339" s="2"/>
    </row>
    <row r="3340">
      <c r="A3340" s="2"/>
      <c r="B3340" s="13"/>
      <c r="C3340" s="2"/>
      <c r="D3340" s="2"/>
      <c r="E3340" s="2"/>
      <c r="F3340" s="14"/>
      <c r="G3340" s="2"/>
      <c r="H3340" s="2"/>
    </row>
    <row r="3341">
      <c r="A3341" s="2"/>
      <c r="B3341" s="13"/>
      <c r="C3341" s="2"/>
      <c r="D3341" s="2"/>
      <c r="E3341" s="2"/>
      <c r="F3341" s="14"/>
      <c r="G3341" s="2"/>
      <c r="H3341" s="2"/>
    </row>
    <row r="3342">
      <c r="A3342" s="2"/>
      <c r="B3342" s="13"/>
      <c r="C3342" s="2"/>
      <c r="D3342" s="2"/>
      <c r="E3342" s="2"/>
      <c r="F3342" s="14"/>
      <c r="G3342" s="2"/>
      <c r="H3342" s="2"/>
    </row>
    <row r="3343">
      <c r="A3343" s="2"/>
      <c r="B3343" s="13"/>
      <c r="C3343" s="2"/>
      <c r="D3343" s="2"/>
      <c r="E3343" s="2"/>
      <c r="F3343" s="14"/>
      <c r="G3343" s="2"/>
      <c r="H3343" s="2"/>
    </row>
    <row r="3344">
      <c r="A3344" s="2"/>
      <c r="B3344" s="13"/>
      <c r="C3344" s="2"/>
      <c r="D3344" s="2"/>
      <c r="E3344" s="2"/>
      <c r="F3344" s="14"/>
      <c r="G3344" s="2"/>
      <c r="H3344" s="2"/>
    </row>
    <row r="3345">
      <c r="A3345" s="2"/>
      <c r="B3345" s="13"/>
      <c r="C3345" s="2"/>
      <c r="D3345" s="2"/>
      <c r="E3345" s="2"/>
      <c r="F3345" s="14"/>
      <c r="G3345" s="2"/>
      <c r="H3345" s="2"/>
    </row>
    <row r="3346">
      <c r="A3346" s="2"/>
      <c r="B3346" s="13"/>
      <c r="C3346" s="2"/>
      <c r="D3346" s="2"/>
      <c r="E3346" s="2"/>
      <c r="F3346" s="14"/>
      <c r="G3346" s="2"/>
      <c r="H3346" s="2"/>
    </row>
    <row r="3347">
      <c r="A3347" s="2"/>
      <c r="B3347" s="13"/>
      <c r="C3347" s="2"/>
      <c r="D3347" s="2"/>
      <c r="E3347" s="2"/>
      <c r="F3347" s="14"/>
      <c r="G3347" s="2"/>
      <c r="H3347" s="2"/>
    </row>
    <row r="3348">
      <c r="A3348" s="2"/>
      <c r="B3348" s="13"/>
      <c r="C3348" s="2"/>
      <c r="D3348" s="2"/>
      <c r="E3348" s="2"/>
      <c r="F3348" s="14"/>
      <c r="G3348" s="2"/>
      <c r="H3348" s="2"/>
    </row>
    <row r="3349">
      <c r="A3349" s="2"/>
      <c r="B3349" s="13"/>
      <c r="C3349" s="2"/>
      <c r="D3349" s="2"/>
      <c r="E3349" s="2"/>
      <c r="F3349" s="14"/>
      <c r="G3349" s="2"/>
      <c r="H3349" s="2"/>
    </row>
    <row r="3350">
      <c r="A3350" s="2"/>
      <c r="B3350" s="13"/>
      <c r="C3350" s="2"/>
      <c r="D3350" s="2"/>
      <c r="E3350" s="2"/>
      <c r="F3350" s="14"/>
      <c r="G3350" s="2"/>
      <c r="H3350" s="2"/>
    </row>
    <row r="3351">
      <c r="A3351" s="2"/>
      <c r="B3351" s="13"/>
      <c r="C3351" s="2"/>
      <c r="D3351" s="2"/>
      <c r="E3351" s="2"/>
      <c r="F3351" s="14"/>
      <c r="G3351" s="2"/>
      <c r="H3351" s="2"/>
    </row>
    <row r="3352">
      <c r="A3352" s="2"/>
      <c r="B3352" s="13"/>
      <c r="C3352" s="2"/>
      <c r="D3352" s="2"/>
      <c r="E3352" s="2"/>
      <c r="F3352" s="14"/>
      <c r="G3352" s="2"/>
      <c r="H3352" s="2"/>
    </row>
    <row r="3353">
      <c r="A3353" s="2"/>
      <c r="B3353" s="13"/>
      <c r="C3353" s="2"/>
      <c r="D3353" s="2"/>
      <c r="E3353" s="2"/>
      <c r="F3353" s="14"/>
      <c r="G3353" s="2"/>
      <c r="H3353" s="2"/>
    </row>
    <row r="3354">
      <c r="A3354" s="2"/>
      <c r="B3354" s="13"/>
      <c r="C3354" s="2"/>
      <c r="D3354" s="2"/>
      <c r="E3354" s="2"/>
      <c r="F3354" s="14"/>
      <c r="G3354" s="2"/>
      <c r="H3354" s="2"/>
    </row>
    <row r="3355">
      <c r="A3355" s="2"/>
      <c r="B3355" s="13"/>
      <c r="C3355" s="2"/>
      <c r="D3355" s="2"/>
      <c r="E3355" s="2"/>
      <c r="F3355" s="14"/>
      <c r="G3355" s="2"/>
      <c r="H3355" s="2"/>
    </row>
    <row r="3356">
      <c r="A3356" s="2"/>
      <c r="B3356" s="13"/>
      <c r="C3356" s="2"/>
      <c r="D3356" s="2"/>
      <c r="E3356" s="2"/>
      <c r="F3356" s="14"/>
      <c r="G3356" s="2"/>
      <c r="H3356" s="2"/>
    </row>
    <row r="3357">
      <c r="A3357" s="2"/>
      <c r="B3357" s="13"/>
      <c r="C3357" s="2"/>
      <c r="D3357" s="2"/>
      <c r="E3357" s="2"/>
      <c r="F3357" s="14"/>
      <c r="G3357" s="2"/>
      <c r="H3357" s="2"/>
    </row>
    <row r="3358">
      <c r="A3358" s="2"/>
      <c r="B3358" s="13"/>
      <c r="C3358" s="2"/>
      <c r="D3358" s="2"/>
      <c r="E3358" s="2"/>
      <c r="F3358" s="14"/>
      <c r="G3358" s="2"/>
      <c r="H3358" s="2"/>
    </row>
    <row r="3359">
      <c r="A3359" s="2"/>
      <c r="B3359" s="13"/>
      <c r="C3359" s="2"/>
      <c r="D3359" s="2"/>
      <c r="E3359" s="2"/>
      <c r="F3359" s="14"/>
      <c r="G3359" s="2"/>
      <c r="H3359" s="2"/>
    </row>
    <row r="3360">
      <c r="A3360" s="2"/>
      <c r="B3360" s="13"/>
      <c r="C3360" s="2"/>
      <c r="D3360" s="2"/>
      <c r="E3360" s="2"/>
      <c r="F3360" s="14"/>
      <c r="G3360" s="2"/>
      <c r="H3360" s="2"/>
    </row>
    <row r="3361">
      <c r="A3361" s="2"/>
      <c r="B3361" s="13"/>
      <c r="C3361" s="2"/>
      <c r="D3361" s="2"/>
      <c r="E3361" s="2"/>
      <c r="F3361" s="14"/>
      <c r="G3361" s="2"/>
      <c r="H3361" s="2"/>
    </row>
    <row r="3362">
      <c r="A3362" s="2"/>
      <c r="B3362" s="13"/>
      <c r="C3362" s="2"/>
      <c r="D3362" s="2"/>
      <c r="E3362" s="2"/>
      <c r="F3362" s="14"/>
      <c r="G3362" s="2"/>
      <c r="H3362" s="2"/>
    </row>
    <row r="3363">
      <c r="A3363" s="2"/>
      <c r="B3363" s="13"/>
      <c r="C3363" s="2"/>
      <c r="D3363" s="2"/>
      <c r="E3363" s="2"/>
      <c r="F3363" s="14"/>
      <c r="G3363" s="2"/>
      <c r="H3363" s="2"/>
    </row>
    <row r="3364">
      <c r="A3364" s="2"/>
      <c r="B3364" s="13"/>
      <c r="C3364" s="2"/>
      <c r="D3364" s="2"/>
      <c r="E3364" s="2"/>
      <c r="F3364" s="14"/>
      <c r="G3364" s="2"/>
      <c r="H3364" s="2"/>
    </row>
    <row r="3365">
      <c r="A3365" s="2"/>
      <c r="B3365" s="13"/>
      <c r="C3365" s="2"/>
      <c r="D3365" s="2"/>
      <c r="E3365" s="2"/>
      <c r="F3365" s="14"/>
      <c r="G3365" s="2"/>
      <c r="H3365" s="2"/>
    </row>
    <row r="3366">
      <c r="A3366" s="2"/>
      <c r="B3366" s="13"/>
      <c r="C3366" s="2"/>
      <c r="D3366" s="2"/>
      <c r="E3366" s="2"/>
      <c r="F3366" s="14"/>
      <c r="G3366" s="2"/>
      <c r="H3366" s="2"/>
    </row>
    <row r="3367">
      <c r="A3367" s="2"/>
      <c r="B3367" s="13"/>
      <c r="C3367" s="2"/>
      <c r="D3367" s="2"/>
      <c r="E3367" s="2"/>
      <c r="F3367" s="14"/>
      <c r="G3367" s="2"/>
      <c r="H3367" s="2"/>
    </row>
    <row r="3368">
      <c r="A3368" s="2"/>
      <c r="B3368" s="13"/>
      <c r="C3368" s="2"/>
      <c r="D3368" s="2"/>
      <c r="E3368" s="2"/>
      <c r="F3368" s="14"/>
      <c r="G3368" s="2"/>
      <c r="H3368" s="2"/>
    </row>
    <row r="3369">
      <c r="A3369" s="2"/>
      <c r="B3369" s="13"/>
      <c r="C3369" s="2"/>
      <c r="D3369" s="2"/>
      <c r="E3369" s="2"/>
      <c r="F3369" s="14"/>
      <c r="G3369" s="2"/>
      <c r="H3369" s="2"/>
    </row>
    <row r="3370">
      <c r="A3370" s="2"/>
      <c r="B3370" s="13"/>
      <c r="C3370" s="2"/>
      <c r="D3370" s="2"/>
      <c r="E3370" s="2"/>
      <c r="F3370" s="14"/>
      <c r="G3370" s="2"/>
      <c r="H3370" s="2"/>
    </row>
    <row r="3371">
      <c r="A3371" s="2"/>
      <c r="B3371" s="13"/>
      <c r="C3371" s="2"/>
      <c r="D3371" s="2"/>
      <c r="E3371" s="2"/>
      <c r="F3371" s="14"/>
      <c r="G3371" s="2"/>
      <c r="H3371" s="2"/>
    </row>
    <row r="3372">
      <c r="A3372" s="2"/>
      <c r="B3372" s="13"/>
      <c r="C3372" s="2"/>
      <c r="D3372" s="2"/>
      <c r="E3372" s="2"/>
      <c r="F3372" s="14"/>
      <c r="G3372" s="2"/>
      <c r="H3372" s="2"/>
    </row>
    <row r="3373">
      <c r="A3373" s="2"/>
      <c r="B3373" s="13"/>
      <c r="C3373" s="2"/>
      <c r="D3373" s="2"/>
      <c r="E3373" s="2"/>
      <c r="F3373" s="14"/>
      <c r="G3373" s="2"/>
      <c r="H3373" s="2"/>
    </row>
    <row r="3374">
      <c r="A3374" s="2"/>
      <c r="B3374" s="13"/>
      <c r="C3374" s="2"/>
      <c r="D3374" s="2"/>
      <c r="E3374" s="2"/>
      <c r="F3374" s="14"/>
      <c r="G3374" s="2"/>
      <c r="H3374" s="2"/>
    </row>
    <row r="3375">
      <c r="A3375" s="2"/>
      <c r="B3375" s="13"/>
      <c r="C3375" s="2"/>
      <c r="D3375" s="2"/>
      <c r="E3375" s="2"/>
      <c r="F3375" s="14"/>
      <c r="G3375" s="2"/>
      <c r="H3375" s="2"/>
    </row>
    <row r="3376">
      <c r="A3376" s="2"/>
      <c r="B3376" s="13"/>
      <c r="C3376" s="2"/>
      <c r="D3376" s="2"/>
      <c r="E3376" s="2"/>
      <c r="F3376" s="14"/>
      <c r="G3376" s="2"/>
      <c r="H3376" s="2"/>
    </row>
    <row r="3377">
      <c r="A3377" s="2"/>
      <c r="B3377" s="13"/>
      <c r="C3377" s="2"/>
      <c r="D3377" s="2"/>
      <c r="E3377" s="2"/>
      <c r="F3377" s="14"/>
      <c r="G3377" s="2"/>
      <c r="H3377" s="2"/>
    </row>
    <row r="3378">
      <c r="A3378" s="2"/>
      <c r="B3378" s="13"/>
      <c r="C3378" s="2"/>
      <c r="D3378" s="2"/>
      <c r="E3378" s="2"/>
      <c r="F3378" s="14"/>
      <c r="G3378" s="2"/>
      <c r="H3378" s="2"/>
    </row>
    <row r="3379">
      <c r="A3379" s="2"/>
      <c r="B3379" s="13"/>
      <c r="C3379" s="2"/>
      <c r="D3379" s="2"/>
      <c r="E3379" s="2"/>
      <c r="F3379" s="14"/>
      <c r="G3379" s="2"/>
      <c r="H3379" s="2"/>
    </row>
    <row r="3380">
      <c r="A3380" s="2"/>
      <c r="B3380" s="13"/>
      <c r="C3380" s="2"/>
      <c r="D3380" s="2"/>
      <c r="E3380" s="2"/>
      <c r="F3380" s="14"/>
      <c r="G3380" s="2"/>
      <c r="H3380" s="2"/>
    </row>
    <row r="3381">
      <c r="A3381" s="2"/>
      <c r="B3381" s="13"/>
      <c r="C3381" s="2"/>
      <c r="D3381" s="2"/>
      <c r="E3381" s="2"/>
      <c r="F3381" s="14"/>
      <c r="G3381" s="2"/>
      <c r="H3381" s="2"/>
    </row>
    <row r="3382">
      <c r="A3382" s="2"/>
      <c r="B3382" s="13"/>
      <c r="C3382" s="2"/>
      <c r="D3382" s="2"/>
      <c r="E3382" s="2"/>
      <c r="F3382" s="14"/>
      <c r="G3382" s="2"/>
      <c r="H3382" s="2"/>
    </row>
    <row r="3383">
      <c r="A3383" s="2"/>
      <c r="B3383" s="13"/>
      <c r="C3383" s="2"/>
      <c r="D3383" s="2"/>
      <c r="E3383" s="2"/>
      <c r="F3383" s="14"/>
      <c r="G3383" s="2"/>
      <c r="H3383" s="2"/>
    </row>
    <row r="3384">
      <c r="A3384" s="2"/>
      <c r="B3384" s="13"/>
      <c r="C3384" s="2"/>
      <c r="D3384" s="2"/>
      <c r="E3384" s="2"/>
      <c r="F3384" s="14"/>
      <c r="G3384" s="2"/>
      <c r="H3384" s="2"/>
    </row>
    <row r="3385">
      <c r="A3385" s="2"/>
      <c r="B3385" s="13"/>
      <c r="C3385" s="2"/>
      <c r="D3385" s="2"/>
      <c r="E3385" s="2"/>
      <c r="F3385" s="14"/>
      <c r="G3385" s="2"/>
      <c r="H3385" s="2"/>
    </row>
    <row r="3386">
      <c r="A3386" s="2"/>
      <c r="B3386" s="13"/>
      <c r="C3386" s="2"/>
      <c r="D3386" s="2"/>
      <c r="E3386" s="2"/>
      <c r="F3386" s="14"/>
      <c r="G3386" s="2"/>
      <c r="H3386" s="2"/>
    </row>
    <row r="3387">
      <c r="A3387" s="2"/>
      <c r="B3387" s="13"/>
      <c r="C3387" s="2"/>
      <c r="D3387" s="2"/>
      <c r="E3387" s="2"/>
      <c r="F3387" s="14"/>
      <c r="G3387" s="2"/>
      <c r="H3387" s="2"/>
    </row>
    <row r="3388">
      <c r="A3388" s="2"/>
      <c r="B3388" s="13"/>
      <c r="C3388" s="2"/>
      <c r="D3388" s="2"/>
      <c r="E3388" s="2"/>
      <c r="F3388" s="14"/>
      <c r="G3388" s="2"/>
      <c r="H3388" s="2"/>
    </row>
    <row r="3389">
      <c r="A3389" s="2"/>
      <c r="B3389" s="13"/>
      <c r="C3389" s="2"/>
      <c r="D3389" s="2"/>
      <c r="E3389" s="2"/>
      <c r="F3389" s="14"/>
      <c r="G3389" s="2"/>
      <c r="H3389" s="2"/>
    </row>
    <row r="3390">
      <c r="A3390" s="2"/>
      <c r="B3390" s="13"/>
      <c r="C3390" s="2"/>
      <c r="D3390" s="2"/>
      <c r="E3390" s="2"/>
      <c r="F3390" s="14"/>
      <c r="G3390" s="2"/>
      <c r="H3390" s="2"/>
    </row>
    <row r="3391">
      <c r="A3391" s="2"/>
      <c r="B3391" s="13"/>
      <c r="C3391" s="2"/>
      <c r="D3391" s="2"/>
      <c r="E3391" s="2"/>
      <c r="F3391" s="14"/>
      <c r="G3391" s="2"/>
      <c r="H3391" s="2"/>
    </row>
    <row r="3392">
      <c r="A3392" s="2"/>
      <c r="B3392" s="13"/>
      <c r="C3392" s="2"/>
      <c r="D3392" s="2"/>
      <c r="E3392" s="2"/>
      <c r="F3392" s="14"/>
      <c r="G3392" s="2"/>
      <c r="H3392" s="2"/>
    </row>
    <row r="3393">
      <c r="A3393" s="2"/>
      <c r="B3393" s="13"/>
      <c r="C3393" s="2"/>
      <c r="D3393" s="2"/>
      <c r="E3393" s="2"/>
      <c r="F3393" s="14"/>
      <c r="G3393" s="2"/>
      <c r="H3393" s="2"/>
    </row>
    <row r="3394">
      <c r="A3394" s="2"/>
      <c r="B3394" s="13"/>
      <c r="C3394" s="2"/>
      <c r="D3394" s="2"/>
      <c r="E3394" s="2"/>
      <c r="F3394" s="14"/>
      <c r="G3394" s="2"/>
      <c r="H3394" s="2"/>
    </row>
    <row r="3395">
      <c r="A3395" s="2"/>
      <c r="B3395" s="13"/>
      <c r="C3395" s="2"/>
      <c r="D3395" s="2"/>
      <c r="E3395" s="2"/>
      <c r="F3395" s="14"/>
      <c r="G3395" s="2"/>
      <c r="H3395" s="2"/>
    </row>
    <row r="3396">
      <c r="A3396" s="2"/>
      <c r="B3396" s="13"/>
      <c r="C3396" s="2"/>
      <c r="D3396" s="2"/>
      <c r="E3396" s="2"/>
      <c r="F3396" s="14"/>
      <c r="G3396" s="2"/>
      <c r="H3396" s="2"/>
    </row>
    <row r="3397">
      <c r="A3397" s="2"/>
      <c r="B3397" s="13"/>
      <c r="C3397" s="2"/>
      <c r="D3397" s="2"/>
      <c r="E3397" s="2"/>
      <c r="F3397" s="14"/>
      <c r="G3397" s="2"/>
      <c r="H3397" s="2"/>
    </row>
    <row r="3398">
      <c r="A3398" s="2"/>
      <c r="B3398" s="13"/>
      <c r="C3398" s="2"/>
      <c r="D3398" s="2"/>
      <c r="E3398" s="2"/>
      <c r="F3398" s="14"/>
      <c r="G3398" s="2"/>
      <c r="H3398" s="2"/>
    </row>
    <row r="3399">
      <c r="A3399" s="2"/>
      <c r="B3399" s="13"/>
      <c r="C3399" s="2"/>
      <c r="D3399" s="2"/>
      <c r="E3399" s="2"/>
      <c r="F3399" s="14"/>
      <c r="G3399" s="2"/>
      <c r="H3399" s="2"/>
    </row>
    <row r="3400">
      <c r="A3400" s="2"/>
      <c r="B3400" s="13"/>
      <c r="C3400" s="2"/>
      <c r="D3400" s="2"/>
      <c r="E3400" s="2"/>
      <c r="F3400" s="14"/>
      <c r="G3400" s="2"/>
      <c r="H3400" s="2"/>
    </row>
    <row r="3401">
      <c r="A3401" s="2"/>
      <c r="B3401" s="13"/>
      <c r="C3401" s="2"/>
      <c r="D3401" s="2"/>
      <c r="E3401" s="2"/>
      <c r="F3401" s="14"/>
      <c r="G3401" s="2"/>
      <c r="H3401" s="2"/>
    </row>
    <row r="3402">
      <c r="A3402" s="2"/>
      <c r="B3402" s="13"/>
      <c r="C3402" s="2"/>
      <c r="D3402" s="2"/>
      <c r="E3402" s="2"/>
      <c r="F3402" s="14"/>
      <c r="G3402" s="2"/>
      <c r="H3402" s="2"/>
    </row>
    <row r="3403">
      <c r="A3403" s="2"/>
      <c r="B3403" s="13"/>
      <c r="C3403" s="2"/>
      <c r="D3403" s="2"/>
      <c r="E3403" s="2"/>
      <c r="F3403" s="14"/>
      <c r="G3403" s="2"/>
      <c r="H3403" s="2"/>
    </row>
    <row r="3404">
      <c r="A3404" s="2"/>
      <c r="B3404" s="13"/>
      <c r="C3404" s="2"/>
      <c r="D3404" s="2"/>
      <c r="E3404" s="2"/>
      <c r="F3404" s="14"/>
      <c r="G3404" s="2"/>
      <c r="H3404" s="2"/>
    </row>
    <row r="3405">
      <c r="A3405" s="2"/>
      <c r="B3405" s="13"/>
      <c r="C3405" s="2"/>
      <c r="D3405" s="2"/>
      <c r="E3405" s="2"/>
      <c r="F3405" s="14"/>
      <c r="G3405" s="2"/>
      <c r="H3405" s="2"/>
    </row>
    <row r="3406">
      <c r="A3406" s="2"/>
      <c r="B3406" s="13"/>
      <c r="C3406" s="2"/>
      <c r="D3406" s="2"/>
      <c r="E3406" s="2"/>
      <c r="F3406" s="14"/>
      <c r="G3406" s="2"/>
      <c r="H3406" s="2"/>
    </row>
    <row r="3407">
      <c r="A3407" s="2"/>
      <c r="B3407" s="13"/>
      <c r="C3407" s="2"/>
      <c r="D3407" s="2"/>
      <c r="E3407" s="2"/>
      <c r="F3407" s="14"/>
      <c r="G3407" s="2"/>
      <c r="H3407" s="2"/>
    </row>
    <row r="3408">
      <c r="A3408" s="2"/>
      <c r="B3408" s="13"/>
      <c r="C3408" s="2"/>
      <c r="D3408" s="2"/>
      <c r="E3408" s="2"/>
      <c r="F3408" s="14"/>
      <c r="G3408" s="2"/>
      <c r="H3408" s="2"/>
    </row>
    <row r="3409">
      <c r="A3409" s="2"/>
      <c r="B3409" s="13"/>
      <c r="C3409" s="2"/>
      <c r="D3409" s="2"/>
      <c r="E3409" s="2"/>
      <c r="F3409" s="14"/>
      <c r="G3409" s="2"/>
      <c r="H3409" s="2"/>
    </row>
    <row r="3410">
      <c r="A3410" s="2"/>
      <c r="B3410" s="13"/>
      <c r="C3410" s="2"/>
      <c r="D3410" s="2"/>
      <c r="E3410" s="2"/>
      <c r="F3410" s="14"/>
      <c r="G3410" s="2"/>
      <c r="H3410" s="2"/>
    </row>
    <row r="3411">
      <c r="A3411" s="2"/>
      <c r="B3411" s="13"/>
      <c r="C3411" s="2"/>
      <c r="D3411" s="2"/>
      <c r="E3411" s="2"/>
      <c r="F3411" s="14"/>
      <c r="G3411" s="2"/>
      <c r="H3411" s="2"/>
    </row>
    <row r="3412">
      <c r="A3412" s="2"/>
      <c r="B3412" s="13"/>
      <c r="C3412" s="2"/>
      <c r="D3412" s="2"/>
      <c r="E3412" s="2"/>
      <c r="F3412" s="14"/>
      <c r="G3412" s="2"/>
      <c r="H3412" s="2"/>
    </row>
    <row r="3413">
      <c r="A3413" s="2"/>
      <c r="B3413" s="13"/>
      <c r="C3413" s="2"/>
      <c r="D3413" s="2"/>
      <c r="E3413" s="2"/>
      <c r="F3413" s="14"/>
      <c r="G3413" s="2"/>
      <c r="H3413" s="2"/>
    </row>
    <row r="3414">
      <c r="A3414" s="2"/>
      <c r="B3414" s="13"/>
      <c r="C3414" s="2"/>
      <c r="D3414" s="2"/>
      <c r="E3414" s="2"/>
      <c r="F3414" s="14"/>
      <c r="G3414" s="2"/>
      <c r="H3414" s="2"/>
    </row>
    <row r="3415">
      <c r="A3415" s="2"/>
      <c r="B3415" s="13"/>
      <c r="C3415" s="2"/>
      <c r="D3415" s="2"/>
      <c r="E3415" s="2"/>
      <c r="F3415" s="14"/>
      <c r="G3415" s="2"/>
      <c r="H3415" s="2"/>
    </row>
    <row r="3416">
      <c r="A3416" s="2"/>
      <c r="B3416" s="13"/>
      <c r="C3416" s="2"/>
      <c r="D3416" s="2"/>
      <c r="E3416" s="2"/>
      <c r="F3416" s="14"/>
      <c r="G3416" s="2"/>
      <c r="H3416" s="2"/>
    </row>
    <row r="3417">
      <c r="A3417" s="2"/>
      <c r="B3417" s="13"/>
      <c r="C3417" s="2"/>
      <c r="D3417" s="2"/>
      <c r="E3417" s="2"/>
      <c r="F3417" s="14"/>
      <c r="G3417" s="2"/>
      <c r="H3417" s="2"/>
    </row>
    <row r="3418">
      <c r="A3418" s="2"/>
      <c r="B3418" s="13"/>
      <c r="C3418" s="2"/>
      <c r="D3418" s="2"/>
      <c r="E3418" s="2"/>
      <c r="F3418" s="14"/>
      <c r="G3418" s="2"/>
      <c r="H3418" s="2"/>
    </row>
    <row r="3419">
      <c r="A3419" s="2"/>
      <c r="B3419" s="13"/>
      <c r="C3419" s="2"/>
      <c r="D3419" s="2"/>
      <c r="E3419" s="2"/>
      <c r="F3419" s="14"/>
      <c r="G3419" s="2"/>
      <c r="H3419" s="2"/>
    </row>
    <row r="3420">
      <c r="A3420" s="2"/>
      <c r="B3420" s="13"/>
      <c r="C3420" s="2"/>
      <c r="D3420" s="2"/>
      <c r="E3420" s="2"/>
      <c r="F3420" s="14"/>
      <c r="G3420" s="2"/>
      <c r="H3420" s="2"/>
    </row>
    <row r="3421">
      <c r="A3421" s="2"/>
      <c r="B3421" s="13"/>
      <c r="C3421" s="2"/>
      <c r="D3421" s="2"/>
      <c r="E3421" s="2"/>
      <c r="F3421" s="14"/>
      <c r="G3421" s="2"/>
      <c r="H3421" s="2"/>
    </row>
    <row r="3422">
      <c r="A3422" s="2"/>
      <c r="B3422" s="13"/>
      <c r="C3422" s="2"/>
      <c r="D3422" s="2"/>
      <c r="E3422" s="2"/>
      <c r="F3422" s="14"/>
      <c r="G3422" s="2"/>
      <c r="H3422" s="2"/>
    </row>
    <row r="3423">
      <c r="A3423" s="2"/>
      <c r="B3423" s="13"/>
      <c r="C3423" s="2"/>
      <c r="D3423" s="2"/>
      <c r="E3423" s="2"/>
      <c r="F3423" s="14"/>
      <c r="G3423" s="2"/>
      <c r="H3423" s="2"/>
    </row>
    <row r="3424">
      <c r="A3424" s="2"/>
      <c r="B3424" s="13"/>
      <c r="C3424" s="2"/>
      <c r="D3424" s="2"/>
      <c r="E3424" s="2"/>
      <c r="F3424" s="14"/>
      <c r="G3424" s="2"/>
      <c r="H3424" s="2"/>
    </row>
    <row r="3425">
      <c r="A3425" s="2"/>
      <c r="B3425" s="13"/>
      <c r="C3425" s="2"/>
      <c r="D3425" s="2"/>
      <c r="E3425" s="2"/>
      <c r="F3425" s="14"/>
      <c r="G3425" s="2"/>
      <c r="H3425" s="2"/>
    </row>
    <row r="3426">
      <c r="A3426" s="2"/>
      <c r="B3426" s="13"/>
      <c r="C3426" s="2"/>
      <c r="D3426" s="2"/>
      <c r="E3426" s="2"/>
      <c r="F3426" s="14"/>
      <c r="G3426" s="2"/>
      <c r="H3426" s="2"/>
    </row>
    <row r="3427">
      <c r="A3427" s="2"/>
      <c r="B3427" s="13"/>
      <c r="C3427" s="2"/>
      <c r="D3427" s="2"/>
      <c r="E3427" s="2"/>
      <c r="F3427" s="14"/>
      <c r="G3427" s="2"/>
      <c r="H3427" s="2"/>
    </row>
    <row r="3428">
      <c r="A3428" s="2"/>
      <c r="B3428" s="13"/>
      <c r="C3428" s="2"/>
      <c r="D3428" s="2"/>
      <c r="E3428" s="2"/>
      <c r="F3428" s="14"/>
      <c r="G3428" s="2"/>
      <c r="H3428" s="2"/>
    </row>
    <row r="3429">
      <c r="A3429" s="2"/>
      <c r="B3429" s="13"/>
      <c r="C3429" s="2"/>
      <c r="D3429" s="2"/>
      <c r="E3429" s="2"/>
      <c r="F3429" s="14"/>
      <c r="G3429" s="2"/>
      <c r="H3429" s="2"/>
    </row>
    <row r="3430">
      <c r="A3430" s="2"/>
      <c r="B3430" s="13"/>
      <c r="C3430" s="2"/>
      <c r="D3430" s="2"/>
      <c r="E3430" s="2"/>
      <c r="F3430" s="14"/>
      <c r="G3430" s="2"/>
      <c r="H3430" s="2"/>
    </row>
    <row r="3431">
      <c r="A3431" s="2"/>
      <c r="B3431" s="13"/>
      <c r="C3431" s="2"/>
      <c r="D3431" s="2"/>
      <c r="E3431" s="2"/>
      <c r="F3431" s="14"/>
      <c r="G3431" s="2"/>
      <c r="H3431" s="2"/>
    </row>
    <row r="3432">
      <c r="A3432" s="2"/>
      <c r="B3432" s="13"/>
      <c r="C3432" s="2"/>
      <c r="D3432" s="2"/>
      <c r="E3432" s="2"/>
      <c r="F3432" s="14"/>
      <c r="G3432" s="2"/>
      <c r="H3432" s="2"/>
    </row>
    <row r="3433">
      <c r="A3433" s="2"/>
      <c r="B3433" s="13"/>
      <c r="C3433" s="2"/>
      <c r="D3433" s="2"/>
      <c r="E3433" s="2"/>
      <c r="F3433" s="14"/>
      <c r="G3433" s="2"/>
      <c r="H3433" s="2"/>
    </row>
    <row r="3434">
      <c r="A3434" s="2"/>
      <c r="B3434" s="13"/>
      <c r="C3434" s="2"/>
      <c r="D3434" s="2"/>
      <c r="E3434" s="2"/>
      <c r="F3434" s="14"/>
      <c r="G3434" s="2"/>
      <c r="H3434" s="2"/>
    </row>
    <row r="3435">
      <c r="A3435" s="2"/>
      <c r="B3435" s="13"/>
      <c r="C3435" s="2"/>
      <c r="D3435" s="2"/>
      <c r="E3435" s="2"/>
      <c r="F3435" s="14"/>
      <c r="G3435" s="2"/>
      <c r="H3435" s="2"/>
    </row>
    <row r="3436">
      <c r="A3436" s="2"/>
      <c r="B3436" s="13"/>
      <c r="C3436" s="2"/>
      <c r="D3436" s="2"/>
      <c r="E3436" s="2"/>
      <c r="F3436" s="14"/>
      <c r="G3436" s="2"/>
      <c r="H3436" s="2"/>
    </row>
    <row r="3437">
      <c r="A3437" s="2"/>
      <c r="B3437" s="13"/>
      <c r="C3437" s="2"/>
      <c r="D3437" s="2"/>
      <c r="E3437" s="2"/>
      <c r="F3437" s="14"/>
      <c r="G3437" s="2"/>
      <c r="H3437" s="2"/>
    </row>
    <row r="3438">
      <c r="A3438" s="2"/>
      <c r="B3438" s="13"/>
      <c r="C3438" s="2"/>
      <c r="D3438" s="2"/>
      <c r="E3438" s="2"/>
      <c r="F3438" s="14"/>
      <c r="G3438" s="2"/>
      <c r="H3438" s="2"/>
    </row>
    <row r="3439">
      <c r="A3439" s="2"/>
      <c r="B3439" s="13"/>
      <c r="C3439" s="2"/>
      <c r="D3439" s="2"/>
      <c r="E3439" s="2"/>
      <c r="F3439" s="14"/>
      <c r="G3439" s="2"/>
      <c r="H3439" s="2"/>
    </row>
    <row r="3440">
      <c r="A3440" s="2"/>
      <c r="B3440" s="13"/>
      <c r="C3440" s="2"/>
      <c r="D3440" s="2"/>
      <c r="E3440" s="2"/>
      <c r="F3440" s="14"/>
      <c r="G3440" s="2"/>
      <c r="H3440" s="2"/>
    </row>
    <row r="3441">
      <c r="A3441" s="2"/>
      <c r="B3441" s="13"/>
      <c r="C3441" s="2"/>
      <c r="D3441" s="2"/>
      <c r="E3441" s="2"/>
      <c r="F3441" s="14"/>
      <c r="G3441" s="2"/>
      <c r="H3441" s="2"/>
    </row>
    <row r="3442">
      <c r="A3442" s="2"/>
      <c r="B3442" s="13"/>
      <c r="C3442" s="2"/>
      <c r="D3442" s="2"/>
      <c r="E3442" s="2"/>
      <c r="F3442" s="14"/>
      <c r="G3442" s="2"/>
      <c r="H3442" s="2"/>
    </row>
    <row r="3443">
      <c r="A3443" s="2"/>
      <c r="B3443" s="13"/>
      <c r="C3443" s="2"/>
      <c r="D3443" s="2"/>
      <c r="E3443" s="2"/>
      <c r="F3443" s="14"/>
      <c r="G3443" s="2"/>
      <c r="H3443" s="2"/>
    </row>
    <row r="3444">
      <c r="A3444" s="2"/>
      <c r="B3444" s="13"/>
      <c r="C3444" s="2"/>
      <c r="D3444" s="2"/>
      <c r="E3444" s="2"/>
      <c r="F3444" s="14"/>
      <c r="G3444" s="2"/>
      <c r="H3444" s="2"/>
    </row>
    <row r="3445">
      <c r="A3445" s="2"/>
      <c r="B3445" s="13"/>
      <c r="C3445" s="2"/>
      <c r="D3445" s="2"/>
      <c r="E3445" s="2"/>
      <c r="F3445" s="14"/>
      <c r="G3445" s="2"/>
      <c r="H3445" s="2"/>
    </row>
    <row r="3446">
      <c r="A3446" s="2"/>
      <c r="B3446" s="13"/>
      <c r="C3446" s="2"/>
      <c r="D3446" s="2"/>
      <c r="E3446" s="2"/>
      <c r="F3446" s="14"/>
      <c r="G3446" s="2"/>
      <c r="H3446" s="2"/>
    </row>
    <row r="3447">
      <c r="A3447" s="2"/>
      <c r="B3447" s="13"/>
      <c r="C3447" s="2"/>
      <c r="D3447" s="2"/>
      <c r="E3447" s="2"/>
      <c r="F3447" s="14"/>
      <c r="G3447" s="2"/>
      <c r="H3447" s="2"/>
    </row>
    <row r="3448">
      <c r="A3448" s="2"/>
      <c r="B3448" s="13"/>
      <c r="C3448" s="2"/>
      <c r="D3448" s="2"/>
      <c r="E3448" s="2"/>
      <c r="F3448" s="14"/>
      <c r="G3448" s="2"/>
      <c r="H3448" s="2"/>
    </row>
    <row r="3449">
      <c r="A3449" s="2"/>
      <c r="B3449" s="13"/>
      <c r="C3449" s="2"/>
      <c r="D3449" s="2"/>
      <c r="E3449" s="2"/>
      <c r="F3449" s="14"/>
      <c r="G3449" s="2"/>
      <c r="H3449" s="2"/>
    </row>
    <row r="3450">
      <c r="A3450" s="2"/>
      <c r="B3450" s="13"/>
      <c r="C3450" s="2"/>
      <c r="D3450" s="2"/>
      <c r="E3450" s="2"/>
      <c r="F3450" s="14"/>
      <c r="G3450" s="2"/>
      <c r="H3450" s="2"/>
    </row>
    <row r="3451">
      <c r="A3451" s="2"/>
      <c r="B3451" s="13"/>
      <c r="C3451" s="2"/>
      <c r="D3451" s="2"/>
      <c r="E3451" s="2"/>
      <c r="F3451" s="14"/>
      <c r="G3451" s="2"/>
      <c r="H3451" s="2"/>
    </row>
    <row r="3452">
      <c r="A3452" s="2"/>
      <c r="B3452" s="13"/>
      <c r="C3452" s="2"/>
      <c r="D3452" s="2"/>
      <c r="E3452" s="2"/>
      <c r="F3452" s="14"/>
      <c r="G3452" s="2"/>
      <c r="H3452" s="2"/>
    </row>
    <row r="3453">
      <c r="A3453" s="2"/>
      <c r="B3453" s="13"/>
      <c r="C3453" s="2"/>
      <c r="D3453" s="2"/>
      <c r="E3453" s="2"/>
      <c r="F3453" s="14"/>
      <c r="G3453" s="2"/>
      <c r="H3453" s="2"/>
    </row>
    <row r="3454">
      <c r="A3454" s="2"/>
      <c r="B3454" s="13"/>
      <c r="C3454" s="2"/>
      <c r="D3454" s="2"/>
      <c r="E3454" s="2"/>
      <c r="F3454" s="14"/>
      <c r="G3454" s="2"/>
      <c r="H3454" s="2"/>
    </row>
    <row r="3455">
      <c r="A3455" s="2"/>
      <c r="B3455" s="13"/>
      <c r="C3455" s="2"/>
      <c r="D3455" s="2"/>
      <c r="E3455" s="2"/>
      <c r="F3455" s="14"/>
      <c r="G3455" s="2"/>
      <c r="H3455" s="2"/>
    </row>
    <row r="3456">
      <c r="A3456" s="2"/>
      <c r="B3456" s="13"/>
      <c r="C3456" s="2"/>
      <c r="D3456" s="2"/>
      <c r="E3456" s="2"/>
      <c r="F3456" s="14"/>
      <c r="G3456" s="2"/>
      <c r="H3456" s="2"/>
    </row>
    <row r="3457">
      <c r="A3457" s="2"/>
      <c r="B3457" s="13"/>
      <c r="C3457" s="2"/>
      <c r="D3457" s="2"/>
      <c r="E3457" s="2"/>
      <c r="F3457" s="14"/>
      <c r="G3457" s="2"/>
      <c r="H3457" s="2"/>
    </row>
    <row r="3458">
      <c r="A3458" s="2"/>
      <c r="B3458" s="13"/>
      <c r="C3458" s="2"/>
      <c r="D3458" s="2"/>
      <c r="E3458" s="2"/>
      <c r="F3458" s="14"/>
      <c r="G3458" s="2"/>
      <c r="H3458" s="2"/>
    </row>
    <row r="3459">
      <c r="A3459" s="2"/>
      <c r="B3459" s="13"/>
      <c r="C3459" s="2"/>
      <c r="D3459" s="2"/>
      <c r="E3459" s="2"/>
      <c r="F3459" s="14"/>
      <c r="G3459" s="2"/>
      <c r="H3459" s="2"/>
    </row>
    <row r="3460">
      <c r="A3460" s="2"/>
      <c r="B3460" s="13"/>
      <c r="C3460" s="2"/>
      <c r="D3460" s="2"/>
      <c r="E3460" s="2"/>
      <c r="F3460" s="14"/>
      <c r="G3460" s="2"/>
      <c r="H3460" s="2"/>
    </row>
    <row r="3461">
      <c r="A3461" s="2"/>
      <c r="B3461" s="13"/>
      <c r="C3461" s="2"/>
      <c r="D3461" s="2"/>
      <c r="E3461" s="2"/>
      <c r="F3461" s="14"/>
      <c r="G3461" s="2"/>
      <c r="H3461" s="2"/>
    </row>
    <row r="3462">
      <c r="A3462" s="2"/>
      <c r="B3462" s="13"/>
      <c r="C3462" s="2"/>
      <c r="D3462" s="2"/>
      <c r="E3462" s="2"/>
      <c r="F3462" s="14"/>
      <c r="G3462" s="2"/>
      <c r="H3462" s="2"/>
    </row>
    <row r="3463">
      <c r="A3463" s="2"/>
      <c r="B3463" s="13"/>
      <c r="C3463" s="2"/>
      <c r="D3463" s="2"/>
      <c r="E3463" s="2"/>
      <c r="F3463" s="14"/>
      <c r="G3463" s="2"/>
      <c r="H3463" s="2"/>
    </row>
    <row r="3464">
      <c r="A3464" s="2"/>
      <c r="B3464" s="13"/>
      <c r="C3464" s="2"/>
      <c r="D3464" s="2"/>
      <c r="E3464" s="2"/>
      <c r="F3464" s="14"/>
      <c r="G3464" s="2"/>
      <c r="H3464" s="2"/>
    </row>
    <row r="3465">
      <c r="A3465" s="2"/>
      <c r="B3465" s="13"/>
      <c r="C3465" s="2"/>
      <c r="D3465" s="2"/>
      <c r="E3465" s="2"/>
      <c r="F3465" s="14"/>
      <c r="G3465" s="2"/>
      <c r="H3465" s="2"/>
    </row>
    <row r="3466">
      <c r="A3466" s="2"/>
      <c r="B3466" s="13"/>
      <c r="C3466" s="2"/>
      <c r="D3466" s="2"/>
      <c r="E3466" s="2"/>
      <c r="F3466" s="14"/>
      <c r="G3466" s="2"/>
      <c r="H3466" s="2"/>
    </row>
    <row r="3467">
      <c r="A3467" s="2"/>
      <c r="B3467" s="13"/>
      <c r="C3467" s="2"/>
      <c r="D3467" s="2"/>
      <c r="E3467" s="2"/>
      <c r="F3467" s="14"/>
      <c r="G3467" s="2"/>
      <c r="H3467" s="2"/>
    </row>
    <row r="3468">
      <c r="A3468" s="2"/>
      <c r="B3468" s="13"/>
      <c r="C3468" s="2"/>
      <c r="D3468" s="2"/>
      <c r="E3468" s="2"/>
      <c r="F3468" s="14"/>
      <c r="G3468" s="2"/>
      <c r="H3468" s="2"/>
    </row>
    <row r="3469">
      <c r="A3469" s="2"/>
      <c r="B3469" s="13"/>
      <c r="C3469" s="2"/>
      <c r="D3469" s="2"/>
      <c r="E3469" s="2"/>
      <c r="F3469" s="14"/>
      <c r="G3469" s="2"/>
      <c r="H3469" s="2"/>
    </row>
    <row r="3470">
      <c r="A3470" s="2"/>
      <c r="B3470" s="13"/>
      <c r="C3470" s="2"/>
      <c r="D3470" s="2"/>
      <c r="E3470" s="2"/>
      <c r="F3470" s="14"/>
      <c r="G3470" s="2"/>
      <c r="H3470" s="2"/>
    </row>
    <row r="3471">
      <c r="A3471" s="2"/>
      <c r="B3471" s="13"/>
      <c r="C3471" s="2"/>
      <c r="D3471" s="2"/>
      <c r="E3471" s="2"/>
      <c r="F3471" s="14"/>
      <c r="G3471" s="2"/>
      <c r="H3471" s="2"/>
    </row>
    <row r="3472">
      <c r="A3472" s="2"/>
      <c r="B3472" s="13"/>
      <c r="C3472" s="2"/>
      <c r="D3472" s="2"/>
      <c r="E3472" s="2"/>
      <c r="F3472" s="14"/>
      <c r="G3472" s="2"/>
      <c r="H3472" s="2"/>
    </row>
    <row r="3473">
      <c r="A3473" s="2"/>
      <c r="B3473" s="13"/>
      <c r="C3473" s="2"/>
      <c r="D3473" s="2"/>
      <c r="E3473" s="2"/>
      <c r="F3473" s="14"/>
      <c r="G3473" s="2"/>
      <c r="H3473" s="2"/>
    </row>
    <row r="3474">
      <c r="A3474" s="2"/>
      <c r="B3474" s="13"/>
      <c r="C3474" s="2"/>
      <c r="D3474" s="2"/>
      <c r="E3474" s="2"/>
      <c r="F3474" s="14"/>
      <c r="G3474" s="2"/>
      <c r="H3474" s="2"/>
    </row>
    <row r="3475">
      <c r="A3475" s="2"/>
      <c r="B3475" s="13"/>
      <c r="C3475" s="2"/>
      <c r="D3475" s="2"/>
      <c r="E3475" s="2"/>
      <c r="F3475" s="14"/>
      <c r="G3475" s="2"/>
      <c r="H3475" s="2"/>
    </row>
    <row r="3476">
      <c r="A3476" s="2"/>
      <c r="B3476" s="13"/>
      <c r="C3476" s="2"/>
      <c r="D3476" s="2"/>
      <c r="E3476" s="2"/>
      <c r="F3476" s="14"/>
      <c r="G3476" s="2"/>
      <c r="H3476" s="2"/>
    </row>
    <row r="3477">
      <c r="A3477" s="2"/>
      <c r="B3477" s="13"/>
      <c r="C3477" s="2"/>
      <c r="D3477" s="2"/>
      <c r="E3477" s="2"/>
      <c r="F3477" s="14"/>
      <c r="G3477" s="2"/>
      <c r="H3477" s="2"/>
    </row>
    <row r="3478">
      <c r="A3478" s="2"/>
      <c r="B3478" s="13"/>
      <c r="C3478" s="2"/>
      <c r="D3478" s="2"/>
      <c r="E3478" s="2"/>
      <c r="F3478" s="14"/>
      <c r="G3478" s="2"/>
      <c r="H3478" s="2"/>
    </row>
    <row r="3479">
      <c r="A3479" s="2"/>
      <c r="B3479" s="13"/>
      <c r="C3479" s="2"/>
      <c r="D3479" s="2"/>
      <c r="E3479" s="2"/>
      <c r="F3479" s="14"/>
      <c r="G3479" s="2"/>
      <c r="H3479" s="2"/>
    </row>
    <row r="3480">
      <c r="A3480" s="2"/>
      <c r="B3480" s="13"/>
      <c r="C3480" s="2"/>
      <c r="D3480" s="2"/>
      <c r="E3480" s="2"/>
      <c r="F3480" s="14"/>
      <c r="G3480" s="2"/>
      <c r="H3480" s="2"/>
    </row>
    <row r="3481">
      <c r="A3481" s="2"/>
      <c r="B3481" s="13"/>
      <c r="C3481" s="2"/>
      <c r="D3481" s="2"/>
      <c r="E3481" s="2"/>
      <c r="F3481" s="14"/>
      <c r="G3481" s="2"/>
      <c r="H3481" s="2"/>
    </row>
    <row r="3482">
      <c r="A3482" s="2"/>
      <c r="B3482" s="13"/>
      <c r="C3482" s="2"/>
      <c r="D3482" s="2"/>
      <c r="E3482" s="2"/>
      <c r="F3482" s="14"/>
      <c r="G3482" s="2"/>
      <c r="H3482" s="2"/>
    </row>
    <row r="3483">
      <c r="A3483" s="2"/>
      <c r="B3483" s="13"/>
      <c r="C3483" s="2"/>
      <c r="D3483" s="2"/>
      <c r="E3483" s="2"/>
      <c r="F3483" s="14"/>
      <c r="G3483" s="2"/>
      <c r="H3483" s="2"/>
    </row>
    <row r="3484">
      <c r="A3484" s="2"/>
      <c r="B3484" s="13"/>
      <c r="C3484" s="2"/>
      <c r="D3484" s="2"/>
      <c r="E3484" s="2"/>
      <c r="F3484" s="14"/>
      <c r="G3484" s="2"/>
      <c r="H3484" s="2"/>
    </row>
    <row r="3485">
      <c r="A3485" s="2"/>
      <c r="B3485" s="13"/>
      <c r="C3485" s="2"/>
      <c r="D3485" s="2"/>
      <c r="E3485" s="2"/>
      <c r="F3485" s="14"/>
      <c r="G3485" s="2"/>
      <c r="H3485" s="2"/>
    </row>
    <row r="3486">
      <c r="A3486" s="2"/>
      <c r="B3486" s="13"/>
      <c r="C3486" s="2"/>
      <c r="D3486" s="2"/>
      <c r="E3486" s="2"/>
      <c r="F3486" s="14"/>
      <c r="G3486" s="2"/>
      <c r="H3486" s="2"/>
    </row>
    <row r="3487">
      <c r="A3487" s="2"/>
      <c r="B3487" s="13"/>
      <c r="C3487" s="2"/>
      <c r="D3487" s="2"/>
      <c r="E3487" s="2"/>
      <c r="F3487" s="14"/>
      <c r="G3487" s="2"/>
      <c r="H3487" s="2"/>
    </row>
    <row r="3488">
      <c r="A3488" s="2"/>
      <c r="B3488" s="13"/>
      <c r="C3488" s="2"/>
      <c r="D3488" s="2"/>
      <c r="E3488" s="2"/>
      <c r="F3488" s="14"/>
      <c r="G3488" s="2"/>
      <c r="H3488" s="2"/>
    </row>
    <row r="3489">
      <c r="A3489" s="2"/>
      <c r="B3489" s="13"/>
      <c r="C3489" s="2"/>
      <c r="D3489" s="2"/>
      <c r="E3489" s="2"/>
      <c r="F3489" s="14"/>
      <c r="G3489" s="2"/>
      <c r="H3489" s="2"/>
    </row>
    <row r="3490">
      <c r="A3490" s="2"/>
      <c r="B3490" s="13"/>
      <c r="C3490" s="2"/>
      <c r="D3490" s="2"/>
      <c r="E3490" s="2"/>
      <c r="F3490" s="14"/>
      <c r="G3490" s="2"/>
      <c r="H3490" s="2"/>
    </row>
    <row r="3491">
      <c r="A3491" s="2"/>
      <c r="B3491" s="13"/>
      <c r="C3491" s="2"/>
      <c r="D3491" s="2"/>
      <c r="E3491" s="2"/>
      <c r="F3491" s="14"/>
      <c r="G3491" s="2"/>
      <c r="H3491" s="2"/>
    </row>
    <row r="3492">
      <c r="A3492" s="2"/>
      <c r="B3492" s="13"/>
      <c r="C3492" s="2"/>
      <c r="D3492" s="2"/>
      <c r="E3492" s="2"/>
      <c r="F3492" s="14"/>
      <c r="G3492" s="2"/>
      <c r="H3492" s="2"/>
    </row>
    <row r="3493">
      <c r="A3493" s="2"/>
      <c r="B3493" s="13"/>
      <c r="C3493" s="2"/>
      <c r="D3493" s="2"/>
      <c r="E3493" s="2"/>
      <c r="F3493" s="14"/>
      <c r="G3493" s="2"/>
      <c r="H3493" s="2"/>
    </row>
    <row r="3494">
      <c r="A3494" s="2"/>
      <c r="B3494" s="13"/>
      <c r="C3494" s="2"/>
      <c r="D3494" s="2"/>
      <c r="E3494" s="2"/>
      <c r="F3494" s="14"/>
      <c r="G3494" s="2"/>
      <c r="H3494" s="2"/>
    </row>
    <row r="3495">
      <c r="A3495" s="2"/>
      <c r="B3495" s="13"/>
      <c r="C3495" s="2"/>
      <c r="D3495" s="2"/>
      <c r="E3495" s="2"/>
      <c r="F3495" s="14"/>
      <c r="G3495" s="2"/>
      <c r="H3495" s="2"/>
    </row>
    <row r="3496">
      <c r="A3496" s="2"/>
      <c r="B3496" s="13"/>
      <c r="C3496" s="2"/>
      <c r="D3496" s="2"/>
      <c r="E3496" s="2"/>
      <c r="F3496" s="14"/>
      <c r="G3496" s="2"/>
      <c r="H3496" s="2"/>
    </row>
    <row r="3497">
      <c r="A3497" s="2"/>
      <c r="B3497" s="13"/>
      <c r="C3497" s="2"/>
      <c r="D3497" s="2"/>
      <c r="E3497" s="2"/>
      <c r="F3497" s="14"/>
      <c r="G3497" s="2"/>
      <c r="H3497" s="2"/>
    </row>
    <row r="3498">
      <c r="A3498" s="2"/>
      <c r="B3498" s="13"/>
      <c r="C3498" s="2"/>
      <c r="D3498" s="2"/>
      <c r="E3498" s="2"/>
      <c r="F3498" s="14"/>
      <c r="G3498" s="2"/>
      <c r="H3498" s="2"/>
    </row>
    <row r="3499">
      <c r="A3499" s="2"/>
      <c r="B3499" s="13"/>
      <c r="C3499" s="2"/>
      <c r="D3499" s="2"/>
      <c r="E3499" s="2"/>
      <c r="F3499" s="14"/>
      <c r="G3499" s="2"/>
      <c r="H3499" s="2"/>
    </row>
    <row r="3500">
      <c r="A3500" s="2"/>
      <c r="B3500" s="13"/>
      <c r="C3500" s="2"/>
      <c r="D3500" s="2"/>
      <c r="E3500" s="2"/>
      <c r="F3500" s="14"/>
      <c r="G3500" s="2"/>
      <c r="H3500" s="2"/>
    </row>
    <row r="3501">
      <c r="A3501" s="2"/>
      <c r="B3501" s="13"/>
      <c r="C3501" s="2"/>
      <c r="D3501" s="2"/>
      <c r="E3501" s="2"/>
      <c r="F3501" s="14"/>
      <c r="G3501" s="2"/>
      <c r="H3501" s="2"/>
    </row>
    <row r="3502">
      <c r="A3502" s="2"/>
      <c r="B3502" s="13"/>
      <c r="C3502" s="2"/>
      <c r="D3502" s="2"/>
      <c r="E3502" s="2"/>
      <c r="F3502" s="14"/>
      <c r="G3502" s="2"/>
      <c r="H3502" s="2"/>
    </row>
    <row r="3503">
      <c r="A3503" s="2"/>
      <c r="B3503" s="13"/>
      <c r="C3503" s="2"/>
      <c r="D3503" s="2"/>
      <c r="E3503" s="2"/>
      <c r="F3503" s="14"/>
      <c r="G3503" s="2"/>
      <c r="H3503" s="2"/>
    </row>
    <row r="3504">
      <c r="A3504" s="2"/>
      <c r="B3504" s="13"/>
      <c r="C3504" s="2"/>
      <c r="D3504" s="2"/>
      <c r="E3504" s="2"/>
      <c r="F3504" s="14"/>
      <c r="G3504" s="2"/>
      <c r="H3504" s="2"/>
    </row>
    <row r="3505">
      <c r="A3505" s="2"/>
      <c r="B3505" s="13"/>
      <c r="C3505" s="2"/>
      <c r="D3505" s="2"/>
      <c r="E3505" s="2"/>
      <c r="F3505" s="14"/>
      <c r="G3505" s="2"/>
      <c r="H3505" s="2"/>
    </row>
    <row r="3506">
      <c r="A3506" s="2"/>
      <c r="B3506" s="13"/>
      <c r="C3506" s="2"/>
      <c r="D3506" s="2"/>
      <c r="E3506" s="2"/>
      <c r="F3506" s="14"/>
      <c r="G3506" s="2"/>
      <c r="H3506" s="2"/>
    </row>
    <row r="3507">
      <c r="A3507" s="2"/>
      <c r="B3507" s="13"/>
      <c r="C3507" s="2"/>
      <c r="D3507" s="2"/>
      <c r="E3507" s="2"/>
      <c r="F3507" s="14"/>
      <c r="G3507" s="2"/>
      <c r="H3507" s="2"/>
    </row>
    <row r="3508">
      <c r="A3508" s="2"/>
      <c r="B3508" s="13"/>
      <c r="C3508" s="2"/>
      <c r="D3508" s="2"/>
      <c r="E3508" s="2"/>
      <c r="F3508" s="14"/>
      <c r="G3508" s="2"/>
      <c r="H3508" s="2"/>
    </row>
    <row r="3509">
      <c r="A3509" s="2"/>
      <c r="B3509" s="13"/>
      <c r="C3509" s="2"/>
      <c r="D3509" s="2"/>
      <c r="E3509" s="2"/>
      <c r="F3509" s="14"/>
      <c r="G3509" s="2"/>
      <c r="H3509" s="2"/>
    </row>
    <row r="3510">
      <c r="A3510" s="2"/>
      <c r="B3510" s="13"/>
      <c r="C3510" s="2"/>
      <c r="D3510" s="2"/>
      <c r="E3510" s="2"/>
      <c r="F3510" s="14"/>
      <c r="G3510" s="2"/>
      <c r="H3510" s="2"/>
    </row>
    <row r="3511">
      <c r="A3511" s="2"/>
      <c r="B3511" s="13"/>
      <c r="C3511" s="2"/>
      <c r="D3511" s="2"/>
      <c r="E3511" s="2"/>
      <c r="F3511" s="14"/>
      <c r="G3511" s="2"/>
      <c r="H3511" s="2"/>
    </row>
    <row r="3512">
      <c r="A3512" s="2"/>
      <c r="B3512" s="13"/>
      <c r="C3512" s="2"/>
      <c r="D3512" s="2"/>
      <c r="E3512" s="2"/>
      <c r="F3512" s="14"/>
      <c r="G3512" s="2"/>
      <c r="H3512" s="2"/>
    </row>
    <row r="3513">
      <c r="A3513" s="2"/>
      <c r="B3513" s="13"/>
      <c r="C3513" s="2"/>
      <c r="D3513" s="2"/>
      <c r="E3513" s="2"/>
      <c r="F3513" s="14"/>
      <c r="G3513" s="2"/>
      <c r="H3513" s="2"/>
    </row>
    <row r="3514">
      <c r="A3514" s="2"/>
      <c r="B3514" s="13"/>
      <c r="C3514" s="2"/>
      <c r="D3514" s="2"/>
      <c r="E3514" s="2"/>
      <c r="F3514" s="14"/>
      <c r="G3514" s="2"/>
      <c r="H3514" s="2"/>
    </row>
    <row r="3515">
      <c r="A3515" s="2"/>
      <c r="B3515" s="13"/>
      <c r="C3515" s="2"/>
      <c r="D3515" s="2"/>
      <c r="E3515" s="2"/>
      <c r="F3515" s="14"/>
      <c r="G3515" s="2"/>
      <c r="H3515" s="2"/>
    </row>
    <row r="3516">
      <c r="A3516" s="2"/>
      <c r="B3516" s="13"/>
      <c r="C3516" s="2"/>
      <c r="D3516" s="2"/>
      <c r="E3516" s="2"/>
      <c r="F3516" s="14"/>
      <c r="G3516" s="2"/>
      <c r="H3516" s="2"/>
    </row>
    <row r="3517">
      <c r="A3517" s="2"/>
      <c r="B3517" s="13"/>
      <c r="C3517" s="2"/>
      <c r="D3517" s="2"/>
      <c r="E3517" s="2"/>
      <c r="F3517" s="14"/>
      <c r="G3517" s="2"/>
      <c r="H3517" s="2"/>
    </row>
    <row r="3518">
      <c r="A3518" s="2"/>
      <c r="B3518" s="13"/>
      <c r="C3518" s="2"/>
      <c r="D3518" s="2"/>
      <c r="E3518" s="2"/>
      <c r="F3518" s="14"/>
      <c r="G3518" s="2"/>
      <c r="H3518" s="2"/>
    </row>
    <row r="3519">
      <c r="A3519" s="2"/>
      <c r="B3519" s="13"/>
      <c r="C3519" s="2"/>
      <c r="D3519" s="2"/>
      <c r="E3519" s="2"/>
      <c r="F3519" s="14"/>
      <c r="G3519" s="2"/>
      <c r="H3519" s="2"/>
    </row>
    <row r="3520">
      <c r="A3520" s="2"/>
      <c r="B3520" s="13"/>
      <c r="C3520" s="2"/>
      <c r="D3520" s="2"/>
      <c r="E3520" s="2"/>
      <c r="F3520" s="14"/>
      <c r="G3520" s="2"/>
      <c r="H3520" s="2"/>
    </row>
    <row r="3521">
      <c r="A3521" s="2"/>
      <c r="B3521" s="13"/>
      <c r="C3521" s="2"/>
      <c r="D3521" s="2"/>
      <c r="E3521" s="2"/>
      <c r="F3521" s="14"/>
      <c r="G3521" s="2"/>
      <c r="H3521" s="2"/>
    </row>
    <row r="3522">
      <c r="A3522" s="2"/>
      <c r="B3522" s="13"/>
      <c r="C3522" s="2"/>
      <c r="D3522" s="2"/>
      <c r="E3522" s="2"/>
      <c r="F3522" s="14"/>
      <c r="G3522" s="2"/>
      <c r="H3522" s="2"/>
    </row>
    <row r="3523">
      <c r="A3523" s="2"/>
      <c r="B3523" s="13"/>
      <c r="C3523" s="2"/>
      <c r="D3523" s="2"/>
      <c r="E3523" s="2"/>
      <c r="F3523" s="14"/>
      <c r="G3523" s="2"/>
      <c r="H3523" s="2"/>
    </row>
    <row r="3524">
      <c r="A3524" s="2"/>
      <c r="B3524" s="13"/>
      <c r="C3524" s="2"/>
      <c r="D3524" s="2"/>
      <c r="E3524" s="2"/>
      <c r="F3524" s="14"/>
      <c r="G3524" s="2"/>
      <c r="H3524" s="2"/>
    </row>
    <row r="3525">
      <c r="A3525" s="2"/>
      <c r="B3525" s="13"/>
      <c r="C3525" s="2"/>
      <c r="D3525" s="2"/>
      <c r="E3525" s="2"/>
      <c r="F3525" s="14"/>
      <c r="G3525" s="2"/>
      <c r="H3525" s="2"/>
    </row>
    <row r="3526">
      <c r="A3526" s="2"/>
      <c r="B3526" s="13"/>
      <c r="C3526" s="2"/>
      <c r="D3526" s="2"/>
      <c r="E3526" s="2"/>
      <c r="F3526" s="14"/>
      <c r="G3526" s="2"/>
      <c r="H3526" s="2"/>
    </row>
    <row r="3527">
      <c r="A3527" s="2"/>
      <c r="B3527" s="13"/>
      <c r="C3527" s="2"/>
      <c r="D3527" s="2"/>
      <c r="E3527" s="2"/>
      <c r="F3527" s="14"/>
      <c r="G3527" s="2"/>
      <c r="H3527" s="2"/>
    </row>
    <row r="3528">
      <c r="A3528" s="2"/>
      <c r="B3528" s="13"/>
      <c r="C3528" s="2"/>
      <c r="D3528" s="2"/>
      <c r="E3528" s="2"/>
      <c r="F3528" s="14"/>
      <c r="G3528" s="2"/>
      <c r="H3528" s="2"/>
    </row>
    <row r="3529">
      <c r="A3529" s="2"/>
      <c r="B3529" s="13"/>
      <c r="C3529" s="2"/>
      <c r="D3529" s="2"/>
      <c r="E3529" s="2"/>
      <c r="F3529" s="14"/>
      <c r="G3529" s="2"/>
      <c r="H3529" s="2"/>
    </row>
    <row r="3530">
      <c r="A3530" s="2"/>
      <c r="B3530" s="13"/>
      <c r="C3530" s="2"/>
      <c r="D3530" s="2"/>
      <c r="E3530" s="2"/>
      <c r="F3530" s="14"/>
      <c r="G3530" s="2"/>
      <c r="H3530" s="2"/>
    </row>
    <row r="3531">
      <c r="A3531" s="2"/>
      <c r="B3531" s="13"/>
      <c r="C3531" s="2"/>
      <c r="D3531" s="2"/>
      <c r="E3531" s="2"/>
      <c r="F3531" s="14"/>
      <c r="G3531" s="2"/>
      <c r="H3531" s="2"/>
    </row>
    <row r="3532">
      <c r="A3532" s="2"/>
      <c r="B3532" s="13"/>
      <c r="C3532" s="2"/>
      <c r="D3532" s="2"/>
      <c r="E3532" s="2"/>
      <c r="F3532" s="14"/>
      <c r="G3532" s="2"/>
      <c r="H3532" s="2"/>
    </row>
    <row r="3533">
      <c r="A3533" s="2"/>
      <c r="B3533" s="13"/>
      <c r="C3533" s="2"/>
      <c r="D3533" s="2"/>
      <c r="E3533" s="2"/>
      <c r="F3533" s="14"/>
      <c r="G3533" s="2"/>
      <c r="H3533" s="2"/>
    </row>
    <row r="3534">
      <c r="A3534" s="2"/>
      <c r="B3534" s="13"/>
      <c r="C3534" s="2"/>
      <c r="D3534" s="2"/>
      <c r="E3534" s="2"/>
      <c r="F3534" s="14"/>
      <c r="G3534" s="2"/>
      <c r="H3534" s="2"/>
    </row>
    <row r="3535">
      <c r="A3535" s="2"/>
      <c r="B3535" s="13"/>
      <c r="C3535" s="2"/>
      <c r="D3535" s="2"/>
      <c r="E3535" s="2"/>
      <c r="F3535" s="14"/>
      <c r="G3535" s="2"/>
      <c r="H3535" s="2"/>
    </row>
    <row r="3536">
      <c r="A3536" s="2"/>
      <c r="B3536" s="13"/>
      <c r="C3536" s="2"/>
      <c r="D3536" s="2"/>
      <c r="E3536" s="2"/>
      <c r="F3536" s="14"/>
      <c r="G3536" s="2"/>
      <c r="H3536" s="2"/>
    </row>
    <row r="3537">
      <c r="A3537" s="2"/>
      <c r="B3537" s="13"/>
      <c r="C3537" s="2"/>
      <c r="D3537" s="2"/>
      <c r="E3537" s="2"/>
      <c r="F3537" s="14"/>
      <c r="G3537" s="2"/>
      <c r="H3537" s="2"/>
    </row>
    <row r="3538">
      <c r="A3538" s="2"/>
      <c r="B3538" s="13"/>
      <c r="C3538" s="2"/>
      <c r="D3538" s="2"/>
      <c r="E3538" s="2"/>
      <c r="F3538" s="14"/>
      <c r="G3538" s="2"/>
      <c r="H3538" s="2"/>
    </row>
    <row r="3539">
      <c r="A3539" s="2"/>
      <c r="B3539" s="13"/>
      <c r="C3539" s="2"/>
      <c r="D3539" s="2"/>
      <c r="E3539" s="2"/>
      <c r="F3539" s="14"/>
      <c r="G3539" s="2"/>
      <c r="H3539" s="2"/>
    </row>
    <row r="3540">
      <c r="A3540" s="2"/>
      <c r="B3540" s="13"/>
      <c r="C3540" s="2"/>
      <c r="D3540" s="2"/>
      <c r="E3540" s="2"/>
      <c r="F3540" s="14"/>
      <c r="G3540" s="2"/>
      <c r="H3540" s="2"/>
    </row>
    <row r="3541">
      <c r="A3541" s="2"/>
      <c r="B3541" s="13"/>
      <c r="C3541" s="2"/>
      <c r="D3541" s="2"/>
      <c r="E3541" s="2"/>
      <c r="F3541" s="14"/>
      <c r="G3541" s="2"/>
      <c r="H3541" s="2"/>
    </row>
    <row r="3542">
      <c r="A3542" s="2"/>
      <c r="B3542" s="13"/>
      <c r="C3542" s="2"/>
      <c r="D3542" s="2"/>
      <c r="E3542" s="2"/>
      <c r="F3542" s="14"/>
      <c r="G3542" s="2"/>
      <c r="H3542" s="2"/>
    </row>
    <row r="3543">
      <c r="A3543" s="2"/>
      <c r="B3543" s="13"/>
      <c r="C3543" s="2"/>
      <c r="D3543" s="2"/>
      <c r="E3543" s="2"/>
      <c r="F3543" s="14"/>
      <c r="G3543" s="2"/>
      <c r="H3543" s="2"/>
    </row>
    <row r="3544">
      <c r="A3544" s="2"/>
      <c r="B3544" s="13"/>
      <c r="C3544" s="2"/>
      <c r="D3544" s="2"/>
      <c r="E3544" s="2"/>
      <c r="F3544" s="14"/>
      <c r="G3544" s="2"/>
      <c r="H3544" s="2"/>
    </row>
    <row r="3545">
      <c r="A3545" s="2"/>
      <c r="B3545" s="13"/>
      <c r="C3545" s="2"/>
      <c r="D3545" s="2"/>
      <c r="E3545" s="2"/>
      <c r="F3545" s="14"/>
      <c r="G3545" s="2"/>
      <c r="H3545" s="2"/>
    </row>
    <row r="3546">
      <c r="A3546" s="2"/>
      <c r="B3546" s="13"/>
      <c r="C3546" s="2"/>
      <c r="D3546" s="2"/>
      <c r="E3546" s="2"/>
      <c r="F3546" s="14"/>
      <c r="G3546" s="2"/>
      <c r="H3546" s="2"/>
    </row>
    <row r="3547">
      <c r="A3547" s="2"/>
      <c r="B3547" s="13"/>
      <c r="C3547" s="2"/>
      <c r="D3547" s="2"/>
      <c r="E3547" s="2"/>
      <c r="F3547" s="14"/>
      <c r="G3547" s="2"/>
      <c r="H3547" s="2"/>
    </row>
    <row r="3548">
      <c r="A3548" s="2"/>
      <c r="B3548" s="13"/>
      <c r="C3548" s="2"/>
      <c r="D3548" s="2"/>
      <c r="E3548" s="2"/>
      <c r="F3548" s="14"/>
      <c r="G3548" s="2"/>
      <c r="H3548" s="2"/>
    </row>
    <row r="3549">
      <c r="A3549" s="2"/>
      <c r="B3549" s="13"/>
      <c r="C3549" s="2"/>
      <c r="D3549" s="2"/>
      <c r="E3549" s="2"/>
      <c r="F3549" s="14"/>
      <c r="G3549" s="2"/>
      <c r="H3549" s="2"/>
    </row>
    <row r="3550">
      <c r="A3550" s="2"/>
      <c r="B3550" s="13"/>
      <c r="C3550" s="2"/>
      <c r="D3550" s="2"/>
      <c r="E3550" s="2"/>
      <c r="F3550" s="14"/>
      <c r="G3550" s="2"/>
      <c r="H3550" s="2"/>
    </row>
    <row r="3551">
      <c r="A3551" s="2"/>
      <c r="B3551" s="13"/>
      <c r="C3551" s="2"/>
      <c r="D3551" s="2"/>
      <c r="E3551" s="2"/>
      <c r="F3551" s="14"/>
      <c r="G3551" s="2"/>
      <c r="H3551" s="2"/>
    </row>
    <row r="3552">
      <c r="A3552" s="2"/>
      <c r="B3552" s="13"/>
      <c r="C3552" s="2"/>
      <c r="D3552" s="2"/>
      <c r="E3552" s="2"/>
      <c r="F3552" s="14"/>
      <c r="G3552" s="2"/>
      <c r="H3552" s="2"/>
    </row>
    <row r="3553">
      <c r="A3553" s="2"/>
      <c r="B3553" s="13"/>
      <c r="C3553" s="2"/>
      <c r="D3553" s="2"/>
      <c r="E3553" s="2"/>
      <c r="F3553" s="14"/>
      <c r="G3553" s="2"/>
      <c r="H3553" s="2"/>
    </row>
    <row r="3554">
      <c r="A3554" s="2"/>
      <c r="B3554" s="13"/>
      <c r="C3554" s="2"/>
      <c r="D3554" s="2"/>
      <c r="E3554" s="2"/>
      <c r="F3554" s="14"/>
      <c r="G3554" s="2"/>
      <c r="H3554" s="2"/>
    </row>
    <row r="3555">
      <c r="A3555" s="2"/>
      <c r="B3555" s="13"/>
      <c r="C3555" s="2"/>
      <c r="D3555" s="2"/>
      <c r="E3555" s="2"/>
      <c r="F3555" s="14"/>
      <c r="G3555" s="2"/>
      <c r="H3555" s="2"/>
    </row>
    <row r="3556">
      <c r="A3556" s="2"/>
      <c r="B3556" s="13"/>
      <c r="C3556" s="2"/>
      <c r="D3556" s="2"/>
      <c r="E3556" s="2"/>
      <c r="F3556" s="14"/>
      <c r="G3556" s="2"/>
      <c r="H3556" s="2"/>
    </row>
    <row r="3557">
      <c r="A3557" s="2"/>
      <c r="B3557" s="13"/>
      <c r="C3557" s="2"/>
      <c r="D3557" s="2"/>
      <c r="E3557" s="2"/>
      <c r="F3557" s="14"/>
      <c r="G3557" s="2"/>
      <c r="H3557" s="2"/>
    </row>
    <row r="3558">
      <c r="A3558" s="2"/>
      <c r="B3558" s="13"/>
      <c r="C3558" s="2"/>
      <c r="D3558" s="2"/>
      <c r="E3558" s="2"/>
      <c r="F3558" s="14"/>
      <c r="G3558" s="2"/>
      <c r="H3558" s="2"/>
    </row>
    <row r="3559">
      <c r="A3559" s="2"/>
      <c r="B3559" s="13"/>
      <c r="C3559" s="2"/>
      <c r="D3559" s="2"/>
      <c r="E3559" s="2"/>
      <c r="F3559" s="14"/>
      <c r="G3559" s="2"/>
      <c r="H3559" s="2"/>
    </row>
    <row r="3560">
      <c r="A3560" s="2"/>
      <c r="B3560" s="13"/>
      <c r="C3560" s="2"/>
      <c r="D3560" s="2"/>
      <c r="E3560" s="2"/>
      <c r="F3560" s="14"/>
      <c r="G3560" s="2"/>
      <c r="H3560" s="2"/>
    </row>
    <row r="3561">
      <c r="A3561" s="2"/>
      <c r="B3561" s="13"/>
      <c r="C3561" s="2"/>
      <c r="D3561" s="2"/>
      <c r="E3561" s="2"/>
      <c r="F3561" s="14"/>
      <c r="G3561" s="2"/>
      <c r="H3561" s="2"/>
    </row>
    <row r="3562">
      <c r="A3562" s="2"/>
      <c r="B3562" s="13"/>
      <c r="C3562" s="2"/>
      <c r="D3562" s="2"/>
      <c r="E3562" s="2"/>
      <c r="F3562" s="14"/>
      <c r="G3562" s="2"/>
      <c r="H3562" s="2"/>
    </row>
    <row r="3563">
      <c r="A3563" s="2"/>
      <c r="B3563" s="13"/>
      <c r="C3563" s="2"/>
      <c r="D3563" s="2"/>
      <c r="E3563" s="2"/>
      <c r="F3563" s="14"/>
      <c r="G3563" s="2"/>
      <c r="H3563" s="2"/>
    </row>
    <row r="3564">
      <c r="A3564" s="2"/>
      <c r="B3564" s="13"/>
      <c r="C3564" s="2"/>
      <c r="D3564" s="2"/>
      <c r="E3564" s="2"/>
      <c r="F3564" s="14"/>
      <c r="G3564" s="2"/>
      <c r="H3564" s="2"/>
    </row>
    <row r="3565">
      <c r="A3565" s="2"/>
      <c r="B3565" s="13"/>
      <c r="C3565" s="2"/>
      <c r="D3565" s="2"/>
      <c r="E3565" s="2"/>
      <c r="F3565" s="14"/>
      <c r="G3565" s="2"/>
      <c r="H3565" s="2"/>
    </row>
    <row r="3566">
      <c r="A3566" s="2"/>
      <c r="B3566" s="13"/>
      <c r="C3566" s="2"/>
      <c r="D3566" s="2"/>
      <c r="E3566" s="2"/>
      <c r="F3566" s="14"/>
      <c r="G3566" s="2"/>
      <c r="H3566" s="2"/>
    </row>
    <row r="3567">
      <c r="A3567" s="2"/>
      <c r="B3567" s="13"/>
      <c r="C3567" s="2"/>
      <c r="D3567" s="2"/>
      <c r="E3567" s="2"/>
      <c r="F3567" s="14"/>
      <c r="G3567" s="2"/>
      <c r="H3567" s="2"/>
    </row>
    <row r="3568">
      <c r="A3568" s="2"/>
      <c r="B3568" s="13"/>
      <c r="C3568" s="2"/>
      <c r="D3568" s="2"/>
      <c r="E3568" s="2"/>
      <c r="F3568" s="14"/>
      <c r="G3568" s="2"/>
      <c r="H3568" s="2"/>
    </row>
    <row r="3569">
      <c r="A3569" s="2"/>
      <c r="B3569" s="13"/>
      <c r="C3569" s="2"/>
      <c r="D3569" s="2"/>
      <c r="E3569" s="2"/>
      <c r="F3569" s="14"/>
      <c r="G3569" s="2"/>
      <c r="H3569" s="2"/>
    </row>
    <row r="3570">
      <c r="A3570" s="2"/>
      <c r="B3570" s="13"/>
      <c r="C3570" s="2"/>
      <c r="D3570" s="2"/>
      <c r="E3570" s="2"/>
      <c r="F3570" s="14"/>
      <c r="G3570" s="2"/>
      <c r="H3570" s="2"/>
    </row>
    <row r="3571">
      <c r="A3571" s="2"/>
      <c r="B3571" s="13"/>
      <c r="C3571" s="2"/>
      <c r="D3571" s="2"/>
      <c r="E3571" s="2"/>
      <c r="F3571" s="14"/>
      <c r="G3571" s="2"/>
      <c r="H3571" s="2"/>
    </row>
    <row r="3572">
      <c r="A3572" s="2"/>
      <c r="B3572" s="13"/>
      <c r="C3572" s="2"/>
      <c r="D3572" s="2"/>
      <c r="E3572" s="2"/>
      <c r="F3572" s="14"/>
      <c r="G3572" s="2"/>
      <c r="H3572" s="2"/>
    </row>
    <row r="3573">
      <c r="A3573" s="2"/>
      <c r="B3573" s="13"/>
      <c r="C3573" s="2"/>
      <c r="D3573" s="2"/>
      <c r="E3573" s="2"/>
      <c r="F3573" s="14"/>
      <c r="G3573" s="2"/>
      <c r="H3573" s="2"/>
    </row>
    <row r="3574">
      <c r="A3574" s="2"/>
      <c r="B3574" s="13"/>
      <c r="C3574" s="2"/>
      <c r="D3574" s="2"/>
      <c r="E3574" s="2"/>
      <c r="F3574" s="14"/>
      <c r="G3574" s="2"/>
      <c r="H3574" s="2"/>
    </row>
    <row r="3575">
      <c r="A3575" s="2"/>
      <c r="B3575" s="13"/>
      <c r="C3575" s="2"/>
      <c r="D3575" s="2"/>
      <c r="E3575" s="2"/>
      <c r="F3575" s="14"/>
      <c r="G3575" s="2"/>
      <c r="H3575" s="2"/>
    </row>
    <row r="3576">
      <c r="A3576" s="2"/>
      <c r="B3576" s="13"/>
      <c r="C3576" s="2"/>
      <c r="D3576" s="2"/>
      <c r="E3576" s="2"/>
      <c r="F3576" s="14"/>
      <c r="G3576" s="2"/>
      <c r="H3576" s="2"/>
    </row>
    <row r="3577">
      <c r="A3577" s="2"/>
      <c r="B3577" s="13"/>
      <c r="C3577" s="2"/>
      <c r="D3577" s="2"/>
      <c r="E3577" s="2"/>
      <c r="F3577" s="14"/>
      <c r="G3577" s="2"/>
      <c r="H3577" s="2"/>
    </row>
    <row r="3578">
      <c r="A3578" s="2"/>
      <c r="B3578" s="13"/>
      <c r="C3578" s="2"/>
      <c r="D3578" s="2"/>
      <c r="E3578" s="2"/>
      <c r="F3578" s="14"/>
      <c r="G3578" s="2"/>
      <c r="H3578" s="2"/>
    </row>
    <row r="3579">
      <c r="A3579" s="2"/>
      <c r="B3579" s="13"/>
      <c r="C3579" s="2"/>
      <c r="D3579" s="2"/>
      <c r="E3579" s="2"/>
      <c r="F3579" s="14"/>
      <c r="G3579" s="2"/>
      <c r="H3579" s="2"/>
    </row>
    <row r="3580">
      <c r="A3580" s="2"/>
      <c r="B3580" s="13"/>
      <c r="C3580" s="2"/>
      <c r="D3580" s="2"/>
      <c r="E3580" s="2"/>
      <c r="F3580" s="14"/>
      <c r="G3580" s="2"/>
      <c r="H3580" s="2"/>
    </row>
    <row r="3581">
      <c r="A3581" s="2"/>
      <c r="B3581" s="13"/>
      <c r="C3581" s="2"/>
      <c r="D3581" s="2"/>
      <c r="E3581" s="2"/>
      <c r="F3581" s="14"/>
      <c r="G3581" s="2"/>
      <c r="H3581" s="2"/>
    </row>
    <row r="3582">
      <c r="A3582" s="2"/>
      <c r="B3582" s="13"/>
      <c r="C3582" s="2"/>
      <c r="D3582" s="2"/>
      <c r="E3582" s="2"/>
      <c r="F3582" s="14"/>
      <c r="G3582" s="2"/>
      <c r="H3582" s="2"/>
    </row>
    <row r="3583">
      <c r="A3583" s="2"/>
      <c r="B3583" s="13"/>
      <c r="C3583" s="2"/>
      <c r="D3583" s="2"/>
      <c r="E3583" s="2"/>
      <c r="F3583" s="14"/>
      <c r="G3583" s="2"/>
      <c r="H3583" s="2"/>
    </row>
    <row r="3584">
      <c r="A3584" s="2"/>
      <c r="B3584" s="13"/>
      <c r="C3584" s="2"/>
      <c r="D3584" s="2"/>
      <c r="E3584" s="2"/>
      <c r="F3584" s="14"/>
      <c r="G3584" s="2"/>
      <c r="H3584" s="2"/>
    </row>
    <row r="3585">
      <c r="A3585" s="2"/>
      <c r="B3585" s="13"/>
      <c r="C3585" s="2"/>
      <c r="D3585" s="2"/>
      <c r="E3585" s="2"/>
      <c r="F3585" s="14"/>
      <c r="G3585" s="2"/>
      <c r="H3585" s="2"/>
    </row>
    <row r="3586">
      <c r="A3586" s="2"/>
      <c r="B3586" s="13"/>
      <c r="C3586" s="2"/>
      <c r="D3586" s="2"/>
      <c r="E3586" s="2"/>
      <c r="F3586" s="14"/>
      <c r="G3586" s="2"/>
      <c r="H3586" s="2"/>
    </row>
    <row r="3587">
      <c r="A3587" s="2"/>
      <c r="B3587" s="13"/>
      <c r="C3587" s="2"/>
      <c r="D3587" s="2"/>
      <c r="E3587" s="2"/>
      <c r="F3587" s="14"/>
      <c r="G3587" s="2"/>
      <c r="H3587" s="2"/>
    </row>
    <row r="3588">
      <c r="A3588" s="2"/>
      <c r="B3588" s="13"/>
      <c r="C3588" s="2"/>
      <c r="D3588" s="2"/>
      <c r="E3588" s="2"/>
      <c r="F3588" s="14"/>
      <c r="G3588" s="2"/>
      <c r="H3588" s="2"/>
    </row>
    <row r="3589">
      <c r="A3589" s="2"/>
      <c r="B3589" s="13"/>
      <c r="C3589" s="2"/>
      <c r="D3589" s="2"/>
      <c r="E3589" s="2"/>
      <c r="F3589" s="14"/>
      <c r="G3589" s="2"/>
      <c r="H3589" s="2"/>
    </row>
    <row r="3590">
      <c r="A3590" s="2"/>
      <c r="B3590" s="13"/>
      <c r="C3590" s="2"/>
      <c r="D3590" s="2"/>
      <c r="E3590" s="2"/>
      <c r="F3590" s="14"/>
      <c r="G3590" s="2"/>
      <c r="H3590" s="2"/>
    </row>
    <row r="3591">
      <c r="A3591" s="2"/>
      <c r="B3591" s="13"/>
      <c r="C3591" s="2"/>
      <c r="D3591" s="2"/>
      <c r="E3591" s="2"/>
      <c r="F3591" s="14"/>
      <c r="G3591" s="2"/>
      <c r="H3591" s="2"/>
    </row>
    <row r="3592">
      <c r="A3592" s="2"/>
      <c r="B3592" s="13"/>
      <c r="C3592" s="2"/>
      <c r="D3592" s="2"/>
      <c r="E3592" s="2"/>
      <c r="F3592" s="14"/>
      <c r="G3592" s="2"/>
      <c r="H3592" s="2"/>
    </row>
    <row r="3593">
      <c r="A3593" s="2"/>
      <c r="B3593" s="13"/>
      <c r="C3593" s="2"/>
      <c r="D3593" s="2"/>
      <c r="E3593" s="2"/>
      <c r="F3593" s="14"/>
      <c r="G3593" s="2"/>
      <c r="H3593" s="2"/>
    </row>
    <row r="3594">
      <c r="A3594" s="2"/>
      <c r="B3594" s="13"/>
      <c r="C3594" s="2"/>
      <c r="D3594" s="2"/>
      <c r="E3594" s="2"/>
      <c r="F3594" s="14"/>
      <c r="G3594" s="2"/>
      <c r="H3594" s="2"/>
    </row>
    <row r="3595">
      <c r="A3595" s="2"/>
      <c r="B3595" s="13"/>
      <c r="C3595" s="2"/>
      <c r="D3595" s="2"/>
      <c r="E3595" s="2"/>
      <c r="F3595" s="14"/>
      <c r="G3595" s="2"/>
      <c r="H3595" s="2"/>
    </row>
    <row r="3596">
      <c r="A3596" s="2"/>
      <c r="B3596" s="13"/>
      <c r="C3596" s="2"/>
      <c r="D3596" s="2"/>
      <c r="E3596" s="2"/>
      <c r="F3596" s="14"/>
      <c r="G3596" s="2"/>
      <c r="H3596" s="2"/>
    </row>
    <row r="3597">
      <c r="A3597" s="2"/>
      <c r="B3597" s="13"/>
      <c r="C3597" s="2"/>
      <c r="D3597" s="2"/>
      <c r="E3597" s="2"/>
      <c r="F3597" s="14"/>
      <c r="G3597" s="2"/>
      <c r="H3597" s="2"/>
    </row>
    <row r="3598">
      <c r="A3598" s="2"/>
      <c r="B3598" s="13"/>
      <c r="C3598" s="2"/>
      <c r="D3598" s="2"/>
      <c r="E3598" s="2"/>
      <c r="F3598" s="14"/>
      <c r="G3598" s="2"/>
      <c r="H3598" s="2"/>
    </row>
    <row r="3599">
      <c r="A3599" s="2"/>
      <c r="B3599" s="13"/>
      <c r="C3599" s="2"/>
      <c r="D3599" s="2"/>
      <c r="E3599" s="2"/>
      <c r="F3599" s="14"/>
      <c r="G3599" s="2"/>
      <c r="H3599" s="2"/>
    </row>
    <row r="3600">
      <c r="A3600" s="2"/>
      <c r="B3600" s="13"/>
      <c r="C3600" s="2"/>
      <c r="D3600" s="2"/>
      <c r="E3600" s="2"/>
      <c r="F3600" s="14"/>
      <c r="G3600" s="2"/>
      <c r="H3600" s="2"/>
    </row>
    <row r="3601">
      <c r="A3601" s="2"/>
      <c r="B3601" s="13"/>
      <c r="C3601" s="2"/>
      <c r="D3601" s="2"/>
      <c r="E3601" s="2"/>
      <c r="F3601" s="14"/>
      <c r="G3601" s="2"/>
      <c r="H3601" s="2"/>
    </row>
    <row r="3602">
      <c r="A3602" s="2"/>
      <c r="B3602" s="13"/>
      <c r="C3602" s="2"/>
      <c r="D3602" s="2"/>
      <c r="E3602" s="2"/>
      <c r="F3602" s="14"/>
      <c r="G3602" s="2"/>
      <c r="H3602" s="2"/>
    </row>
    <row r="3603">
      <c r="A3603" s="2"/>
      <c r="B3603" s="13"/>
      <c r="C3603" s="2"/>
      <c r="D3603" s="2"/>
      <c r="E3603" s="2"/>
      <c r="F3603" s="14"/>
      <c r="G3603" s="2"/>
      <c r="H3603" s="2"/>
    </row>
    <row r="3604">
      <c r="A3604" s="2"/>
      <c r="B3604" s="13"/>
      <c r="C3604" s="2"/>
      <c r="D3604" s="2"/>
      <c r="E3604" s="2"/>
      <c r="F3604" s="14"/>
      <c r="G3604" s="2"/>
      <c r="H3604" s="2"/>
    </row>
    <row r="3605">
      <c r="A3605" s="2"/>
      <c r="B3605" s="13"/>
      <c r="C3605" s="2"/>
      <c r="D3605" s="2"/>
      <c r="E3605" s="2"/>
      <c r="F3605" s="14"/>
      <c r="G3605" s="2"/>
      <c r="H3605" s="2"/>
    </row>
    <row r="3606">
      <c r="A3606" s="2"/>
      <c r="B3606" s="13"/>
      <c r="C3606" s="2"/>
      <c r="D3606" s="2"/>
      <c r="E3606" s="2"/>
      <c r="F3606" s="14"/>
      <c r="G3606" s="2"/>
      <c r="H3606" s="2"/>
    </row>
    <row r="3607">
      <c r="A3607" s="2"/>
      <c r="B3607" s="13"/>
      <c r="C3607" s="2"/>
      <c r="D3607" s="2"/>
      <c r="E3607" s="2"/>
      <c r="F3607" s="14"/>
      <c r="G3607" s="2"/>
      <c r="H3607" s="2"/>
    </row>
    <row r="3608">
      <c r="A3608" s="2"/>
      <c r="B3608" s="13"/>
      <c r="C3608" s="2"/>
      <c r="D3608" s="2"/>
      <c r="E3608" s="2"/>
      <c r="F3608" s="14"/>
      <c r="G3608" s="2"/>
      <c r="H3608" s="2"/>
    </row>
    <row r="3609">
      <c r="A3609" s="2"/>
      <c r="B3609" s="13"/>
      <c r="C3609" s="2"/>
      <c r="D3609" s="2"/>
      <c r="E3609" s="2"/>
      <c r="F3609" s="14"/>
      <c r="G3609" s="2"/>
      <c r="H3609" s="2"/>
    </row>
    <row r="3610">
      <c r="A3610" s="2"/>
      <c r="B3610" s="13"/>
      <c r="C3610" s="2"/>
      <c r="D3610" s="2"/>
      <c r="E3610" s="2"/>
      <c r="F3610" s="14"/>
      <c r="G3610" s="2"/>
      <c r="H3610" s="2"/>
    </row>
    <row r="3611">
      <c r="A3611" s="2"/>
      <c r="B3611" s="13"/>
      <c r="C3611" s="2"/>
      <c r="D3611" s="2"/>
      <c r="E3611" s="2"/>
      <c r="F3611" s="14"/>
      <c r="G3611" s="2"/>
      <c r="H3611" s="2"/>
    </row>
    <row r="3612">
      <c r="A3612" s="2"/>
      <c r="B3612" s="13"/>
      <c r="C3612" s="2"/>
      <c r="D3612" s="2"/>
      <c r="E3612" s="2"/>
      <c r="F3612" s="14"/>
      <c r="G3612" s="2"/>
      <c r="H3612" s="2"/>
    </row>
    <row r="3613">
      <c r="A3613" s="2"/>
      <c r="B3613" s="13"/>
      <c r="C3613" s="2"/>
      <c r="D3613" s="2"/>
      <c r="E3613" s="2"/>
      <c r="F3613" s="14"/>
      <c r="G3613" s="2"/>
      <c r="H3613" s="2"/>
    </row>
    <row r="3614">
      <c r="A3614" s="2"/>
      <c r="B3614" s="13"/>
      <c r="C3614" s="2"/>
      <c r="D3614" s="2"/>
      <c r="E3614" s="2"/>
      <c r="F3614" s="14"/>
      <c r="G3614" s="2"/>
      <c r="H3614" s="2"/>
    </row>
    <row r="3615">
      <c r="A3615" s="2"/>
      <c r="B3615" s="13"/>
      <c r="C3615" s="2"/>
      <c r="D3615" s="2"/>
      <c r="E3615" s="2"/>
      <c r="F3615" s="14"/>
      <c r="G3615" s="2"/>
      <c r="H3615" s="2"/>
    </row>
    <row r="3616">
      <c r="A3616" s="2"/>
      <c r="B3616" s="13"/>
      <c r="C3616" s="2"/>
      <c r="D3616" s="2"/>
      <c r="E3616" s="2"/>
      <c r="F3616" s="14"/>
      <c r="G3616" s="2"/>
      <c r="H3616" s="2"/>
    </row>
    <row r="3617">
      <c r="A3617" s="2"/>
      <c r="B3617" s="13"/>
      <c r="C3617" s="2"/>
      <c r="D3617" s="2"/>
      <c r="E3617" s="2"/>
      <c r="F3617" s="14"/>
      <c r="G3617" s="2"/>
      <c r="H3617" s="2"/>
    </row>
    <row r="3618">
      <c r="A3618" s="2"/>
      <c r="B3618" s="13"/>
      <c r="C3618" s="2"/>
      <c r="D3618" s="2"/>
      <c r="E3618" s="2"/>
      <c r="F3618" s="14"/>
      <c r="G3618" s="2"/>
      <c r="H3618" s="2"/>
    </row>
    <row r="3619">
      <c r="A3619" s="2"/>
      <c r="B3619" s="13"/>
      <c r="C3619" s="2"/>
      <c r="D3619" s="2"/>
      <c r="E3619" s="2"/>
      <c r="F3619" s="14"/>
      <c r="G3619" s="2"/>
      <c r="H3619" s="2"/>
    </row>
    <row r="3620">
      <c r="A3620" s="2"/>
      <c r="B3620" s="13"/>
      <c r="C3620" s="2"/>
      <c r="D3620" s="2"/>
      <c r="E3620" s="2"/>
      <c r="F3620" s="14"/>
      <c r="G3620" s="2"/>
      <c r="H3620" s="2"/>
    </row>
    <row r="3621">
      <c r="A3621" s="2"/>
      <c r="B3621" s="13"/>
      <c r="C3621" s="2"/>
      <c r="D3621" s="2"/>
      <c r="E3621" s="2"/>
      <c r="F3621" s="14"/>
      <c r="G3621" s="2"/>
      <c r="H3621" s="2"/>
    </row>
    <row r="3622">
      <c r="A3622" s="2"/>
      <c r="B3622" s="13"/>
      <c r="C3622" s="2"/>
      <c r="D3622" s="2"/>
      <c r="E3622" s="2"/>
      <c r="F3622" s="14"/>
      <c r="G3622" s="2"/>
      <c r="H3622" s="2"/>
    </row>
    <row r="3623">
      <c r="A3623" s="2"/>
      <c r="B3623" s="13"/>
      <c r="C3623" s="2"/>
      <c r="D3623" s="2"/>
      <c r="E3623" s="2"/>
      <c r="F3623" s="14"/>
      <c r="G3623" s="2"/>
      <c r="H3623" s="2"/>
    </row>
    <row r="3624">
      <c r="A3624" s="2"/>
      <c r="B3624" s="13"/>
      <c r="C3624" s="2"/>
      <c r="D3624" s="2"/>
      <c r="E3624" s="2"/>
      <c r="F3624" s="14"/>
      <c r="G3624" s="2"/>
      <c r="H3624" s="2"/>
    </row>
    <row r="3625">
      <c r="A3625" s="2"/>
      <c r="B3625" s="13"/>
      <c r="C3625" s="2"/>
      <c r="D3625" s="2"/>
      <c r="E3625" s="2"/>
      <c r="F3625" s="14"/>
      <c r="G3625" s="2"/>
      <c r="H3625" s="2"/>
    </row>
    <row r="3626">
      <c r="A3626" s="2"/>
      <c r="B3626" s="13"/>
      <c r="C3626" s="2"/>
      <c r="D3626" s="2"/>
      <c r="E3626" s="2"/>
      <c r="F3626" s="14"/>
      <c r="G3626" s="2"/>
      <c r="H3626" s="2"/>
    </row>
    <row r="3627">
      <c r="A3627" s="2"/>
      <c r="B3627" s="13"/>
      <c r="C3627" s="2"/>
      <c r="D3627" s="2"/>
      <c r="E3627" s="2"/>
      <c r="F3627" s="14"/>
      <c r="G3627" s="2"/>
      <c r="H3627" s="2"/>
    </row>
    <row r="3628">
      <c r="A3628" s="2"/>
      <c r="B3628" s="13"/>
      <c r="C3628" s="2"/>
      <c r="D3628" s="2"/>
      <c r="E3628" s="2"/>
      <c r="F3628" s="14"/>
      <c r="G3628" s="2"/>
      <c r="H3628" s="2"/>
    </row>
    <row r="3629">
      <c r="A3629" s="2"/>
      <c r="B3629" s="13"/>
      <c r="C3629" s="2"/>
      <c r="D3629" s="2"/>
      <c r="E3629" s="2"/>
      <c r="F3629" s="14"/>
      <c r="G3629" s="2"/>
      <c r="H3629" s="2"/>
    </row>
    <row r="3630">
      <c r="A3630" s="2"/>
      <c r="B3630" s="13"/>
      <c r="C3630" s="2"/>
      <c r="D3630" s="2"/>
      <c r="E3630" s="2"/>
      <c r="F3630" s="14"/>
      <c r="G3630" s="2"/>
      <c r="H3630" s="2"/>
    </row>
    <row r="3631">
      <c r="A3631" s="2"/>
      <c r="B3631" s="13"/>
      <c r="C3631" s="2"/>
      <c r="D3631" s="2"/>
      <c r="E3631" s="2"/>
      <c r="F3631" s="14"/>
      <c r="G3631" s="2"/>
      <c r="H3631" s="2"/>
    </row>
    <row r="3632">
      <c r="A3632" s="2"/>
      <c r="B3632" s="13"/>
      <c r="C3632" s="2"/>
      <c r="D3632" s="2"/>
      <c r="E3632" s="2"/>
      <c r="F3632" s="14"/>
      <c r="G3632" s="2"/>
      <c r="H3632" s="2"/>
    </row>
    <row r="3633">
      <c r="A3633" s="2"/>
      <c r="B3633" s="13"/>
      <c r="C3633" s="2"/>
      <c r="D3633" s="2"/>
      <c r="E3633" s="2"/>
      <c r="F3633" s="14"/>
      <c r="G3633" s="2"/>
      <c r="H3633" s="2"/>
    </row>
    <row r="3634">
      <c r="A3634" s="2"/>
      <c r="B3634" s="13"/>
      <c r="C3634" s="2"/>
      <c r="D3634" s="2"/>
      <c r="E3634" s="2"/>
      <c r="F3634" s="14"/>
      <c r="G3634" s="2"/>
      <c r="H3634" s="2"/>
    </row>
    <row r="3635">
      <c r="A3635" s="2"/>
      <c r="B3635" s="13"/>
      <c r="C3635" s="2"/>
      <c r="D3635" s="2"/>
      <c r="E3635" s="2"/>
      <c r="F3635" s="14"/>
      <c r="G3635" s="2"/>
      <c r="H3635" s="2"/>
    </row>
    <row r="3636">
      <c r="A3636" s="2"/>
      <c r="B3636" s="13"/>
      <c r="C3636" s="2"/>
      <c r="D3636" s="2"/>
      <c r="E3636" s="2"/>
      <c r="F3636" s="14"/>
      <c r="G3636" s="2"/>
      <c r="H3636" s="2"/>
    </row>
    <row r="3637">
      <c r="A3637" s="2"/>
      <c r="B3637" s="13"/>
      <c r="C3637" s="2"/>
      <c r="D3637" s="2"/>
      <c r="E3637" s="2"/>
      <c r="F3637" s="14"/>
      <c r="G3637" s="2"/>
      <c r="H3637" s="2"/>
    </row>
    <row r="3638">
      <c r="A3638" s="2"/>
      <c r="B3638" s="13"/>
      <c r="C3638" s="2"/>
      <c r="D3638" s="2"/>
      <c r="E3638" s="2"/>
      <c r="F3638" s="14"/>
      <c r="G3638" s="2"/>
      <c r="H3638" s="2"/>
    </row>
    <row r="3639">
      <c r="A3639" s="2"/>
      <c r="B3639" s="13"/>
      <c r="C3639" s="2"/>
      <c r="D3639" s="2"/>
      <c r="E3639" s="2"/>
      <c r="F3639" s="14"/>
      <c r="G3639" s="2"/>
      <c r="H3639" s="2"/>
    </row>
    <row r="3640">
      <c r="A3640" s="2"/>
      <c r="B3640" s="13"/>
      <c r="C3640" s="2"/>
      <c r="D3640" s="2"/>
      <c r="E3640" s="2"/>
      <c r="F3640" s="14"/>
      <c r="G3640" s="2"/>
      <c r="H3640" s="2"/>
    </row>
    <row r="3641">
      <c r="A3641" s="2"/>
      <c r="B3641" s="13"/>
      <c r="C3641" s="2"/>
      <c r="D3641" s="2"/>
      <c r="E3641" s="2"/>
      <c r="F3641" s="14"/>
      <c r="G3641" s="2"/>
      <c r="H3641" s="2"/>
    </row>
    <row r="3642">
      <c r="A3642" s="2"/>
      <c r="B3642" s="13"/>
      <c r="C3642" s="2"/>
      <c r="D3642" s="2"/>
      <c r="E3642" s="2"/>
      <c r="F3642" s="14"/>
      <c r="G3642" s="2"/>
      <c r="H3642" s="2"/>
    </row>
    <row r="3643">
      <c r="A3643" s="2"/>
      <c r="B3643" s="13"/>
      <c r="C3643" s="2"/>
      <c r="D3643" s="2"/>
      <c r="E3643" s="2"/>
      <c r="F3643" s="14"/>
      <c r="G3643" s="2"/>
      <c r="H3643" s="2"/>
    </row>
    <row r="3644">
      <c r="A3644" s="2"/>
      <c r="B3644" s="13"/>
      <c r="C3644" s="2"/>
      <c r="D3644" s="2"/>
      <c r="E3644" s="2"/>
      <c r="F3644" s="14"/>
      <c r="G3644" s="2"/>
      <c r="H3644" s="2"/>
    </row>
    <row r="3645">
      <c r="A3645" s="2"/>
      <c r="B3645" s="13"/>
      <c r="C3645" s="2"/>
      <c r="D3645" s="2"/>
      <c r="E3645" s="2"/>
      <c r="F3645" s="14"/>
      <c r="G3645" s="2"/>
      <c r="H3645" s="2"/>
    </row>
    <row r="3646">
      <c r="A3646" s="2"/>
      <c r="B3646" s="13"/>
      <c r="C3646" s="2"/>
      <c r="D3646" s="2"/>
      <c r="E3646" s="2"/>
      <c r="F3646" s="14"/>
      <c r="G3646" s="2"/>
      <c r="H3646" s="2"/>
    </row>
    <row r="3647">
      <c r="A3647" s="2"/>
      <c r="B3647" s="13"/>
      <c r="C3647" s="2"/>
      <c r="D3647" s="2"/>
      <c r="E3647" s="2"/>
      <c r="F3647" s="14"/>
      <c r="G3647" s="2"/>
      <c r="H3647" s="2"/>
    </row>
    <row r="3648">
      <c r="A3648" s="2"/>
      <c r="B3648" s="13"/>
      <c r="C3648" s="2"/>
      <c r="D3648" s="2"/>
      <c r="E3648" s="2"/>
      <c r="F3648" s="14"/>
      <c r="G3648" s="2"/>
      <c r="H3648" s="2"/>
    </row>
    <row r="3649">
      <c r="A3649" s="2"/>
      <c r="B3649" s="13"/>
      <c r="C3649" s="2"/>
      <c r="D3649" s="2"/>
      <c r="E3649" s="2"/>
      <c r="F3649" s="14"/>
      <c r="G3649" s="2"/>
      <c r="H3649" s="2"/>
    </row>
    <row r="3650">
      <c r="A3650" s="2"/>
      <c r="B3650" s="13"/>
      <c r="C3650" s="2"/>
      <c r="D3650" s="2"/>
      <c r="E3650" s="2"/>
      <c r="F3650" s="14"/>
      <c r="G3650" s="2"/>
      <c r="H3650" s="2"/>
    </row>
    <row r="3651">
      <c r="A3651" s="2"/>
      <c r="B3651" s="13"/>
      <c r="C3651" s="2"/>
      <c r="D3651" s="2"/>
      <c r="E3651" s="2"/>
      <c r="F3651" s="14"/>
      <c r="G3651" s="2"/>
      <c r="H3651" s="2"/>
    </row>
    <row r="3652">
      <c r="A3652" s="2"/>
      <c r="B3652" s="13"/>
      <c r="C3652" s="2"/>
      <c r="D3652" s="2"/>
      <c r="E3652" s="2"/>
      <c r="F3652" s="14"/>
      <c r="G3652" s="2"/>
      <c r="H3652" s="2"/>
    </row>
    <row r="3653">
      <c r="A3653" s="2"/>
      <c r="B3653" s="13"/>
      <c r="C3653" s="2"/>
      <c r="D3653" s="2"/>
      <c r="E3653" s="2"/>
      <c r="F3653" s="14"/>
      <c r="G3653" s="2"/>
      <c r="H3653" s="2"/>
    </row>
    <row r="3654">
      <c r="A3654" s="2"/>
      <c r="B3654" s="13"/>
      <c r="C3654" s="2"/>
      <c r="D3654" s="2"/>
      <c r="E3654" s="2"/>
      <c r="F3654" s="14"/>
      <c r="G3654" s="2"/>
      <c r="H3654" s="2"/>
    </row>
    <row r="3655">
      <c r="A3655" s="2"/>
      <c r="B3655" s="13"/>
      <c r="C3655" s="2"/>
      <c r="D3655" s="2"/>
      <c r="E3655" s="2"/>
      <c r="F3655" s="14"/>
      <c r="G3655" s="2"/>
      <c r="H3655" s="2"/>
    </row>
    <row r="3656">
      <c r="A3656" s="2"/>
      <c r="B3656" s="13"/>
      <c r="C3656" s="2"/>
      <c r="D3656" s="2"/>
      <c r="E3656" s="2"/>
      <c r="F3656" s="14"/>
      <c r="G3656" s="2"/>
      <c r="H3656" s="2"/>
    </row>
    <row r="3657">
      <c r="A3657" s="2"/>
      <c r="B3657" s="13"/>
      <c r="C3657" s="2"/>
      <c r="D3657" s="2"/>
      <c r="E3657" s="2"/>
      <c r="F3657" s="14"/>
      <c r="G3657" s="2"/>
      <c r="H3657" s="2"/>
    </row>
    <row r="3658">
      <c r="A3658" s="2"/>
      <c r="B3658" s="13"/>
      <c r="C3658" s="2"/>
      <c r="D3658" s="2"/>
      <c r="E3658" s="2"/>
      <c r="F3658" s="14"/>
      <c r="G3658" s="2"/>
      <c r="H3658" s="2"/>
    </row>
    <row r="3659">
      <c r="A3659" s="2"/>
      <c r="B3659" s="13"/>
      <c r="C3659" s="2"/>
      <c r="D3659" s="2"/>
      <c r="E3659" s="2"/>
      <c r="F3659" s="14"/>
      <c r="G3659" s="2"/>
      <c r="H3659" s="2"/>
    </row>
    <row r="3660">
      <c r="A3660" s="2"/>
      <c r="B3660" s="13"/>
      <c r="C3660" s="2"/>
      <c r="D3660" s="2"/>
      <c r="E3660" s="2"/>
      <c r="F3660" s="14"/>
      <c r="G3660" s="2"/>
      <c r="H3660" s="2"/>
    </row>
    <row r="3661">
      <c r="A3661" s="2"/>
      <c r="B3661" s="13"/>
      <c r="C3661" s="2"/>
      <c r="D3661" s="2"/>
      <c r="E3661" s="2"/>
      <c r="F3661" s="14"/>
      <c r="G3661" s="2"/>
      <c r="H3661" s="2"/>
    </row>
    <row r="3662">
      <c r="A3662" s="2"/>
      <c r="B3662" s="13"/>
      <c r="C3662" s="2"/>
      <c r="D3662" s="2"/>
      <c r="E3662" s="2"/>
      <c r="F3662" s="14"/>
      <c r="G3662" s="2"/>
      <c r="H3662" s="2"/>
    </row>
    <row r="3663">
      <c r="A3663" s="2"/>
      <c r="B3663" s="13"/>
      <c r="C3663" s="2"/>
      <c r="D3663" s="2"/>
      <c r="E3663" s="2"/>
      <c r="F3663" s="14"/>
      <c r="G3663" s="2"/>
      <c r="H3663" s="2"/>
    </row>
    <row r="3664">
      <c r="A3664" s="2"/>
      <c r="B3664" s="13"/>
      <c r="C3664" s="2"/>
      <c r="D3664" s="2"/>
      <c r="E3664" s="2"/>
      <c r="F3664" s="14"/>
      <c r="G3664" s="2"/>
      <c r="H3664" s="2"/>
    </row>
    <row r="3665">
      <c r="A3665" s="2"/>
      <c r="B3665" s="13"/>
      <c r="C3665" s="2"/>
      <c r="D3665" s="2"/>
      <c r="E3665" s="2"/>
      <c r="F3665" s="14"/>
      <c r="G3665" s="2"/>
      <c r="H3665" s="2"/>
    </row>
    <row r="3666">
      <c r="A3666" s="2"/>
      <c r="B3666" s="13"/>
      <c r="C3666" s="2"/>
      <c r="D3666" s="2"/>
      <c r="E3666" s="2"/>
      <c r="F3666" s="14"/>
      <c r="G3666" s="2"/>
      <c r="H3666" s="2"/>
    </row>
    <row r="3667">
      <c r="A3667" s="2"/>
      <c r="B3667" s="13"/>
      <c r="C3667" s="2"/>
      <c r="D3667" s="2"/>
      <c r="E3667" s="2"/>
      <c r="F3667" s="14"/>
      <c r="G3667" s="2"/>
      <c r="H3667" s="2"/>
    </row>
    <row r="3668">
      <c r="A3668" s="2"/>
      <c r="B3668" s="13"/>
      <c r="C3668" s="2"/>
      <c r="D3668" s="2"/>
      <c r="E3668" s="2"/>
      <c r="F3668" s="14"/>
      <c r="G3668" s="2"/>
      <c r="H3668" s="2"/>
    </row>
    <row r="3669">
      <c r="A3669" s="2"/>
      <c r="B3669" s="13"/>
      <c r="C3669" s="2"/>
      <c r="D3669" s="2"/>
      <c r="E3669" s="2"/>
      <c r="F3669" s="14"/>
      <c r="G3669" s="2"/>
      <c r="H3669" s="2"/>
    </row>
    <row r="3670">
      <c r="A3670" s="2"/>
      <c r="B3670" s="13"/>
      <c r="C3670" s="2"/>
      <c r="D3670" s="2"/>
      <c r="E3670" s="2"/>
      <c r="F3670" s="14"/>
      <c r="G3670" s="2"/>
      <c r="H3670" s="2"/>
    </row>
    <row r="3671">
      <c r="A3671" s="2"/>
      <c r="B3671" s="13"/>
      <c r="C3671" s="2"/>
      <c r="D3671" s="2"/>
      <c r="E3671" s="2"/>
      <c r="F3671" s="14"/>
      <c r="G3671" s="2"/>
      <c r="H3671" s="2"/>
    </row>
    <row r="3672">
      <c r="A3672" s="2"/>
      <c r="B3672" s="13"/>
      <c r="C3672" s="2"/>
      <c r="D3672" s="2"/>
      <c r="E3672" s="2"/>
      <c r="F3672" s="14"/>
      <c r="G3672" s="2"/>
      <c r="H3672" s="2"/>
    </row>
    <row r="3673">
      <c r="A3673" s="2"/>
      <c r="B3673" s="13"/>
      <c r="C3673" s="2"/>
      <c r="D3673" s="2"/>
      <c r="E3673" s="2"/>
      <c r="F3673" s="14"/>
      <c r="G3673" s="2"/>
      <c r="H3673" s="2"/>
    </row>
    <row r="3674">
      <c r="A3674" s="2"/>
      <c r="B3674" s="13"/>
      <c r="C3674" s="2"/>
      <c r="D3674" s="2"/>
      <c r="E3674" s="2"/>
      <c r="F3674" s="14"/>
      <c r="G3674" s="2"/>
      <c r="H3674" s="2"/>
    </row>
    <row r="3675">
      <c r="A3675" s="2"/>
      <c r="B3675" s="13"/>
      <c r="C3675" s="2"/>
      <c r="D3675" s="2"/>
      <c r="E3675" s="2"/>
      <c r="F3675" s="14"/>
      <c r="G3675" s="2"/>
      <c r="H3675" s="2"/>
    </row>
    <row r="3676">
      <c r="A3676" s="2"/>
      <c r="B3676" s="13"/>
      <c r="C3676" s="2"/>
      <c r="D3676" s="2"/>
      <c r="E3676" s="2"/>
      <c r="F3676" s="14"/>
      <c r="G3676" s="2"/>
      <c r="H3676" s="2"/>
    </row>
    <row r="3677">
      <c r="A3677" s="2"/>
      <c r="B3677" s="13"/>
      <c r="C3677" s="2"/>
      <c r="D3677" s="2"/>
      <c r="E3677" s="2"/>
      <c r="F3677" s="14"/>
      <c r="G3677" s="2"/>
      <c r="H3677" s="2"/>
    </row>
    <row r="3678">
      <c r="A3678" s="2"/>
      <c r="B3678" s="13"/>
      <c r="C3678" s="2"/>
      <c r="D3678" s="2"/>
      <c r="E3678" s="2"/>
      <c r="F3678" s="14"/>
      <c r="G3678" s="2"/>
      <c r="H3678" s="2"/>
    </row>
    <row r="3679">
      <c r="A3679" s="2"/>
      <c r="B3679" s="13"/>
      <c r="C3679" s="2"/>
      <c r="D3679" s="2"/>
      <c r="E3679" s="2"/>
      <c r="F3679" s="14"/>
      <c r="G3679" s="2"/>
      <c r="H3679" s="2"/>
    </row>
    <row r="3680">
      <c r="A3680" s="2"/>
      <c r="B3680" s="13"/>
      <c r="C3680" s="2"/>
      <c r="D3680" s="2"/>
      <c r="E3680" s="2"/>
      <c r="F3680" s="14"/>
      <c r="G3680" s="2"/>
      <c r="H3680" s="2"/>
    </row>
    <row r="3681">
      <c r="A3681" s="2"/>
      <c r="B3681" s="13"/>
      <c r="C3681" s="2"/>
      <c r="D3681" s="2"/>
      <c r="E3681" s="2"/>
      <c r="F3681" s="14"/>
      <c r="G3681" s="2"/>
      <c r="H3681" s="2"/>
    </row>
    <row r="3682">
      <c r="A3682" s="2"/>
      <c r="B3682" s="13"/>
      <c r="C3682" s="2"/>
      <c r="D3682" s="2"/>
      <c r="E3682" s="2"/>
      <c r="F3682" s="14"/>
      <c r="G3682" s="2"/>
      <c r="H3682" s="2"/>
    </row>
    <row r="3683">
      <c r="A3683" s="2"/>
      <c r="B3683" s="13"/>
      <c r="C3683" s="2"/>
      <c r="D3683" s="2"/>
      <c r="E3683" s="2"/>
      <c r="F3683" s="14"/>
      <c r="G3683" s="2"/>
      <c r="H3683" s="2"/>
    </row>
    <row r="3684">
      <c r="A3684" s="2"/>
      <c r="B3684" s="13"/>
      <c r="C3684" s="2"/>
      <c r="D3684" s="2"/>
      <c r="E3684" s="2"/>
      <c r="F3684" s="14"/>
      <c r="G3684" s="2"/>
      <c r="H3684" s="2"/>
    </row>
    <row r="3685">
      <c r="A3685" s="2"/>
      <c r="B3685" s="13"/>
      <c r="C3685" s="2"/>
      <c r="D3685" s="2"/>
      <c r="E3685" s="2"/>
      <c r="F3685" s="14"/>
      <c r="G3685" s="2"/>
      <c r="H3685" s="2"/>
    </row>
    <row r="3686">
      <c r="A3686" s="2"/>
      <c r="B3686" s="13"/>
      <c r="C3686" s="2"/>
      <c r="D3686" s="2"/>
      <c r="E3686" s="2"/>
      <c r="F3686" s="14"/>
      <c r="G3686" s="2"/>
      <c r="H3686" s="2"/>
    </row>
    <row r="3687">
      <c r="A3687" s="2"/>
      <c r="B3687" s="13"/>
      <c r="C3687" s="2"/>
      <c r="D3687" s="2"/>
      <c r="E3687" s="2"/>
      <c r="F3687" s="14"/>
      <c r="G3687" s="2"/>
      <c r="H3687" s="2"/>
    </row>
    <row r="3688">
      <c r="A3688" s="2"/>
      <c r="B3688" s="13"/>
      <c r="C3688" s="2"/>
      <c r="D3688" s="2"/>
      <c r="E3688" s="2"/>
      <c r="F3688" s="14"/>
      <c r="G3688" s="2"/>
      <c r="H3688" s="2"/>
    </row>
    <row r="3689">
      <c r="A3689" s="2"/>
      <c r="B3689" s="13"/>
      <c r="C3689" s="2"/>
      <c r="D3689" s="2"/>
      <c r="E3689" s="2"/>
      <c r="F3689" s="14"/>
      <c r="G3689" s="2"/>
      <c r="H3689" s="2"/>
    </row>
    <row r="3690">
      <c r="A3690" s="2"/>
      <c r="B3690" s="13"/>
      <c r="C3690" s="2"/>
      <c r="D3690" s="2"/>
      <c r="E3690" s="2"/>
      <c r="F3690" s="14"/>
      <c r="G3690" s="2"/>
      <c r="H3690" s="2"/>
    </row>
    <row r="3691">
      <c r="A3691" s="2"/>
      <c r="B3691" s="13"/>
      <c r="C3691" s="2"/>
      <c r="D3691" s="2"/>
      <c r="E3691" s="2"/>
      <c r="F3691" s="14"/>
      <c r="G3691" s="2"/>
      <c r="H3691" s="2"/>
    </row>
    <row r="3692">
      <c r="A3692" s="2"/>
      <c r="B3692" s="13"/>
      <c r="C3692" s="2"/>
      <c r="D3692" s="2"/>
      <c r="E3692" s="2"/>
      <c r="F3692" s="14"/>
      <c r="G3692" s="2"/>
      <c r="H3692" s="2"/>
    </row>
    <row r="3693">
      <c r="A3693" s="2"/>
      <c r="B3693" s="13"/>
      <c r="C3693" s="2"/>
      <c r="D3693" s="2"/>
      <c r="E3693" s="2"/>
      <c r="F3693" s="14"/>
      <c r="G3693" s="2"/>
      <c r="H3693" s="2"/>
    </row>
    <row r="3694">
      <c r="A3694" s="2"/>
      <c r="B3694" s="13"/>
      <c r="C3694" s="2"/>
      <c r="D3694" s="2"/>
      <c r="E3694" s="2"/>
      <c r="F3694" s="14"/>
      <c r="G3694" s="2"/>
      <c r="H3694" s="2"/>
    </row>
    <row r="3695">
      <c r="A3695" s="2"/>
      <c r="B3695" s="13"/>
      <c r="C3695" s="2"/>
      <c r="D3695" s="2"/>
      <c r="E3695" s="2"/>
      <c r="F3695" s="14"/>
      <c r="G3695" s="2"/>
      <c r="H3695" s="2"/>
    </row>
    <row r="3696">
      <c r="A3696" s="2"/>
      <c r="B3696" s="13"/>
      <c r="C3696" s="2"/>
      <c r="D3696" s="2"/>
      <c r="E3696" s="2"/>
      <c r="F3696" s="14"/>
      <c r="G3696" s="2"/>
      <c r="H3696" s="2"/>
    </row>
    <row r="3697">
      <c r="A3697" s="2"/>
      <c r="B3697" s="13"/>
      <c r="C3697" s="2"/>
      <c r="D3697" s="2"/>
      <c r="E3697" s="2"/>
      <c r="F3697" s="14"/>
      <c r="G3697" s="2"/>
      <c r="H3697" s="2"/>
    </row>
    <row r="3698">
      <c r="A3698" s="2"/>
      <c r="B3698" s="13"/>
      <c r="C3698" s="2"/>
      <c r="D3698" s="2"/>
      <c r="E3698" s="2"/>
      <c r="F3698" s="14"/>
      <c r="G3698" s="2"/>
      <c r="H3698" s="2"/>
    </row>
    <row r="3699">
      <c r="A3699" s="2"/>
      <c r="B3699" s="13"/>
      <c r="C3699" s="2"/>
      <c r="D3699" s="2"/>
      <c r="E3699" s="2"/>
      <c r="F3699" s="14"/>
      <c r="G3699" s="2"/>
      <c r="H3699" s="2"/>
    </row>
    <row r="3700">
      <c r="A3700" s="2"/>
      <c r="B3700" s="13"/>
      <c r="C3700" s="2"/>
      <c r="D3700" s="2"/>
      <c r="E3700" s="2"/>
      <c r="F3700" s="14"/>
      <c r="G3700" s="2"/>
      <c r="H3700" s="2"/>
    </row>
    <row r="3701">
      <c r="A3701" s="2"/>
      <c r="B3701" s="13"/>
      <c r="C3701" s="2"/>
      <c r="D3701" s="2"/>
      <c r="E3701" s="2"/>
      <c r="F3701" s="14"/>
      <c r="G3701" s="2"/>
      <c r="H3701" s="2"/>
    </row>
    <row r="3702">
      <c r="A3702" s="2"/>
      <c r="B3702" s="13"/>
      <c r="C3702" s="2"/>
      <c r="D3702" s="2"/>
      <c r="E3702" s="2"/>
      <c r="F3702" s="14"/>
      <c r="G3702" s="2"/>
      <c r="H3702" s="2"/>
    </row>
    <row r="3703">
      <c r="A3703" s="2"/>
      <c r="B3703" s="13"/>
      <c r="C3703" s="2"/>
      <c r="D3703" s="2"/>
      <c r="E3703" s="2"/>
      <c r="F3703" s="14"/>
      <c r="G3703" s="2"/>
      <c r="H3703" s="2"/>
    </row>
    <row r="3704">
      <c r="A3704" s="2"/>
      <c r="B3704" s="13"/>
      <c r="C3704" s="2"/>
      <c r="D3704" s="2"/>
      <c r="E3704" s="2"/>
      <c r="F3704" s="14"/>
      <c r="G3704" s="2"/>
      <c r="H3704" s="2"/>
    </row>
    <row r="3705">
      <c r="A3705" s="2"/>
      <c r="B3705" s="13"/>
      <c r="C3705" s="2"/>
      <c r="D3705" s="2"/>
      <c r="E3705" s="2"/>
      <c r="F3705" s="14"/>
      <c r="G3705" s="2"/>
      <c r="H3705" s="2"/>
    </row>
    <row r="3706">
      <c r="A3706" s="2"/>
      <c r="B3706" s="13"/>
      <c r="C3706" s="2"/>
      <c r="D3706" s="2"/>
      <c r="E3706" s="2"/>
      <c r="F3706" s="14"/>
      <c r="G3706" s="2"/>
      <c r="H3706" s="2"/>
    </row>
    <row r="3707">
      <c r="A3707" s="2"/>
      <c r="B3707" s="13"/>
      <c r="C3707" s="2"/>
      <c r="D3707" s="2"/>
      <c r="E3707" s="2"/>
      <c r="F3707" s="14"/>
      <c r="G3707" s="2"/>
      <c r="H3707" s="2"/>
    </row>
    <row r="3708">
      <c r="A3708" s="2"/>
      <c r="B3708" s="13"/>
      <c r="C3708" s="2"/>
      <c r="D3708" s="2"/>
      <c r="E3708" s="2"/>
      <c r="F3708" s="14"/>
      <c r="G3708" s="2"/>
      <c r="H3708" s="2"/>
    </row>
    <row r="3709">
      <c r="A3709" s="2"/>
      <c r="B3709" s="13"/>
      <c r="C3709" s="2"/>
      <c r="D3709" s="2"/>
      <c r="E3709" s="2"/>
      <c r="F3709" s="14"/>
      <c r="G3709" s="2"/>
      <c r="H3709" s="2"/>
    </row>
    <row r="3710">
      <c r="A3710" s="2"/>
      <c r="B3710" s="13"/>
      <c r="C3710" s="2"/>
      <c r="D3710" s="2"/>
      <c r="E3710" s="2"/>
      <c r="F3710" s="14"/>
      <c r="G3710" s="2"/>
      <c r="H3710" s="2"/>
    </row>
    <row r="3711">
      <c r="A3711" s="2"/>
      <c r="B3711" s="13"/>
      <c r="C3711" s="2"/>
      <c r="D3711" s="2"/>
      <c r="E3711" s="2"/>
      <c r="F3711" s="14"/>
      <c r="G3711" s="2"/>
      <c r="H3711" s="2"/>
    </row>
    <row r="3712">
      <c r="A3712" s="2"/>
      <c r="B3712" s="13"/>
      <c r="C3712" s="2"/>
      <c r="D3712" s="2"/>
      <c r="E3712" s="2"/>
      <c r="F3712" s="14"/>
      <c r="G3712" s="2"/>
      <c r="H3712" s="2"/>
    </row>
    <row r="3713">
      <c r="A3713" s="2"/>
      <c r="B3713" s="13"/>
      <c r="C3713" s="2"/>
      <c r="D3713" s="2"/>
      <c r="E3713" s="2"/>
      <c r="F3713" s="14"/>
      <c r="G3713" s="2"/>
      <c r="H3713" s="2"/>
    </row>
    <row r="3714">
      <c r="A3714" s="2"/>
      <c r="B3714" s="13"/>
      <c r="C3714" s="2"/>
      <c r="D3714" s="2"/>
      <c r="E3714" s="2"/>
      <c r="F3714" s="14"/>
      <c r="G3714" s="2"/>
      <c r="H3714" s="2"/>
    </row>
    <row r="3715">
      <c r="A3715" s="2"/>
      <c r="B3715" s="13"/>
      <c r="C3715" s="2"/>
      <c r="D3715" s="2"/>
      <c r="E3715" s="2"/>
      <c r="F3715" s="14"/>
      <c r="G3715" s="2"/>
      <c r="H3715" s="2"/>
    </row>
    <row r="3716">
      <c r="A3716" s="2"/>
      <c r="B3716" s="13"/>
      <c r="C3716" s="2"/>
      <c r="D3716" s="2"/>
      <c r="E3716" s="2"/>
      <c r="F3716" s="14"/>
      <c r="G3716" s="2"/>
      <c r="H3716" s="2"/>
    </row>
    <row r="3717">
      <c r="A3717" s="2"/>
      <c r="B3717" s="13"/>
      <c r="C3717" s="2"/>
      <c r="D3717" s="2"/>
      <c r="E3717" s="2"/>
      <c r="F3717" s="14"/>
      <c r="G3717" s="2"/>
      <c r="H3717" s="2"/>
    </row>
    <row r="3718">
      <c r="A3718" s="2"/>
      <c r="B3718" s="13"/>
      <c r="C3718" s="2"/>
      <c r="D3718" s="2"/>
      <c r="E3718" s="2"/>
      <c r="F3718" s="14"/>
      <c r="G3718" s="2"/>
      <c r="H3718" s="2"/>
    </row>
    <row r="3719">
      <c r="A3719" s="2"/>
      <c r="B3719" s="13"/>
      <c r="C3719" s="2"/>
      <c r="D3719" s="2"/>
      <c r="E3719" s="2"/>
      <c r="F3719" s="14"/>
      <c r="G3719" s="2"/>
      <c r="H3719" s="2"/>
    </row>
    <row r="3720">
      <c r="A3720" s="2"/>
      <c r="B3720" s="13"/>
      <c r="C3720" s="2"/>
      <c r="D3720" s="2"/>
      <c r="E3720" s="2"/>
      <c r="F3720" s="14"/>
      <c r="G3720" s="2"/>
      <c r="H3720" s="2"/>
    </row>
    <row r="3721">
      <c r="A3721" s="2"/>
      <c r="B3721" s="13"/>
      <c r="C3721" s="2"/>
      <c r="D3721" s="2"/>
      <c r="E3721" s="2"/>
      <c r="F3721" s="14"/>
      <c r="G3721" s="2"/>
      <c r="H3721" s="2"/>
    </row>
    <row r="3722">
      <c r="A3722" s="2"/>
      <c r="B3722" s="13"/>
      <c r="C3722" s="2"/>
      <c r="D3722" s="2"/>
      <c r="E3722" s="2"/>
      <c r="F3722" s="14"/>
      <c r="G3722" s="2"/>
      <c r="H3722" s="2"/>
    </row>
    <row r="3723">
      <c r="A3723" s="2"/>
      <c r="B3723" s="13"/>
      <c r="C3723" s="2"/>
      <c r="D3723" s="2"/>
      <c r="E3723" s="2"/>
      <c r="F3723" s="14"/>
      <c r="G3723" s="2"/>
      <c r="H3723" s="2"/>
    </row>
    <row r="3724">
      <c r="A3724" s="2"/>
      <c r="B3724" s="13"/>
      <c r="C3724" s="2"/>
      <c r="D3724" s="2"/>
      <c r="E3724" s="2"/>
      <c r="F3724" s="14"/>
      <c r="G3724" s="2"/>
      <c r="H3724" s="2"/>
    </row>
    <row r="3725">
      <c r="A3725" s="2"/>
      <c r="B3725" s="13"/>
      <c r="C3725" s="2"/>
      <c r="D3725" s="2"/>
      <c r="E3725" s="2"/>
      <c r="F3725" s="14"/>
      <c r="G3725" s="2"/>
      <c r="H3725" s="2"/>
    </row>
    <row r="3726">
      <c r="A3726" s="2"/>
      <c r="B3726" s="13"/>
      <c r="C3726" s="2"/>
      <c r="D3726" s="2"/>
      <c r="E3726" s="2"/>
      <c r="F3726" s="14"/>
      <c r="G3726" s="2"/>
      <c r="H3726" s="2"/>
    </row>
    <row r="3727">
      <c r="A3727" s="2"/>
      <c r="B3727" s="13"/>
      <c r="C3727" s="2"/>
      <c r="D3727" s="2"/>
      <c r="E3727" s="2"/>
      <c r="F3727" s="14"/>
      <c r="G3727" s="2"/>
      <c r="H3727" s="2"/>
    </row>
    <row r="3728">
      <c r="A3728" s="2"/>
      <c r="B3728" s="13"/>
      <c r="C3728" s="2"/>
      <c r="D3728" s="2"/>
      <c r="E3728" s="2"/>
      <c r="F3728" s="14"/>
      <c r="G3728" s="2"/>
      <c r="H3728" s="2"/>
    </row>
    <row r="3729">
      <c r="A3729" s="2"/>
      <c r="B3729" s="13"/>
      <c r="C3729" s="2"/>
      <c r="D3729" s="2"/>
      <c r="E3729" s="2"/>
      <c r="F3729" s="14"/>
      <c r="G3729" s="2"/>
      <c r="H3729" s="2"/>
    </row>
    <row r="3730">
      <c r="A3730" s="2"/>
      <c r="B3730" s="13"/>
      <c r="C3730" s="2"/>
      <c r="D3730" s="2"/>
      <c r="E3730" s="2"/>
      <c r="F3730" s="14"/>
      <c r="G3730" s="2"/>
      <c r="H3730" s="2"/>
    </row>
    <row r="3731">
      <c r="A3731" s="2"/>
      <c r="B3731" s="13"/>
      <c r="C3731" s="2"/>
      <c r="D3731" s="2"/>
      <c r="E3731" s="2"/>
      <c r="F3731" s="14"/>
      <c r="G3731" s="2"/>
      <c r="H3731" s="2"/>
    </row>
    <row r="3732">
      <c r="A3732" s="2"/>
      <c r="B3732" s="13"/>
      <c r="C3732" s="2"/>
      <c r="D3732" s="2"/>
      <c r="E3732" s="2"/>
      <c r="F3732" s="14"/>
      <c r="G3732" s="2"/>
      <c r="H3732" s="2"/>
    </row>
    <row r="3733">
      <c r="A3733" s="2"/>
      <c r="B3733" s="13"/>
      <c r="C3733" s="2"/>
      <c r="D3733" s="2"/>
      <c r="E3733" s="2"/>
      <c r="F3733" s="14"/>
      <c r="G3733" s="2"/>
      <c r="H3733" s="2"/>
    </row>
    <row r="3734">
      <c r="A3734" s="2"/>
      <c r="B3734" s="13"/>
      <c r="C3734" s="2"/>
      <c r="D3734" s="2"/>
      <c r="E3734" s="2"/>
      <c r="F3734" s="14"/>
      <c r="G3734" s="2"/>
      <c r="H3734" s="2"/>
    </row>
    <row r="3735">
      <c r="A3735" s="2"/>
      <c r="B3735" s="13"/>
      <c r="C3735" s="2"/>
      <c r="D3735" s="2"/>
      <c r="E3735" s="2"/>
      <c r="F3735" s="14"/>
      <c r="G3735" s="2"/>
      <c r="H3735" s="2"/>
    </row>
    <row r="3736">
      <c r="A3736" s="2"/>
      <c r="B3736" s="13"/>
      <c r="C3736" s="2"/>
      <c r="D3736" s="2"/>
      <c r="E3736" s="2"/>
      <c r="F3736" s="14"/>
      <c r="G3736" s="2"/>
      <c r="H3736" s="2"/>
    </row>
    <row r="3737">
      <c r="A3737" s="2"/>
      <c r="B3737" s="13"/>
      <c r="C3737" s="2"/>
      <c r="D3737" s="2"/>
      <c r="E3737" s="2"/>
      <c r="F3737" s="14"/>
      <c r="G3737" s="2"/>
      <c r="H3737" s="2"/>
    </row>
    <row r="3738">
      <c r="A3738" s="2"/>
      <c r="B3738" s="13"/>
      <c r="C3738" s="2"/>
      <c r="D3738" s="2"/>
      <c r="E3738" s="2"/>
      <c r="F3738" s="14"/>
      <c r="G3738" s="2"/>
      <c r="H3738" s="2"/>
    </row>
    <row r="3739">
      <c r="A3739" s="2"/>
      <c r="B3739" s="13"/>
      <c r="C3739" s="2"/>
      <c r="D3739" s="2"/>
      <c r="E3739" s="2"/>
      <c r="F3739" s="14"/>
      <c r="G3739" s="2"/>
      <c r="H3739" s="2"/>
    </row>
    <row r="3740">
      <c r="A3740" s="2"/>
      <c r="B3740" s="13"/>
      <c r="C3740" s="2"/>
      <c r="D3740" s="2"/>
      <c r="E3740" s="2"/>
      <c r="F3740" s="14"/>
      <c r="G3740" s="2"/>
      <c r="H3740" s="2"/>
    </row>
    <row r="3741">
      <c r="A3741" s="2"/>
      <c r="B3741" s="13"/>
      <c r="C3741" s="2"/>
      <c r="D3741" s="2"/>
      <c r="E3741" s="2"/>
      <c r="F3741" s="14"/>
      <c r="G3741" s="2"/>
      <c r="H3741" s="2"/>
    </row>
    <row r="3742">
      <c r="A3742" s="2"/>
      <c r="B3742" s="13"/>
      <c r="C3742" s="2"/>
      <c r="D3742" s="2"/>
      <c r="E3742" s="2"/>
      <c r="F3742" s="14"/>
      <c r="G3742" s="2"/>
      <c r="H3742" s="2"/>
    </row>
    <row r="3743">
      <c r="A3743" s="2"/>
      <c r="B3743" s="13"/>
      <c r="C3743" s="2"/>
      <c r="D3743" s="2"/>
      <c r="E3743" s="2"/>
      <c r="F3743" s="14"/>
      <c r="G3743" s="2"/>
      <c r="H3743" s="2"/>
    </row>
    <row r="3744">
      <c r="A3744" s="2"/>
      <c r="B3744" s="13"/>
      <c r="C3744" s="2"/>
      <c r="D3744" s="2"/>
      <c r="E3744" s="2"/>
      <c r="F3744" s="14"/>
      <c r="G3744" s="2"/>
      <c r="H3744" s="2"/>
    </row>
    <row r="3745">
      <c r="A3745" s="2"/>
      <c r="B3745" s="13"/>
      <c r="C3745" s="2"/>
      <c r="D3745" s="2"/>
      <c r="E3745" s="2"/>
      <c r="F3745" s="14"/>
      <c r="G3745" s="2"/>
      <c r="H3745" s="2"/>
    </row>
    <row r="3746">
      <c r="A3746" s="2"/>
      <c r="B3746" s="13"/>
      <c r="C3746" s="2"/>
      <c r="D3746" s="2"/>
      <c r="E3746" s="2"/>
      <c r="F3746" s="14"/>
      <c r="G3746" s="2"/>
      <c r="H3746" s="2"/>
    </row>
    <row r="3747">
      <c r="A3747" s="2"/>
      <c r="B3747" s="13"/>
      <c r="C3747" s="2"/>
      <c r="D3747" s="2"/>
      <c r="E3747" s="2"/>
      <c r="F3747" s="14"/>
      <c r="G3747" s="2"/>
      <c r="H3747" s="2"/>
    </row>
    <row r="3748">
      <c r="A3748" s="2"/>
      <c r="B3748" s="13"/>
      <c r="C3748" s="2"/>
      <c r="D3748" s="2"/>
      <c r="E3748" s="2"/>
      <c r="F3748" s="14"/>
      <c r="G3748" s="2"/>
      <c r="H3748" s="2"/>
    </row>
    <row r="3749">
      <c r="A3749" s="2"/>
      <c r="B3749" s="13"/>
      <c r="C3749" s="2"/>
      <c r="D3749" s="2"/>
      <c r="E3749" s="2"/>
      <c r="F3749" s="14"/>
      <c r="G3749" s="2"/>
      <c r="H3749" s="2"/>
    </row>
    <row r="3750">
      <c r="A3750" s="2"/>
      <c r="B3750" s="13"/>
      <c r="C3750" s="2"/>
      <c r="D3750" s="2"/>
      <c r="E3750" s="2"/>
      <c r="F3750" s="14"/>
      <c r="G3750" s="2"/>
      <c r="H3750" s="2"/>
    </row>
    <row r="3751">
      <c r="A3751" s="2"/>
      <c r="B3751" s="13"/>
      <c r="C3751" s="2"/>
      <c r="D3751" s="2"/>
      <c r="E3751" s="2"/>
      <c r="F3751" s="14"/>
      <c r="G3751" s="2"/>
      <c r="H3751" s="2"/>
    </row>
    <row r="3752">
      <c r="A3752" s="2"/>
      <c r="B3752" s="13"/>
      <c r="C3752" s="2"/>
      <c r="D3752" s="2"/>
      <c r="E3752" s="2"/>
      <c r="F3752" s="14"/>
      <c r="G3752" s="2"/>
      <c r="H3752" s="2"/>
    </row>
    <row r="3753">
      <c r="A3753" s="2"/>
      <c r="B3753" s="13"/>
      <c r="C3753" s="2"/>
      <c r="D3753" s="2"/>
      <c r="E3753" s="2"/>
      <c r="F3753" s="14"/>
      <c r="G3753" s="2"/>
      <c r="H3753" s="2"/>
    </row>
    <row r="3754">
      <c r="A3754" s="2"/>
      <c r="B3754" s="13"/>
      <c r="C3754" s="2"/>
      <c r="D3754" s="2"/>
      <c r="E3754" s="2"/>
      <c r="F3754" s="14"/>
      <c r="G3754" s="2"/>
      <c r="H3754" s="2"/>
    </row>
    <row r="3755">
      <c r="A3755" s="2"/>
      <c r="B3755" s="13"/>
      <c r="C3755" s="2"/>
      <c r="D3755" s="2"/>
      <c r="E3755" s="2"/>
      <c r="F3755" s="14"/>
      <c r="G3755" s="2"/>
      <c r="H3755" s="2"/>
    </row>
    <row r="3756">
      <c r="A3756" s="2"/>
      <c r="B3756" s="13"/>
      <c r="C3756" s="2"/>
      <c r="D3756" s="2"/>
      <c r="E3756" s="2"/>
      <c r="F3756" s="14"/>
      <c r="G3756" s="2"/>
      <c r="H3756" s="2"/>
    </row>
    <row r="3757">
      <c r="A3757" s="2"/>
      <c r="B3757" s="13"/>
      <c r="C3757" s="2"/>
      <c r="D3757" s="2"/>
      <c r="E3757" s="2"/>
      <c r="F3757" s="14"/>
      <c r="G3757" s="2"/>
      <c r="H3757" s="2"/>
    </row>
    <row r="3758">
      <c r="A3758" s="2"/>
      <c r="B3758" s="13"/>
      <c r="C3758" s="2"/>
      <c r="D3758" s="2"/>
      <c r="E3758" s="2"/>
      <c r="F3758" s="14"/>
      <c r="G3758" s="2"/>
      <c r="H3758" s="2"/>
    </row>
    <row r="3759">
      <c r="A3759" s="2"/>
      <c r="B3759" s="13"/>
      <c r="C3759" s="2"/>
      <c r="D3759" s="2"/>
      <c r="E3759" s="2"/>
      <c r="F3759" s="14"/>
      <c r="G3759" s="2"/>
      <c r="H3759" s="2"/>
    </row>
    <row r="3760">
      <c r="A3760" s="2"/>
      <c r="B3760" s="13"/>
      <c r="C3760" s="2"/>
      <c r="D3760" s="2"/>
      <c r="E3760" s="2"/>
      <c r="F3760" s="14"/>
      <c r="G3760" s="2"/>
      <c r="H3760" s="2"/>
    </row>
    <row r="3761">
      <c r="A3761" s="2"/>
      <c r="B3761" s="13"/>
      <c r="C3761" s="2"/>
      <c r="D3761" s="2"/>
      <c r="E3761" s="2"/>
      <c r="F3761" s="14"/>
      <c r="G3761" s="2"/>
      <c r="H3761" s="2"/>
    </row>
    <row r="3762">
      <c r="A3762" s="2"/>
      <c r="B3762" s="13"/>
      <c r="C3762" s="2"/>
      <c r="D3762" s="2"/>
      <c r="E3762" s="2"/>
      <c r="F3762" s="14"/>
      <c r="G3762" s="2"/>
      <c r="H3762" s="2"/>
    </row>
    <row r="3763">
      <c r="A3763" s="2"/>
      <c r="B3763" s="13"/>
      <c r="C3763" s="2"/>
      <c r="D3763" s="2"/>
      <c r="E3763" s="2"/>
      <c r="F3763" s="14"/>
      <c r="G3763" s="2"/>
      <c r="H3763" s="2"/>
    </row>
    <row r="3764">
      <c r="A3764" s="2"/>
      <c r="B3764" s="13"/>
      <c r="C3764" s="2"/>
      <c r="D3764" s="2"/>
      <c r="E3764" s="2"/>
      <c r="F3764" s="14"/>
      <c r="G3764" s="2"/>
      <c r="H3764" s="2"/>
    </row>
    <row r="3765">
      <c r="A3765" s="2"/>
      <c r="B3765" s="13"/>
      <c r="C3765" s="2"/>
      <c r="D3765" s="2"/>
      <c r="E3765" s="2"/>
      <c r="F3765" s="14"/>
      <c r="G3765" s="2"/>
      <c r="H3765" s="2"/>
    </row>
    <row r="3766">
      <c r="A3766" s="2"/>
      <c r="B3766" s="13"/>
      <c r="C3766" s="2"/>
      <c r="D3766" s="2"/>
      <c r="E3766" s="2"/>
      <c r="F3766" s="14"/>
      <c r="G3766" s="2"/>
      <c r="H3766" s="2"/>
    </row>
    <row r="3767">
      <c r="A3767" s="2"/>
      <c r="B3767" s="13"/>
      <c r="C3767" s="2"/>
      <c r="D3767" s="2"/>
      <c r="E3767" s="2"/>
      <c r="F3767" s="14"/>
      <c r="G3767" s="2"/>
      <c r="H3767" s="2"/>
    </row>
    <row r="3768">
      <c r="A3768" s="2"/>
      <c r="B3768" s="13"/>
      <c r="C3768" s="2"/>
      <c r="D3768" s="2"/>
      <c r="E3768" s="2"/>
      <c r="F3768" s="14"/>
      <c r="G3768" s="2"/>
      <c r="H3768" s="2"/>
    </row>
    <row r="3769">
      <c r="A3769" s="2"/>
      <c r="B3769" s="13"/>
      <c r="C3769" s="2"/>
      <c r="D3769" s="2"/>
      <c r="E3769" s="2"/>
      <c r="F3769" s="14"/>
      <c r="G3769" s="2"/>
      <c r="H3769" s="2"/>
    </row>
    <row r="3770">
      <c r="A3770" s="2"/>
      <c r="B3770" s="13"/>
      <c r="C3770" s="2"/>
      <c r="D3770" s="2"/>
      <c r="E3770" s="2"/>
      <c r="F3770" s="14"/>
      <c r="G3770" s="2"/>
      <c r="H3770" s="2"/>
    </row>
    <row r="3771">
      <c r="A3771" s="2"/>
      <c r="B3771" s="13"/>
      <c r="C3771" s="2"/>
      <c r="D3771" s="2"/>
      <c r="E3771" s="2"/>
      <c r="F3771" s="14"/>
      <c r="G3771" s="2"/>
      <c r="H3771" s="2"/>
    </row>
    <row r="3772">
      <c r="A3772" s="2"/>
      <c r="B3772" s="13"/>
      <c r="C3772" s="2"/>
      <c r="D3772" s="2"/>
      <c r="E3772" s="2"/>
      <c r="F3772" s="14"/>
      <c r="G3772" s="2"/>
      <c r="H3772" s="2"/>
    </row>
    <row r="3773">
      <c r="A3773" s="2"/>
      <c r="B3773" s="13"/>
      <c r="C3773" s="2"/>
      <c r="D3773" s="2"/>
      <c r="E3773" s="2"/>
      <c r="F3773" s="14"/>
      <c r="G3773" s="2"/>
      <c r="H3773" s="2"/>
    </row>
    <row r="3774">
      <c r="A3774" s="2"/>
      <c r="B3774" s="13"/>
      <c r="C3774" s="2"/>
      <c r="D3774" s="2"/>
      <c r="E3774" s="2"/>
      <c r="F3774" s="14"/>
      <c r="G3774" s="2"/>
      <c r="H3774" s="2"/>
    </row>
    <row r="3775">
      <c r="A3775" s="2"/>
      <c r="B3775" s="13"/>
      <c r="C3775" s="2"/>
      <c r="D3775" s="2"/>
      <c r="E3775" s="2"/>
      <c r="F3775" s="14"/>
      <c r="G3775" s="2"/>
      <c r="H3775" s="2"/>
    </row>
    <row r="3776">
      <c r="A3776" s="2"/>
      <c r="B3776" s="13"/>
      <c r="C3776" s="2"/>
      <c r="D3776" s="2"/>
      <c r="E3776" s="2"/>
      <c r="F3776" s="14"/>
      <c r="G3776" s="2"/>
      <c r="H3776" s="2"/>
    </row>
    <row r="3777">
      <c r="A3777" s="2"/>
      <c r="B3777" s="13"/>
      <c r="C3777" s="2"/>
      <c r="D3777" s="2"/>
      <c r="E3777" s="2"/>
      <c r="F3777" s="14"/>
      <c r="G3777" s="2"/>
      <c r="H3777" s="2"/>
    </row>
    <row r="3778">
      <c r="A3778" s="2"/>
      <c r="B3778" s="13"/>
      <c r="C3778" s="2"/>
      <c r="D3778" s="2"/>
      <c r="E3778" s="2"/>
      <c r="F3778" s="14"/>
      <c r="G3778" s="2"/>
      <c r="H3778" s="2"/>
    </row>
    <row r="3779">
      <c r="A3779" s="2"/>
      <c r="B3779" s="13"/>
      <c r="C3779" s="2"/>
      <c r="D3779" s="2"/>
      <c r="E3779" s="2"/>
      <c r="F3779" s="14"/>
      <c r="G3779" s="2"/>
      <c r="H3779" s="2"/>
    </row>
    <row r="3780">
      <c r="A3780" s="2"/>
      <c r="B3780" s="13"/>
      <c r="C3780" s="2"/>
      <c r="D3780" s="2"/>
      <c r="E3780" s="2"/>
      <c r="F3780" s="14"/>
      <c r="G3780" s="2"/>
      <c r="H3780" s="2"/>
    </row>
    <row r="3781">
      <c r="A3781" s="2"/>
      <c r="B3781" s="13"/>
      <c r="C3781" s="2"/>
      <c r="D3781" s="2"/>
      <c r="E3781" s="2"/>
      <c r="F3781" s="14"/>
      <c r="G3781" s="2"/>
      <c r="H3781" s="2"/>
    </row>
    <row r="3782">
      <c r="A3782" s="2"/>
      <c r="B3782" s="13"/>
      <c r="C3782" s="2"/>
      <c r="D3782" s="2"/>
      <c r="E3782" s="2"/>
      <c r="F3782" s="14"/>
      <c r="G3782" s="2"/>
      <c r="H3782" s="2"/>
    </row>
    <row r="3783">
      <c r="A3783" s="2"/>
      <c r="B3783" s="13"/>
      <c r="C3783" s="2"/>
      <c r="D3783" s="2"/>
      <c r="E3783" s="2"/>
      <c r="F3783" s="14"/>
      <c r="G3783" s="2"/>
      <c r="H3783" s="2"/>
    </row>
    <row r="3784">
      <c r="A3784" s="2"/>
      <c r="B3784" s="13"/>
      <c r="C3784" s="2"/>
      <c r="D3784" s="2"/>
      <c r="E3784" s="2"/>
      <c r="F3784" s="14"/>
      <c r="G3784" s="2"/>
      <c r="H3784" s="2"/>
    </row>
    <row r="3785">
      <c r="A3785" s="2"/>
      <c r="B3785" s="13"/>
      <c r="C3785" s="2"/>
      <c r="D3785" s="2"/>
      <c r="E3785" s="2"/>
      <c r="F3785" s="14"/>
      <c r="G3785" s="2"/>
      <c r="H3785" s="2"/>
    </row>
    <row r="3786">
      <c r="A3786" s="2"/>
      <c r="B3786" s="13"/>
      <c r="C3786" s="2"/>
      <c r="D3786" s="2"/>
      <c r="E3786" s="2"/>
      <c r="F3786" s="14"/>
      <c r="G3786" s="2"/>
      <c r="H3786" s="2"/>
    </row>
    <row r="3787">
      <c r="A3787" s="2"/>
      <c r="B3787" s="13"/>
      <c r="C3787" s="2"/>
      <c r="D3787" s="2"/>
      <c r="E3787" s="2"/>
      <c r="F3787" s="14"/>
      <c r="G3787" s="2"/>
      <c r="H3787" s="2"/>
    </row>
    <row r="3788">
      <c r="A3788" s="2"/>
      <c r="B3788" s="13"/>
      <c r="C3788" s="2"/>
      <c r="D3788" s="2"/>
      <c r="E3788" s="2"/>
      <c r="F3788" s="14"/>
      <c r="G3788" s="2"/>
      <c r="H3788" s="2"/>
    </row>
    <row r="3789">
      <c r="A3789" s="2"/>
      <c r="B3789" s="13"/>
      <c r="C3789" s="2"/>
      <c r="D3789" s="2"/>
      <c r="E3789" s="2"/>
      <c r="F3789" s="14"/>
      <c r="G3789" s="2"/>
      <c r="H3789" s="2"/>
    </row>
    <row r="3790">
      <c r="A3790" s="2"/>
      <c r="B3790" s="13"/>
      <c r="C3790" s="2"/>
      <c r="D3790" s="2"/>
      <c r="E3790" s="2"/>
      <c r="F3790" s="14"/>
      <c r="G3790" s="2"/>
      <c r="H3790" s="2"/>
    </row>
    <row r="3791">
      <c r="A3791" s="2"/>
      <c r="B3791" s="13"/>
      <c r="C3791" s="2"/>
      <c r="D3791" s="2"/>
      <c r="E3791" s="2"/>
      <c r="F3791" s="14"/>
      <c r="G3791" s="2"/>
      <c r="H3791" s="2"/>
    </row>
    <row r="3792">
      <c r="A3792" s="2"/>
      <c r="B3792" s="13"/>
      <c r="C3792" s="2"/>
      <c r="D3792" s="2"/>
      <c r="E3792" s="2"/>
      <c r="F3792" s="14"/>
      <c r="G3792" s="2"/>
      <c r="H3792" s="2"/>
    </row>
    <row r="3793">
      <c r="A3793" s="2"/>
      <c r="B3793" s="13"/>
      <c r="C3793" s="2"/>
      <c r="D3793" s="2"/>
      <c r="E3793" s="2"/>
      <c r="F3793" s="14"/>
      <c r="G3793" s="2"/>
      <c r="H3793" s="2"/>
    </row>
    <row r="3794">
      <c r="A3794" s="2"/>
      <c r="B3794" s="13"/>
      <c r="C3794" s="2"/>
      <c r="D3794" s="2"/>
      <c r="E3794" s="2"/>
      <c r="F3794" s="14"/>
      <c r="G3794" s="2"/>
      <c r="H3794" s="2"/>
    </row>
    <row r="3795">
      <c r="A3795" s="2"/>
      <c r="B3795" s="13"/>
      <c r="C3795" s="2"/>
      <c r="D3795" s="2"/>
      <c r="E3795" s="2"/>
      <c r="F3795" s="14"/>
      <c r="G3795" s="2"/>
      <c r="H3795" s="2"/>
    </row>
    <row r="3796">
      <c r="A3796" s="2"/>
      <c r="B3796" s="13"/>
      <c r="C3796" s="2"/>
      <c r="D3796" s="2"/>
      <c r="E3796" s="2"/>
      <c r="F3796" s="14"/>
      <c r="G3796" s="2"/>
      <c r="H3796" s="2"/>
    </row>
    <row r="3797">
      <c r="A3797" s="2"/>
      <c r="B3797" s="13"/>
      <c r="C3797" s="2"/>
      <c r="D3797" s="2"/>
      <c r="E3797" s="2"/>
      <c r="F3797" s="14"/>
      <c r="G3797" s="2"/>
      <c r="H3797" s="2"/>
    </row>
    <row r="3798">
      <c r="A3798" s="2"/>
      <c r="B3798" s="13"/>
      <c r="C3798" s="2"/>
      <c r="D3798" s="2"/>
      <c r="E3798" s="2"/>
      <c r="F3798" s="14"/>
      <c r="G3798" s="2"/>
      <c r="H3798" s="2"/>
    </row>
    <row r="3799">
      <c r="A3799" s="2"/>
      <c r="B3799" s="13"/>
      <c r="C3799" s="2"/>
      <c r="D3799" s="2"/>
      <c r="E3799" s="2"/>
      <c r="F3799" s="14"/>
      <c r="G3799" s="2"/>
      <c r="H3799" s="2"/>
    </row>
    <row r="3800">
      <c r="A3800" s="2"/>
      <c r="B3800" s="13"/>
      <c r="C3800" s="2"/>
      <c r="D3800" s="2"/>
      <c r="E3800" s="2"/>
      <c r="F3800" s="14"/>
      <c r="G3800" s="2"/>
      <c r="H3800" s="2"/>
    </row>
    <row r="3801">
      <c r="A3801" s="2"/>
      <c r="B3801" s="13"/>
      <c r="C3801" s="2"/>
      <c r="D3801" s="2"/>
      <c r="E3801" s="2"/>
      <c r="F3801" s="14"/>
      <c r="G3801" s="2"/>
      <c r="H3801" s="2"/>
    </row>
    <row r="3802">
      <c r="A3802" s="2"/>
      <c r="B3802" s="13"/>
      <c r="C3802" s="2"/>
      <c r="D3802" s="2"/>
      <c r="E3802" s="2"/>
      <c r="F3802" s="14"/>
      <c r="G3802" s="2"/>
      <c r="H3802" s="2"/>
    </row>
    <row r="3803">
      <c r="A3803" s="2"/>
      <c r="B3803" s="13"/>
      <c r="C3803" s="2"/>
      <c r="D3803" s="2"/>
      <c r="E3803" s="2"/>
      <c r="F3803" s="14"/>
      <c r="G3803" s="2"/>
      <c r="H3803" s="2"/>
    </row>
    <row r="3804">
      <c r="A3804" s="2"/>
      <c r="B3804" s="13"/>
      <c r="C3804" s="2"/>
      <c r="D3804" s="2"/>
      <c r="E3804" s="2"/>
      <c r="F3804" s="14"/>
      <c r="G3804" s="2"/>
      <c r="H3804" s="2"/>
    </row>
    <row r="3805">
      <c r="A3805" s="2"/>
      <c r="B3805" s="13"/>
      <c r="C3805" s="2"/>
      <c r="D3805" s="2"/>
      <c r="E3805" s="2"/>
      <c r="F3805" s="14"/>
      <c r="G3805" s="2"/>
      <c r="H3805" s="2"/>
    </row>
    <row r="3806">
      <c r="A3806" s="2"/>
      <c r="B3806" s="13"/>
      <c r="C3806" s="2"/>
      <c r="D3806" s="2"/>
      <c r="E3806" s="2"/>
      <c r="F3806" s="14"/>
      <c r="G3806" s="2"/>
      <c r="H3806" s="2"/>
    </row>
    <row r="3807">
      <c r="A3807" s="2"/>
      <c r="B3807" s="13"/>
      <c r="C3807" s="2"/>
      <c r="D3807" s="2"/>
      <c r="E3807" s="2"/>
      <c r="F3807" s="14"/>
      <c r="G3807" s="2"/>
      <c r="H3807" s="2"/>
    </row>
    <row r="3808">
      <c r="A3808" s="2"/>
      <c r="B3808" s="13"/>
      <c r="C3808" s="2"/>
      <c r="D3808" s="2"/>
      <c r="E3808" s="2"/>
      <c r="F3808" s="14"/>
      <c r="G3808" s="2"/>
      <c r="H3808" s="2"/>
    </row>
    <row r="3809">
      <c r="A3809" s="2"/>
      <c r="B3809" s="13"/>
      <c r="C3809" s="2"/>
      <c r="D3809" s="2"/>
      <c r="E3809" s="2"/>
      <c r="F3809" s="14"/>
      <c r="G3809" s="2"/>
      <c r="H3809" s="2"/>
    </row>
    <row r="3810">
      <c r="A3810" s="2"/>
      <c r="B3810" s="13"/>
      <c r="C3810" s="2"/>
      <c r="D3810" s="2"/>
      <c r="E3810" s="2"/>
      <c r="F3810" s="14"/>
      <c r="G3810" s="2"/>
      <c r="H3810" s="2"/>
    </row>
    <row r="3811">
      <c r="A3811" s="2"/>
      <c r="B3811" s="13"/>
      <c r="C3811" s="2"/>
      <c r="D3811" s="2"/>
      <c r="E3811" s="2"/>
      <c r="F3811" s="14"/>
      <c r="G3811" s="2"/>
      <c r="H3811" s="2"/>
    </row>
    <row r="3812">
      <c r="A3812" s="2"/>
      <c r="B3812" s="13"/>
      <c r="C3812" s="2"/>
      <c r="D3812" s="2"/>
      <c r="E3812" s="2"/>
      <c r="F3812" s="14"/>
      <c r="G3812" s="2"/>
      <c r="H3812" s="2"/>
    </row>
    <row r="3813">
      <c r="A3813" s="2"/>
      <c r="B3813" s="13"/>
      <c r="C3813" s="2"/>
      <c r="D3813" s="2"/>
      <c r="E3813" s="2"/>
      <c r="F3813" s="14"/>
      <c r="G3813" s="2"/>
      <c r="H3813" s="2"/>
    </row>
    <row r="3814">
      <c r="A3814" s="2"/>
      <c r="B3814" s="13"/>
      <c r="C3814" s="2"/>
      <c r="D3814" s="2"/>
      <c r="E3814" s="2"/>
      <c r="F3814" s="14"/>
      <c r="G3814" s="2"/>
      <c r="H3814" s="2"/>
    </row>
    <row r="3815">
      <c r="A3815" s="2"/>
      <c r="B3815" s="13"/>
      <c r="C3815" s="2"/>
      <c r="D3815" s="2"/>
      <c r="E3815" s="2"/>
      <c r="F3815" s="14"/>
      <c r="G3815" s="2"/>
      <c r="H3815" s="2"/>
    </row>
    <row r="3816">
      <c r="A3816" s="2"/>
      <c r="B3816" s="13"/>
      <c r="C3816" s="2"/>
      <c r="D3816" s="2"/>
      <c r="E3816" s="2"/>
      <c r="F3816" s="14"/>
      <c r="G3816" s="2"/>
      <c r="H3816" s="2"/>
    </row>
    <row r="3817">
      <c r="A3817" s="2"/>
      <c r="B3817" s="13"/>
      <c r="C3817" s="2"/>
      <c r="D3817" s="2"/>
      <c r="E3817" s="2"/>
      <c r="F3817" s="14"/>
      <c r="G3817" s="2"/>
      <c r="H3817" s="2"/>
    </row>
    <row r="3818">
      <c r="A3818" s="2"/>
      <c r="B3818" s="13"/>
      <c r="C3818" s="2"/>
      <c r="D3818" s="2"/>
      <c r="E3818" s="2"/>
      <c r="F3818" s="14"/>
      <c r="G3818" s="2"/>
      <c r="H3818" s="2"/>
    </row>
    <row r="3819">
      <c r="A3819" s="2"/>
      <c r="B3819" s="13"/>
      <c r="C3819" s="2"/>
      <c r="D3819" s="2"/>
      <c r="E3819" s="2"/>
      <c r="F3819" s="14"/>
      <c r="G3819" s="2"/>
      <c r="H3819" s="2"/>
    </row>
    <row r="3820">
      <c r="A3820" s="2"/>
      <c r="B3820" s="13"/>
      <c r="C3820" s="2"/>
      <c r="D3820" s="2"/>
      <c r="E3820" s="2"/>
      <c r="F3820" s="14"/>
      <c r="G3820" s="2"/>
      <c r="H3820" s="2"/>
    </row>
    <row r="3821">
      <c r="A3821" s="2"/>
      <c r="B3821" s="13"/>
      <c r="C3821" s="2"/>
      <c r="D3821" s="2"/>
      <c r="E3821" s="2"/>
      <c r="F3821" s="14"/>
      <c r="G3821" s="2"/>
      <c r="H3821" s="2"/>
    </row>
    <row r="3822">
      <c r="A3822" s="2"/>
      <c r="B3822" s="13"/>
      <c r="C3822" s="2"/>
      <c r="D3822" s="2"/>
      <c r="E3822" s="2"/>
      <c r="F3822" s="14"/>
      <c r="G3822" s="2"/>
      <c r="H3822" s="2"/>
    </row>
    <row r="3823">
      <c r="A3823" s="2"/>
      <c r="B3823" s="13"/>
      <c r="C3823" s="2"/>
      <c r="D3823" s="2"/>
      <c r="E3823" s="2"/>
      <c r="F3823" s="14"/>
      <c r="G3823" s="2"/>
      <c r="H3823" s="2"/>
    </row>
    <row r="3824">
      <c r="A3824" s="2"/>
      <c r="B3824" s="13"/>
      <c r="C3824" s="2"/>
      <c r="D3824" s="2"/>
      <c r="E3824" s="2"/>
      <c r="F3824" s="14"/>
      <c r="G3824" s="2"/>
      <c r="H3824" s="2"/>
    </row>
    <row r="3825">
      <c r="A3825" s="2"/>
      <c r="B3825" s="13"/>
      <c r="C3825" s="2"/>
      <c r="D3825" s="2"/>
      <c r="E3825" s="2"/>
      <c r="F3825" s="14"/>
      <c r="G3825" s="2"/>
      <c r="H3825" s="2"/>
    </row>
    <row r="3826">
      <c r="A3826" s="2"/>
      <c r="B3826" s="13"/>
      <c r="C3826" s="2"/>
      <c r="D3826" s="2"/>
      <c r="E3826" s="2"/>
      <c r="F3826" s="14"/>
      <c r="G3826" s="2"/>
      <c r="H3826" s="2"/>
    </row>
    <row r="3827">
      <c r="A3827" s="2"/>
      <c r="B3827" s="13"/>
      <c r="C3827" s="2"/>
      <c r="D3827" s="2"/>
      <c r="E3827" s="2"/>
      <c r="F3827" s="14"/>
      <c r="G3827" s="2"/>
      <c r="H3827" s="2"/>
    </row>
    <row r="3828">
      <c r="A3828" s="2"/>
      <c r="B3828" s="13"/>
      <c r="C3828" s="2"/>
      <c r="D3828" s="2"/>
      <c r="E3828" s="2"/>
      <c r="F3828" s="14"/>
      <c r="G3828" s="2"/>
      <c r="H3828" s="2"/>
    </row>
    <row r="3829">
      <c r="A3829" s="2"/>
      <c r="B3829" s="13"/>
      <c r="C3829" s="2"/>
      <c r="D3829" s="2"/>
      <c r="E3829" s="2"/>
      <c r="F3829" s="14"/>
      <c r="G3829" s="2"/>
      <c r="H3829" s="2"/>
    </row>
    <row r="3830">
      <c r="A3830" s="2"/>
      <c r="B3830" s="13"/>
      <c r="C3830" s="2"/>
      <c r="D3830" s="2"/>
      <c r="E3830" s="2"/>
      <c r="F3830" s="14"/>
      <c r="G3830" s="2"/>
      <c r="H3830" s="2"/>
    </row>
    <row r="3831">
      <c r="A3831" s="2"/>
      <c r="B3831" s="13"/>
      <c r="C3831" s="2"/>
      <c r="D3831" s="2"/>
      <c r="E3831" s="2"/>
      <c r="F3831" s="14"/>
      <c r="G3831" s="2"/>
      <c r="H3831" s="2"/>
    </row>
    <row r="3832">
      <c r="A3832" s="2"/>
      <c r="B3832" s="13"/>
      <c r="C3832" s="2"/>
      <c r="D3832" s="2"/>
      <c r="E3832" s="2"/>
      <c r="F3832" s="14"/>
      <c r="G3832" s="2"/>
      <c r="H3832" s="2"/>
    </row>
    <row r="3833">
      <c r="A3833" s="2"/>
      <c r="B3833" s="13"/>
      <c r="C3833" s="2"/>
      <c r="D3833" s="2"/>
      <c r="E3833" s="2"/>
      <c r="F3833" s="14"/>
      <c r="G3833" s="2"/>
      <c r="H3833" s="2"/>
    </row>
    <row r="3834">
      <c r="A3834" s="2"/>
      <c r="B3834" s="13"/>
      <c r="C3834" s="2"/>
      <c r="D3834" s="2"/>
      <c r="E3834" s="2"/>
      <c r="F3834" s="14"/>
      <c r="G3834" s="2"/>
      <c r="H3834" s="2"/>
    </row>
    <row r="3835">
      <c r="A3835" s="2"/>
      <c r="B3835" s="13"/>
      <c r="C3835" s="2"/>
      <c r="D3835" s="2"/>
      <c r="E3835" s="2"/>
      <c r="F3835" s="14"/>
      <c r="G3835" s="2"/>
      <c r="H3835" s="2"/>
    </row>
    <row r="3836">
      <c r="A3836" s="2"/>
      <c r="B3836" s="13"/>
      <c r="C3836" s="2"/>
      <c r="D3836" s="2"/>
      <c r="E3836" s="2"/>
      <c r="F3836" s="14"/>
      <c r="G3836" s="2"/>
      <c r="H3836" s="2"/>
    </row>
    <row r="3837">
      <c r="A3837" s="2"/>
      <c r="B3837" s="13"/>
      <c r="C3837" s="2"/>
      <c r="D3837" s="2"/>
      <c r="E3837" s="2"/>
      <c r="F3837" s="14"/>
      <c r="G3837" s="2"/>
      <c r="H3837" s="2"/>
    </row>
    <row r="3838">
      <c r="A3838" s="2"/>
      <c r="B3838" s="13"/>
      <c r="C3838" s="2"/>
      <c r="D3838" s="2"/>
      <c r="E3838" s="2"/>
      <c r="F3838" s="14"/>
      <c r="G3838" s="2"/>
      <c r="H3838" s="2"/>
    </row>
    <row r="3839">
      <c r="A3839" s="2"/>
      <c r="B3839" s="13"/>
      <c r="C3839" s="2"/>
      <c r="D3839" s="2"/>
      <c r="E3839" s="2"/>
      <c r="F3839" s="14"/>
      <c r="G3839" s="2"/>
      <c r="H3839" s="2"/>
    </row>
    <row r="3840">
      <c r="A3840" s="2"/>
      <c r="B3840" s="13"/>
      <c r="C3840" s="2"/>
      <c r="D3840" s="2"/>
      <c r="E3840" s="2"/>
      <c r="F3840" s="14"/>
      <c r="G3840" s="2"/>
      <c r="H3840" s="2"/>
    </row>
    <row r="3841">
      <c r="A3841" s="2"/>
      <c r="B3841" s="13"/>
      <c r="C3841" s="2"/>
      <c r="D3841" s="2"/>
      <c r="E3841" s="2"/>
      <c r="F3841" s="14"/>
      <c r="G3841" s="2"/>
      <c r="H3841" s="2"/>
    </row>
    <row r="3842">
      <c r="A3842" s="2"/>
      <c r="B3842" s="13"/>
      <c r="C3842" s="2"/>
      <c r="D3842" s="2"/>
      <c r="E3842" s="2"/>
      <c r="F3842" s="14"/>
      <c r="G3842" s="2"/>
      <c r="H3842" s="2"/>
    </row>
    <row r="3843">
      <c r="A3843" s="2"/>
      <c r="B3843" s="13"/>
      <c r="C3843" s="2"/>
      <c r="D3843" s="2"/>
      <c r="E3843" s="2"/>
      <c r="F3843" s="14"/>
      <c r="G3843" s="2"/>
      <c r="H3843" s="2"/>
    </row>
    <row r="3844">
      <c r="A3844" s="2"/>
      <c r="B3844" s="13"/>
      <c r="C3844" s="2"/>
      <c r="D3844" s="2"/>
      <c r="E3844" s="2"/>
      <c r="F3844" s="14"/>
      <c r="G3844" s="2"/>
      <c r="H3844" s="2"/>
    </row>
    <row r="3845">
      <c r="A3845" s="2"/>
      <c r="B3845" s="13"/>
      <c r="C3845" s="2"/>
      <c r="D3845" s="2"/>
      <c r="E3845" s="2"/>
      <c r="F3845" s="14"/>
      <c r="G3845" s="2"/>
      <c r="H3845" s="2"/>
    </row>
    <row r="3846">
      <c r="A3846" s="2"/>
      <c r="B3846" s="13"/>
      <c r="C3846" s="2"/>
      <c r="D3846" s="2"/>
      <c r="E3846" s="2"/>
      <c r="F3846" s="14"/>
      <c r="G3846" s="2"/>
      <c r="H3846" s="2"/>
    </row>
    <row r="3847">
      <c r="A3847" s="2"/>
      <c r="B3847" s="13"/>
      <c r="C3847" s="2"/>
      <c r="D3847" s="2"/>
      <c r="E3847" s="2"/>
      <c r="F3847" s="14"/>
      <c r="G3847" s="2"/>
      <c r="H3847" s="2"/>
    </row>
    <row r="3848">
      <c r="A3848" s="2"/>
      <c r="B3848" s="13"/>
      <c r="C3848" s="2"/>
      <c r="D3848" s="2"/>
      <c r="E3848" s="2"/>
      <c r="F3848" s="14"/>
      <c r="G3848" s="2"/>
      <c r="H3848" s="2"/>
    </row>
    <row r="3849">
      <c r="A3849" s="2"/>
      <c r="B3849" s="13"/>
      <c r="C3849" s="2"/>
      <c r="D3849" s="2"/>
      <c r="E3849" s="2"/>
      <c r="F3849" s="14"/>
      <c r="G3849" s="2"/>
      <c r="H3849" s="2"/>
    </row>
    <row r="3850">
      <c r="A3850" s="2"/>
      <c r="B3850" s="13"/>
      <c r="C3850" s="2"/>
      <c r="D3850" s="2"/>
      <c r="E3850" s="2"/>
      <c r="F3850" s="14"/>
      <c r="G3850" s="2"/>
      <c r="H3850" s="2"/>
    </row>
    <row r="3851">
      <c r="A3851" s="2"/>
      <c r="B3851" s="13"/>
      <c r="C3851" s="2"/>
      <c r="D3851" s="2"/>
      <c r="E3851" s="2"/>
      <c r="F3851" s="14"/>
      <c r="G3851" s="2"/>
      <c r="H3851" s="2"/>
    </row>
    <row r="3852">
      <c r="A3852" s="2"/>
      <c r="B3852" s="13"/>
      <c r="C3852" s="2"/>
      <c r="D3852" s="2"/>
      <c r="E3852" s="2"/>
      <c r="F3852" s="14"/>
      <c r="G3852" s="2"/>
      <c r="H3852" s="2"/>
    </row>
    <row r="3853">
      <c r="A3853" s="2"/>
      <c r="B3853" s="13"/>
      <c r="C3853" s="2"/>
      <c r="D3853" s="2"/>
      <c r="E3853" s="2"/>
      <c r="F3853" s="14"/>
      <c r="G3853" s="2"/>
      <c r="H3853" s="2"/>
    </row>
    <row r="3854">
      <c r="A3854" s="2"/>
      <c r="B3854" s="13"/>
      <c r="C3854" s="2"/>
      <c r="D3854" s="2"/>
      <c r="E3854" s="2"/>
      <c r="F3854" s="14"/>
      <c r="G3854" s="2"/>
      <c r="H3854" s="2"/>
    </row>
    <row r="3855">
      <c r="A3855" s="2"/>
      <c r="B3855" s="13"/>
      <c r="C3855" s="2"/>
      <c r="D3855" s="2"/>
      <c r="E3855" s="2"/>
      <c r="F3855" s="14"/>
      <c r="G3855" s="2"/>
      <c r="H3855" s="2"/>
    </row>
    <row r="3856">
      <c r="A3856" s="2"/>
      <c r="B3856" s="13"/>
      <c r="C3856" s="2"/>
      <c r="D3856" s="2"/>
      <c r="E3856" s="2"/>
      <c r="F3856" s="14"/>
      <c r="G3856" s="2"/>
      <c r="H3856" s="2"/>
    </row>
    <row r="3857">
      <c r="A3857" s="2"/>
      <c r="B3857" s="13"/>
      <c r="C3857" s="2"/>
      <c r="D3857" s="2"/>
      <c r="E3857" s="2"/>
      <c r="F3857" s="14"/>
      <c r="G3857" s="2"/>
      <c r="H3857" s="2"/>
    </row>
    <row r="3858">
      <c r="A3858" s="2"/>
      <c r="B3858" s="13"/>
      <c r="C3858" s="2"/>
      <c r="D3858" s="2"/>
      <c r="E3858" s="2"/>
      <c r="F3858" s="14"/>
      <c r="G3858" s="2"/>
      <c r="H3858" s="2"/>
    </row>
    <row r="3859">
      <c r="A3859" s="2"/>
      <c r="B3859" s="13"/>
      <c r="C3859" s="2"/>
      <c r="D3859" s="2"/>
      <c r="E3859" s="2"/>
      <c r="F3859" s="14"/>
      <c r="G3859" s="2"/>
      <c r="H3859" s="2"/>
    </row>
    <row r="3860">
      <c r="A3860" s="2"/>
      <c r="B3860" s="13"/>
      <c r="C3860" s="2"/>
      <c r="D3860" s="2"/>
      <c r="E3860" s="2"/>
      <c r="F3860" s="14"/>
      <c r="G3860" s="2"/>
      <c r="H3860" s="2"/>
    </row>
    <row r="3861">
      <c r="A3861" s="2"/>
      <c r="B3861" s="13"/>
      <c r="C3861" s="2"/>
      <c r="D3861" s="2"/>
      <c r="E3861" s="2"/>
      <c r="F3861" s="14"/>
      <c r="G3861" s="2"/>
      <c r="H3861" s="2"/>
    </row>
    <row r="3862">
      <c r="A3862" s="2"/>
      <c r="B3862" s="13"/>
      <c r="C3862" s="2"/>
      <c r="D3862" s="2"/>
      <c r="E3862" s="2"/>
      <c r="F3862" s="14"/>
      <c r="G3862" s="2"/>
      <c r="H3862" s="2"/>
    </row>
    <row r="3863">
      <c r="A3863" s="2"/>
      <c r="B3863" s="13"/>
      <c r="C3863" s="2"/>
      <c r="D3863" s="2"/>
      <c r="E3863" s="2"/>
      <c r="F3863" s="14"/>
      <c r="G3863" s="2"/>
      <c r="H3863" s="2"/>
    </row>
    <row r="3864">
      <c r="A3864" s="2"/>
      <c r="B3864" s="13"/>
      <c r="C3864" s="2"/>
      <c r="D3864" s="2"/>
      <c r="E3864" s="2"/>
      <c r="F3864" s="14"/>
      <c r="G3864" s="2"/>
      <c r="H3864" s="2"/>
    </row>
    <row r="3865">
      <c r="A3865" s="2"/>
      <c r="B3865" s="13"/>
      <c r="C3865" s="2"/>
      <c r="D3865" s="2"/>
      <c r="E3865" s="2"/>
      <c r="F3865" s="14"/>
      <c r="G3865" s="2"/>
      <c r="H3865" s="2"/>
    </row>
    <row r="3866">
      <c r="A3866" s="2"/>
      <c r="B3866" s="13"/>
      <c r="C3866" s="2"/>
      <c r="D3866" s="2"/>
      <c r="E3866" s="2"/>
      <c r="F3866" s="14"/>
      <c r="G3866" s="2"/>
      <c r="H3866" s="2"/>
    </row>
    <row r="3867">
      <c r="A3867" s="2"/>
      <c r="B3867" s="13"/>
      <c r="C3867" s="2"/>
      <c r="D3867" s="2"/>
      <c r="E3867" s="2"/>
      <c r="F3867" s="14"/>
      <c r="G3867" s="2"/>
      <c r="H3867" s="2"/>
    </row>
    <row r="3868">
      <c r="A3868" s="2"/>
      <c r="B3868" s="13"/>
      <c r="C3868" s="2"/>
      <c r="D3868" s="2"/>
      <c r="E3868" s="2"/>
      <c r="F3868" s="14"/>
      <c r="G3868" s="2"/>
      <c r="H3868" s="2"/>
    </row>
    <row r="3869">
      <c r="A3869" s="2"/>
      <c r="B3869" s="13"/>
      <c r="C3869" s="2"/>
      <c r="D3869" s="2"/>
      <c r="E3869" s="2"/>
      <c r="F3869" s="14"/>
      <c r="G3869" s="2"/>
      <c r="H3869" s="2"/>
    </row>
    <row r="3870">
      <c r="A3870" s="2"/>
      <c r="B3870" s="13"/>
      <c r="C3870" s="2"/>
      <c r="D3870" s="2"/>
      <c r="E3870" s="2"/>
      <c r="F3870" s="14"/>
      <c r="G3870" s="2"/>
      <c r="H3870" s="2"/>
    </row>
    <row r="3871">
      <c r="A3871" s="2"/>
      <c r="B3871" s="13"/>
      <c r="C3871" s="2"/>
      <c r="D3871" s="2"/>
      <c r="E3871" s="2"/>
      <c r="F3871" s="14"/>
      <c r="G3871" s="2"/>
      <c r="H3871" s="2"/>
    </row>
    <row r="3872">
      <c r="A3872" s="2"/>
      <c r="B3872" s="13"/>
      <c r="C3872" s="2"/>
      <c r="D3872" s="2"/>
      <c r="E3872" s="2"/>
      <c r="F3872" s="14"/>
      <c r="G3872" s="2"/>
      <c r="H3872" s="2"/>
    </row>
    <row r="3873">
      <c r="A3873" s="2"/>
      <c r="B3873" s="13"/>
      <c r="C3873" s="2"/>
      <c r="D3873" s="2"/>
      <c r="E3873" s="2"/>
      <c r="F3873" s="14"/>
      <c r="G3873" s="2"/>
      <c r="H3873" s="2"/>
    </row>
    <row r="3874">
      <c r="A3874" s="2"/>
      <c r="B3874" s="13"/>
      <c r="C3874" s="2"/>
      <c r="D3874" s="2"/>
      <c r="E3874" s="2"/>
      <c r="F3874" s="14"/>
      <c r="G3874" s="2"/>
      <c r="H3874" s="2"/>
    </row>
    <row r="3875">
      <c r="A3875" s="2"/>
      <c r="B3875" s="13"/>
      <c r="C3875" s="2"/>
      <c r="D3875" s="2"/>
      <c r="E3875" s="2"/>
      <c r="F3875" s="14"/>
      <c r="G3875" s="2"/>
      <c r="H3875" s="2"/>
    </row>
    <row r="3876">
      <c r="A3876" s="2"/>
      <c r="B3876" s="13"/>
      <c r="C3876" s="2"/>
      <c r="D3876" s="2"/>
      <c r="E3876" s="2"/>
      <c r="F3876" s="14"/>
      <c r="G3876" s="2"/>
      <c r="H3876" s="2"/>
    </row>
    <row r="3877">
      <c r="A3877" s="2"/>
      <c r="B3877" s="13"/>
      <c r="C3877" s="2"/>
      <c r="D3877" s="2"/>
      <c r="E3877" s="2"/>
      <c r="F3877" s="14"/>
      <c r="G3877" s="2"/>
      <c r="H3877" s="2"/>
    </row>
    <row r="3878">
      <c r="A3878" s="2"/>
      <c r="B3878" s="13"/>
      <c r="C3878" s="2"/>
      <c r="D3878" s="2"/>
      <c r="E3878" s="2"/>
      <c r="F3878" s="14"/>
      <c r="G3878" s="2"/>
      <c r="H3878" s="2"/>
    </row>
    <row r="3879">
      <c r="A3879" s="2"/>
      <c r="B3879" s="13"/>
      <c r="C3879" s="2"/>
      <c r="D3879" s="2"/>
      <c r="E3879" s="2"/>
      <c r="F3879" s="14"/>
      <c r="G3879" s="2"/>
      <c r="H3879" s="2"/>
    </row>
    <row r="3880">
      <c r="A3880" s="2"/>
      <c r="B3880" s="13"/>
      <c r="C3880" s="2"/>
      <c r="D3880" s="2"/>
      <c r="E3880" s="2"/>
      <c r="F3880" s="14"/>
      <c r="G3880" s="2"/>
      <c r="H3880" s="2"/>
    </row>
    <row r="3881">
      <c r="A3881" s="2"/>
      <c r="B3881" s="13"/>
      <c r="C3881" s="2"/>
      <c r="D3881" s="2"/>
      <c r="E3881" s="2"/>
      <c r="F3881" s="14"/>
      <c r="G3881" s="2"/>
      <c r="H3881" s="2"/>
    </row>
    <row r="3882">
      <c r="A3882" s="2"/>
      <c r="B3882" s="13"/>
      <c r="C3882" s="2"/>
      <c r="D3882" s="2"/>
      <c r="E3882" s="2"/>
      <c r="F3882" s="14"/>
      <c r="G3882" s="2"/>
      <c r="H3882" s="2"/>
    </row>
    <row r="3883">
      <c r="A3883" s="2"/>
      <c r="B3883" s="13"/>
      <c r="C3883" s="2"/>
      <c r="D3883" s="2"/>
      <c r="E3883" s="2"/>
      <c r="F3883" s="14"/>
      <c r="G3883" s="2"/>
      <c r="H3883" s="2"/>
    </row>
    <row r="3884">
      <c r="A3884" s="2"/>
      <c r="B3884" s="13"/>
      <c r="C3884" s="2"/>
      <c r="D3884" s="2"/>
      <c r="E3884" s="2"/>
      <c r="F3884" s="14"/>
      <c r="G3884" s="2"/>
      <c r="H3884" s="2"/>
    </row>
    <row r="3885">
      <c r="A3885" s="2"/>
      <c r="B3885" s="13"/>
      <c r="C3885" s="2"/>
      <c r="D3885" s="2"/>
      <c r="E3885" s="2"/>
      <c r="F3885" s="14"/>
      <c r="G3885" s="2"/>
      <c r="H3885" s="2"/>
    </row>
    <row r="3886">
      <c r="A3886" s="2"/>
      <c r="B3886" s="13"/>
      <c r="C3886" s="2"/>
      <c r="D3886" s="2"/>
      <c r="E3886" s="2"/>
      <c r="F3886" s="14"/>
      <c r="G3886" s="2"/>
      <c r="H3886" s="2"/>
    </row>
    <row r="3887">
      <c r="A3887" s="2"/>
      <c r="B3887" s="13"/>
      <c r="C3887" s="2"/>
      <c r="D3887" s="2"/>
      <c r="E3887" s="2"/>
      <c r="F3887" s="14"/>
      <c r="G3887" s="2"/>
      <c r="H3887" s="2"/>
    </row>
    <row r="3888">
      <c r="A3888" s="2"/>
      <c r="B3888" s="13"/>
      <c r="C3888" s="2"/>
      <c r="D3888" s="2"/>
      <c r="E3888" s="2"/>
      <c r="F3888" s="14"/>
      <c r="G3888" s="2"/>
      <c r="H3888" s="2"/>
    </row>
    <row r="3889">
      <c r="A3889" s="2"/>
      <c r="B3889" s="13"/>
      <c r="C3889" s="2"/>
      <c r="D3889" s="2"/>
      <c r="E3889" s="2"/>
      <c r="F3889" s="14"/>
      <c r="G3889" s="2"/>
      <c r="H3889" s="2"/>
    </row>
    <row r="3890">
      <c r="A3890" s="2"/>
      <c r="B3890" s="13"/>
      <c r="C3890" s="2"/>
      <c r="D3890" s="2"/>
      <c r="E3890" s="2"/>
      <c r="F3890" s="14"/>
      <c r="G3890" s="2"/>
      <c r="H3890" s="2"/>
    </row>
    <row r="3891">
      <c r="A3891" s="2"/>
      <c r="B3891" s="13"/>
      <c r="C3891" s="2"/>
      <c r="D3891" s="2"/>
      <c r="E3891" s="2"/>
      <c r="F3891" s="14"/>
      <c r="G3891" s="2"/>
      <c r="H3891" s="2"/>
    </row>
    <row r="3892">
      <c r="A3892" s="2"/>
      <c r="B3892" s="13"/>
      <c r="C3892" s="2"/>
      <c r="D3892" s="2"/>
      <c r="E3892" s="2"/>
      <c r="F3892" s="14"/>
      <c r="G3892" s="2"/>
      <c r="H3892" s="2"/>
    </row>
    <row r="3893">
      <c r="A3893" s="2"/>
      <c r="B3893" s="13"/>
      <c r="C3893" s="2"/>
      <c r="D3893" s="2"/>
      <c r="E3893" s="2"/>
      <c r="F3893" s="14"/>
      <c r="G3893" s="2"/>
      <c r="H3893" s="2"/>
    </row>
    <row r="3894">
      <c r="A3894" s="2"/>
      <c r="B3894" s="13"/>
      <c r="C3894" s="2"/>
      <c r="D3894" s="2"/>
      <c r="E3894" s="2"/>
      <c r="F3894" s="14"/>
      <c r="G3894" s="2"/>
      <c r="H3894" s="2"/>
    </row>
    <row r="3895">
      <c r="A3895" s="2"/>
      <c r="B3895" s="13"/>
      <c r="C3895" s="2"/>
      <c r="D3895" s="2"/>
      <c r="E3895" s="2"/>
      <c r="F3895" s="14"/>
      <c r="G3895" s="2"/>
      <c r="H3895" s="2"/>
    </row>
    <row r="3896">
      <c r="A3896" s="2"/>
      <c r="B3896" s="13"/>
      <c r="C3896" s="2"/>
      <c r="D3896" s="2"/>
      <c r="E3896" s="2"/>
      <c r="F3896" s="14"/>
      <c r="G3896" s="2"/>
      <c r="H3896" s="2"/>
    </row>
    <row r="3897">
      <c r="A3897" s="2"/>
      <c r="B3897" s="13"/>
      <c r="C3897" s="2"/>
      <c r="D3897" s="2"/>
      <c r="E3897" s="2"/>
      <c r="F3897" s="14"/>
      <c r="G3897" s="2"/>
      <c r="H3897" s="2"/>
    </row>
    <row r="3898">
      <c r="A3898" s="2"/>
      <c r="B3898" s="13"/>
      <c r="C3898" s="2"/>
      <c r="D3898" s="2"/>
      <c r="E3898" s="2"/>
      <c r="F3898" s="14"/>
      <c r="G3898" s="2"/>
      <c r="H3898" s="2"/>
    </row>
    <row r="3899">
      <c r="A3899" s="2"/>
      <c r="B3899" s="13"/>
      <c r="C3899" s="2"/>
      <c r="D3899" s="2"/>
      <c r="E3899" s="2"/>
      <c r="F3899" s="14"/>
      <c r="G3899" s="2"/>
      <c r="H3899" s="2"/>
    </row>
    <row r="3900">
      <c r="A3900" s="2"/>
      <c r="B3900" s="13"/>
      <c r="C3900" s="2"/>
      <c r="D3900" s="2"/>
      <c r="E3900" s="2"/>
      <c r="F3900" s="14"/>
      <c r="G3900" s="2"/>
      <c r="H3900" s="2"/>
    </row>
    <row r="3901">
      <c r="A3901" s="2"/>
      <c r="B3901" s="13"/>
      <c r="C3901" s="2"/>
      <c r="D3901" s="2"/>
      <c r="E3901" s="2"/>
      <c r="F3901" s="14"/>
      <c r="G3901" s="2"/>
      <c r="H3901" s="2"/>
    </row>
    <row r="3902">
      <c r="A3902" s="2"/>
      <c r="B3902" s="13"/>
      <c r="C3902" s="2"/>
      <c r="D3902" s="2"/>
      <c r="E3902" s="2"/>
      <c r="F3902" s="14"/>
      <c r="G3902" s="2"/>
      <c r="H3902" s="2"/>
    </row>
    <row r="3903">
      <c r="A3903" s="2"/>
      <c r="B3903" s="13"/>
      <c r="C3903" s="2"/>
      <c r="D3903" s="2"/>
      <c r="E3903" s="2"/>
      <c r="F3903" s="14"/>
      <c r="G3903" s="2"/>
      <c r="H3903" s="2"/>
    </row>
    <row r="3904">
      <c r="A3904" s="2"/>
      <c r="B3904" s="13"/>
      <c r="C3904" s="2"/>
      <c r="D3904" s="2"/>
      <c r="E3904" s="2"/>
      <c r="F3904" s="14"/>
      <c r="G3904" s="2"/>
      <c r="H3904" s="2"/>
    </row>
    <row r="3905">
      <c r="A3905" s="2"/>
      <c r="B3905" s="13"/>
      <c r="C3905" s="2"/>
      <c r="D3905" s="2"/>
      <c r="E3905" s="2"/>
      <c r="F3905" s="14"/>
      <c r="G3905" s="2"/>
      <c r="H3905" s="2"/>
    </row>
    <row r="3906">
      <c r="A3906" s="2"/>
      <c r="B3906" s="13"/>
      <c r="C3906" s="2"/>
      <c r="D3906" s="2"/>
      <c r="E3906" s="2"/>
      <c r="F3906" s="14"/>
      <c r="G3906" s="2"/>
      <c r="H3906" s="2"/>
    </row>
    <row r="3907">
      <c r="A3907" s="2"/>
      <c r="B3907" s="13"/>
      <c r="C3907" s="2"/>
      <c r="D3907" s="2"/>
      <c r="E3907" s="2"/>
      <c r="F3907" s="14"/>
      <c r="G3907" s="2"/>
      <c r="H3907" s="2"/>
    </row>
    <row r="3908">
      <c r="A3908" s="2"/>
      <c r="B3908" s="13"/>
      <c r="C3908" s="2"/>
      <c r="D3908" s="2"/>
      <c r="E3908" s="2"/>
      <c r="F3908" s="14"/>
      <c r="G3908" s="2"/>
      <c r="H3908" s="2"/>
    </row>
    <row r="3909">
      <c r="A3909" s="2"/>
      <c r="B3909" s="13"/>
      <c r="C3909" s="2"/>
      <c r="D3909" s="2"/>
      <c r="E3909" s="2"/>
      <c r="F3909" s="14"/>
      <c r="G3909" s="2"/>
      <c r="H3909" s="2"/>
    </row>
    <row r="3910">
      <c r="A3910" s="2"/>
      <c r="B3910" s="13"/>
      <c r="C3910" s="2"/>
      <c r="D3910" s="2"/>
      <c r="E3910" s="2"/>
      <c r="F3910" s="14"/>
      <c r="G3910" s="2"/>
      <c r="H3910" s="2"/>
    </row>
    <row r="3911">
      <c r="A3911" s="2"/>
      <c r="B3911" s="13"/>
      <c r="C3911" s="2"/>
      <c r="D3911" s="2"/>
      <c r="E3911" s="2"/>
      <c r="F3911" s="14"/>
      <c r="G3911" s="2"/>
      <c r="H3911" s="2"/>
    </row>
    <row r="3912">
      <c r="A3912" s="2"/>
      <c r="B3912" s="13"/>
      <c r="C3912" s="2"/>
      <c r="D3912" s="2"/>
      <c r="E3912" s="2"/>
      <c r="F3912" s="14"/>
      <c r="G3912" s="2"/>
      <c r="H3912" s="2"/>
    </row>
    <row r="3913">
      <c r="A3913" s="2"/>
      <c r="B3913" s="13"/>
      <c r="C3913" s="2"/>
      <c r="D3913" s="2"/>
      <c r="E3913" s="2"/>
      <c r="F3913" s="14"/>
      <c r="G3913" s="2"/>
      <c r="H3913" s="2"/>
    </row>
    <row r="3914">
      <c r="A3914" s="2"/>
      <c r="B3914" s="13"/>
      <c r="C3914" s="2"/>
      <c r="D3914" s="2"/>
      <c r="E3914" s="2"/>
      <c r="F3914" s="14"/>
      <c r="G3914" s="2"/>
      <c r="H3914" s="2"/>
    </row>
    <row r="3915">
      <c r="A3915" s="2"/>
      <c r="B3915" s="13"/>
      <c r="C3915" s="2"/>
      <c r="D3915" s="2"/>
      <c r="E3915" s="2"/>
      <c r="F3915" s="14"/>
      <c r="G3915" s="2"/>
      <c r="H3915" s="2"/>
    </row>
    <row r="3916">
      <c r="A3916" s="2"/>
      <c r="B3916" s="13"/>
      <c r="C3916" s="2"/>
      <c r="D3916" s="2"/>
      <c r="E3916" s="2"/>
      <c r="F3916" s="14"/>
      <c r="G3916" s="2"/>
      <c r="H3916" s="2"/>
    </row>
    <row r="3917">
      <c r="A3917" s="2"/>
      <c r="B3917" s="13"/>
      <c r="C3917" s="2"/>
      <c r="D3917" s="2"/>
      <c r="E3917" s="2"/>
      <c r="F3917" s="14"/>
      <c r="G3917" s="2"/>
      <c r="H3917" s="2"/>
    </row>
    <row r="3918">
      <c r="A3918" s="2"/>
      <c r="B3918" s="13"/>
      <c r="C3918" s="2"/>
      <c r="D3918" s="2"/>
      <c r="E3918" s="2"/>
      <c r="F3918" s="14"/>
      <c r="G3918" s="2"/>
      <c r="H3918" s="2"/>
    </row>
    <row r="3919">
      <c r="A3919" s="2"/>
      <c r="B3919" s="13"/>
      <c r="C3919" s="2"/>
      <c r="D3919" s="2"/>
      <c r="E3919" s="2"/>
      <c r="F3919" s="14"/>
      <c r="G3919" s="2"/>
      <c r="H3919" s="2"/>
    </row>
    <row r="3920">
      <c r="A3920" s="2"/>
      <c r="B3920" s="13"/>
      <c r="C3920" s="2"/>
      <c r="D3920" s="2"/>
      <c r="E3920" s="2"/>
      <c r="F3920" s="14"/>
      <c r="G3920" s="2"/>
      <c r="H3920" s="2"/>
    </row>
    <row r="3921">
      <c r="A3921" s="2"/>
      <c r="B3921" s="13"/>
      <c r="C3921" s="2"/>
      <c r="D3921" s="2"/>
      <c r="E3921" s="2"/>
      <c r="F3921" s="14"/>
      <c r="G3921" s="2"/>
      <c r="H3921" s="2"/>
    </row>
    <row r="3922">
      <c r="A3922" s="2"/>
      <c r="B3922" s="13"/>
      <c r="C3922" s="2"/>
      <c r="D3922" s="2"/>
      <c r="E3922" s="2"/>
      <c r="F3922" s="14"/>
      <c r="G3922" s="2"/>
      <c r="H3922" s="2"/>
    </row>
    <row r="3923">
      <c r="A3923" s="2"/>
      <c r="B3923" s="13"/>
      <c r="C3923" s="2"/>
      <c r="D3923" s="2"/>
      <c r="E3923" s="2"/>
      <c r="F3923" s="14"/>
      <c r="G3923" s="2"/>
      <c r="H3923" s="2"/>
    </row>
    <row r="3924">
      <c r="A3924" s="2"/>
      <c r="B3924" s="13"/>
      <c r="C3924" s="2"/>
      <c r="D3924" s="2"/>
      <c r="E3924" s="2"/>
      <c r="F3924" s="14"/>
      <c r="G3924" s="2"/>
      <c r="H3924" s="2"/>
    </row>
    <row r="3925">
      <c r="A3925" s="2"/>
      <c r="B3925" s="13"/>
      <c r="C3925" s="2"/>
      <c r="D3925" s="2"/>
      <c r="E3925" s="2"/>
      <c r="F3925" s="14"/>
      <c r="G3925" s="2"/>
      <c r="H3925" s="2"/>
    </row>
    <row r="3926">
      <c r="A3926" s="2"/>
      <c r="B3926" s="13"/>
      <c r="C3926" s="2"/>
      <c r="D3926" s="2"/>
      <c r="E3926" s="2"/>
      <c r="F3926" s="14"/>
      <c r="G3926" s="2"/>
      <c r="H3926" s="2"/>
    </row>
    <row r="3927">
      <c r="A3927" s="2"/>
      <c r="B3927" s="13"/>
      <c r="C3927" s="2"/>
      <c r="D3927" s="2"/>
      <c r="E3927" s="2"/>
      <c r="F3927" s="14"/>
      <c r="G3927" s="2"/>
      <c r="H3927" s="2"/>
    </row>
    <row r="3928">
      <c r="A3928" s="2"/>
      <c r="B3928" s="13"/>
      <c r="C3928" s="2"/>
      <c r="D3928" s="2"/>
      <c r="E3928" s="2"/>
      <c r="F3928" s="14"/>
      <c r="G3928" s="2"/>
      <c r="H3928" s="2"/>
    </row>
    <row r="3929">
      <c r="A3929" s="2"/>
      <c r="B3929" s="13"/>
      <c r="C3929" s="2"/>
      <c r="D3929" s="2"/>
      <c r="E3929" s="2"/>
      <c r="F3929" s="14"/>
      <c r="G3929" s="2"/>
      <c r="H3929" s="2"/>
    </row>
    <row r="3930">
      <c r="A3930" s="2"/>
      <c r="B3930" s="13"/>
      <c r="C3930" s="2"/>
      <c r="D3930" s="2"/>
      <c r="E3930" s="2"/>
      <c r="F3930" s="14"/>
      <c r="G3930" s="2"/>
      <c r="H3930" s="2"/>
    </row>
    <row r="3931">
      <c r="A3931" s="2"/>
      <c r="B3931" s="13"/>
      <c r="C3931" s="2"/>
      <c r="D3931" s="2"/>
      <c r="E3931" s="2"/>
      <c r="F3931" s="14"/>
      <c r="G3931" s="2"/>
      <c r="H3931" s="2"/>
    </row>
    <row r="3932">
      <c r="A3932" s="2"/>
      <c r="B3932" s="13"/>
      <c r="C3932" s="2"/>
      <c r="D3932" s="2"/>
      <c r="E3932" s="2"/>
      <c r="F3932" s="14"/>
      <c r="G3932" s="2"/>
      <c r="H3932" s="2"/>
    </row>
    <row r="3933">
      <c r="A3933" s="2"/>
      <c r="B3933" s="13"/>
      <c r="C3933" s="2"/>
      <c r="D3933" s="2"/>
      <c r="E3933" s="2"/>
      <c r="F3933" s="14"/>
      <c r="G3933" s="2"/>
      <c r="H3933" s="2"/>
    </row>
    <row r="3934">
      <c r="A3934" s="2"/>
      <c r="B3934" s="13"/>
      <c r="C3934" s="2"/>
      <c r="D3934" s="2"/>
      <c r="E3934" s="2"/>
      <c r="F3934" s="14"/>
      <c r="G3934" s="2"/>
      <c r="H3934" s="2"/>
    </row>
    <row r="3935">
      <c r="A3935" s="2"/>
      <c r="B3935" s="13"/>
      <c r="C3935" s="2"/>
      <c r="D3935" s="2"/>
      <c r="E3935" s="2"/>
      <c r="F3935" s="14"/>
      <c r="G3935" s="2"/>
      <c r="H3935" s="2"/>
    </row>
    <row r="3936">
      <c r="A3936" s="2"/>
      <c r="B3936" s="13"/>
      <c r="C3936" s="2"/>
      <c r="D3936" s="2"/>
      <c r="E3936" s="2"/>
      <c r="F3936" s="14"/>
      <c r="G3936" s="2"/>
      <c r="H3936" s="2"/>
    </row>
    <row r="3937">
      <c r="A3937" s="2"/>
      <c r="B3937" s="13"/>
      <c r="C3937" s="2"/>
      <c r="D3937" s="2"/>
      <c r="E3937" s="2"/>
      <c r="F3937" s="14"/>
      <c r="G3937" s="2"/>
      <c r="H3937" s="2"/>
    </row>
    <row r="3938">
      <c r="A3938" s="2"/>
      <c r="B3938" s="13"/>
      <c r="C3938" s="2"/>
      <c r="D3938" s="2"/>
      <c r="E3938" s="2"/>
      <c r="F3938" s="14"/>
      <c r="G3938" s="2"/>
      <c r="H3938" s="2"/>
    </row>
    <row r="3939">
      <c r="A3939" s="2"/>
      <c r="B3939" s="13"/>
      <c r="C3939" s="2"/>
      <c r="D3939" s="2"/>
      <c r="E3939" s="2"/>
      <c r="F3939" s="14"/>
      <c r="G3939" s="2"/>
      <c r="H3939" s="2"/>
    </row>
    <row r="3940">
      <c r="A3940" s="2"/>
      <c r="B3940" s="13"/>
      <c r="C3940" s="2"/>
      <c r="D3940" s="2"/>
      <c r="E3940" s="2"/>
      <c r="F3940" s="14"/>
      <c r="G3940" s="2"/>
      <c r="H3940" s="2"/>
    </row>
    <row r="3941">
      <c r="A3941" s="2"/>
      <c r="B3941" s="13"/>
      <c r="C3941" s="2"/>
      <c r="D3941" s="2"/>
      <c r="E3941" s="2"/>
      <c r="F3941" s="14"/>
      <c r="G3941" s="2"/>
      <c r="H3941" s="2"/>
    </row>
    <row r="3942">
      <c r="A3942" s="2"/>
      <c r="B3942" s="13"/>
      <c r="C3942" s="2"/>
      <c r="D3942" s="2"/>
      <c r="E3942" s="2"/>
      <c r="F3942" s="14"/>
      <c r="G3942" s="2"/>
      <c r="H3942" s="2"/>
    </row>
    <row r="3943">
      <c r="A3943" s="2"/>
      <c r="B3943" s="13"/>
      <c r="C3943" s="2"/>
      <c r="D3943" s="2"/>
      <c r="E3943" s="2"/>
      <c r="F3943" s="14"/>
      <c r="G3943" s="2"/>
      <c r="H3943" s="2"/>
    </row>
    <row r="3944">
      <c r="A3944" s="2"/>
      <c r="B3944" s="13"/>
      <c r="C3944" s="2"/>
      <c r="D3944" s="2"/>
      <c r="E3944" s="2"/>
      <c r="F3944" s="14"/>
      <c r="G3944" s="2"/>
      <c r="H3944" s="2"/>
    </row>
    <row r="3945">
      <c r="A3945" s="2"/>
      <c r="B3945" s="13"/>
      <c r="C3945" s="2"/>
      <c r="D3945" s="2"/>
      <c r="E3945" s="2"/>
      <c r="F3945" s="14"/>
      <c r="G3945" s="2"/>
      <c r="H3945" s="2"/>
    </row>
    <row r="3946">
      <c r="A3946" s="2"/>
      <c r="B3946" s="13"/>
      <c r="C3946" s="2"/>
      <c r="D3946" s="2"/>
      <c r="E3946" s="2"/>
      <c r="F3946" s="14"/>
      <c r="G3946" s="2"/>
      <c r="H3946" s="2"/>
    </row>
    <row r="3947">
      <c r="A3947" s="2"/>
      <c r="B3947" s="13"/>
      <c r="C3947" s="2"/>
      <c r="D3947" s="2"/>
      <c r="E3947" s="2"/>
      <c r="F3947" s="14"/>
      <c r="G3947" s="2"/>
      <c r="H3947" s="2"/>
    </row>
    <row r="3948">
      <c r="A3948" s="2"/>
      <c r="B3948" s="13"/>
      <c r="C3948" s="2"/>
      <c r="D3948" s="2"/>
      <c r="E3948" s="2"/>
      <c r="F3948" s="14"/>
      <c r="G3948" s="2"/>
      <c r="H3948" s="2"/>
    </row>
    <row r="3949">
      <c r="A3949" s="2"/>
      <c r="B3949" s="13"/>
      <c r="C3949" s="2"/>
      <c r="D3949" s="2"/>
      <c r="E3949" s="2"/>
      <c r="F3949" s="14"/>
      <c r="G3949" s="2"/>
      <c r="H3949" s="2"/>
    </row>
    <row r="3950">
      <c r="A3950" s="2"/>
      <c r="B3950" s="13"/>
      <c r="C3950" s="2"/>
      <c r="D3950" s="2"/>
      <c r="E3950" s="2"/>
      <c r="F3950" s="14"/>
      <c r="G3950" s="2"/>
      <c r="H3950" s="2"/>
    </row>
    <row r="3951">
      <c r="A3951" s="2"/>
      <c r="B3951" s="13"/>
      <c r="C3951" s="2"/>
      <c r="D3951" s="2"/>
      <c r="E3951" s="2"/>
      <c r="F3951" s="14"/>
      <c r="G3951" s="2"/>
      <c r="H3951" s="2"/>
    </row>
    <row r="3952">
      <c r="A3952" s="2"/>
      <c r="B3952" s="13"/>
      <c r="C3952" s="2"/>
      <c r="D3952" s="2"/>
      <c r="E3952" s="2"/>
      <c r="F3952" s="14"/>
      <c r="G3952" s="2"/>
      <c r="H3952" s="2"/>
    </row>
    <row r="3953">
      <c r="A3953" s="2"/>
      <c r="B3953" s="13"/>
      <c r="C3953" s="2"/>
      <c r="D3953" s="2"/>
      <c r="E3953" s="2"/>
      <c r="F3953" s="14"/>
      <c r="G3953" s="2"/>
      <c r="H3953" s="2"/>
    </row>
    <row r="3954">
      <c r="A3954" s="2"/>
      <c r="B3954" s="13"/>
      <c r="C3954" s="2"/>
      <c r="D3954" s="2"/>
      <c r="E3954" s="2"/>
      <c r="F3954" s="14"/>
      <c r="G3954" s="2"/>
      <c r="H3954" s="2"/>
    </row>
    <row r="3955">
      <c r="A3955" s="2"/>
      <c r="B3955" s="13"/>
      <c r="C3955" s="2"/>
      <c r="D3955" s="2"/>
      <c r="E3955" s="2"/>
      <c r="F3955" s="14"/>
      <c r="G3955" s="2"/>
      <c r="H3955" s="2"/>
    </row>
    <row r="3956">
      <c r="A3956" s="2"/>
      <c r="B3956" s="13"/>
      <c r="C3956" s="2"/>
      <c r="D3956" s="2"/>
      <c r="E3956" s="2"/>
      <c r="F3956" s="14"/>
      <c r="G3956" s="2"/>
      <c r="H3956" s="2"/>
    </row>
    <row r="3957">
      <c r="A3957" s="2"/>
      <c r="B3957" s="13"/>
      <c r="C3957" s="2"/>
      <c r="D3957" s="2"/>
      <c r="E3957" s="2"/>
      <c r="F3957" s="14"/>
      <c r="G3957" s="2"/>
      <c r="H3957" s="2"/>
    </row>
    <row r="3958">
      <c r="A3958" s="2"/>
      <c r="B3958" s="13"/>
      <c r="C3958" s="2"/>
      <c r="D3958" s="2"/>
      <c r="E3958" s="2"/>
      <c r="F3958" s="14"/>
      <c r="G3958" s="2"/>
      <c r="H3958" s="2"/>
    </row>
    <row r="3959">
      <c r="A3959" s="2"/>
      <c r="B3959" s="13"/>
      <c r="C3959" s="2"/>
      <c r="D3959" s="2"/>
      <c r="E3959" s="2"/>
      <c r="F3959" s="14"/>
      <c r="G3959" s="2"/>
      <c r="H3959" s="2"/>
    </row>
    <row r="3960">
      <c r="A3960" s="2"/>
      <c r="B3960" s="13"/>
      <c r="C3960" s="2"/>
      <c r="D3960" s="2"/>
      <c r="E3960" s="2"/>
      <c r="F3960" s="14"/>
      <c r="G3960" s="2"/>
      <c r="H3960" s="2"/>
    </row>
    <row r="3961">
      <c r="A3961" s="2"/>
      <c r="B3961" s="13"/>
      <c r="C3961" s="2"/>
      <c r="D3961" s="2"/>
      <c r="E3961" s="2"/>
      <c r="F3961" s="14"/>
      <c r="G3961" s="2"/>
      <c r="H3961" s="2"/>
    </row>
    <row r="3962">
      <c r="A3962" s="2"/>
      <c r="B3962" s="13"/>
      <c r="C3962" s="2"/>
      <c r="D3962" s="2"/>
      <c r="E3962" s="2"/>
      <c r="F3962" s="14"/>
      <c r="G3962" s="2"/>
      <c r="H3962" s="2"/>
    </row>
    <row r="3963">
      <c r="A3963" s="2"/>
      <c r="B3963" s="13"/>
      <c r="C3963" s="2"/>
      <c r="D3963" s="2"/>
      <c r="E3963" s="2"/>
      <c r="F3963" s="14"/>
      <c r="G3963" s="2"/>
      <c r="H3963" s="2"/>
    </row>
    <row r="3964">
      <c r="A3964" s="2"/>
      <c r="B3964" s="13"/>
      <c r="C3964" s="2"/>
      <c r="D3964" s="2"/>
      <c r="E3964" s="2"/>
      <c r="F3964" s="14"/>
      <c r="G3964" s="2"/>
      <c r="H3964" s="2"/>
    </row>
    <row r="3965">
      <c r="A3965" s="2"/>
      <c r="B3965" s="13"/>
      <c r="C3965" s="2"/>
      <c r="D3965" s="2"/>
      <c r="E3965" s="2"/>
      <c r="F3965" s="14"/>
      <c r="G3965" s="2"/>
      <c r="H3965" s="2"/>
    </row>
    <row r="3966">
      <c r="A3966" s="2"/>
      <c r="B3966" s="13"/>
      <c r="C3966" s="2"/>
      <c r="D3966" s="2"/>
      <c r="E3966" s="2"/>
      <c r="F3966" s="14"/>
      <c r="G3966" s="2"/>
      <c r="H3966" s="2"/>
    </row>
    <row r="3967">
      <c r="A3967" s="2"/>
      <c r="B3967" s="13"/>
      <c r="C3967" s="2"/>
      <c r="D3967" s="2"/>
      <c r="E3967" s="2"/>
      <c r="F3967" s="14"/>
      <c r="G3967" s="2"/>
      <c r="H3967" s="2"/>
    </row>
    <row r="3968">
      <c r="A3968" s="2"/>
      <c r="B3968" s="13"/>
      <c r="C3968" s="2"/>
      <c r="D3968" s="2"/>
      <c r="E3968" s="2"/>
      <c r="F3968" s="14"/>
      <c r="G3968" s="2"/>
      <c r="H3968" s="2"/>
    </row>
    <row r="3969">
      <c r="A3969" s="2"/>
      <c r="B3969" s="13"/>
      <c r="C3969" s="2"/>
      <c r="D3969" s="2"/>
      <c r="E3969" s="2"/>
      <c r="F3969" s="14"/>
      <c r="G3969" s="2"/>
      <c r="H3969" s="2"/>
    </row>
    <row r="3970">
      <c r="A3970" s="2"/>
      <c r="B3970" s="13"/>
      <c r="C3970" s="2"/>
      <c r="D3970" s="2"/>
      <c r="E3970" s="2"/>
      <c r="F3970" s="14"/>
      <c r="G3970" s="2"/>
      <c r="H3970" s="2"/>
    </row>
    <row r="3971">
      <c r="A3971" s="2"/>
      <c r="B3971" s="13"/>
      <c r="C3971" s="2"/>
      <c r="D3971" s="2"/>
      <c r="E3971" s="2"/>
      <c r="F3971" s="14"/>
      <c r="G3971" s="2"/>
      <c r="H3971" s="2"/>
    </row>
    <row r="3972">
      <c r="A3972" s="2"/>
      <c r="B3972" s="13"/>
      <c r="C3972" s="2"/>
      <c r="D3972" s="2"/>
      <c r="E3972" s="2"/>
      <c r="F3972" s="14"/>
      <c r="G3972" s="2"/>
      <c r="H3972" s="2"/>
    </row>
    <row r="3973">
      <c r="A3973" s="2"/>
      <c r="B3973" s="13"/>
      <c r="C3973" s="2"/>
      <c r="D3973" s="2"/>
      <c r="E3973" s="2"/>
      <c r="F3973" s="14"/>
      <c r="G3973" s="2"/>
      <c r="H3973" s="2"/>
    </row>
    <row r="3974">
      <c r="A3974" s="2"/>
      <c r="B3974" s="13"/>
      <c r="C3974" s="2"/>
      <c r="D3974" s="2"/>
      <c r="E3974" s="2"/>
      <c r="F3974" s="14"/>
      <c r="G3974" s="2"/>
      <c r="H3974" s="2"/>
    </row>
    <row r="3975">
      <c r="A3975" s="2"/>
      <c r="B3975" s="13"/>
      <c r="C3975" s="2"/>
      <c r="D3975" s="2"/>
      <c r="E3975" s="2"/>
      <c r="F3975" s="14"/>
      <c r="G3975" s="2"/>
      <c r="H3975" s="2"/>
    </row>
    <row r="3976">
      <c r="A3976" s="2"/>
      <c r="B3976" s="13"/>
      <c r="C3976" s="2"/>
      <c r="D3976" s="2"/>
      <c r="E3976" s="2"/>
      <c r="F3976" s="14"/>
      <c r="G3976" s="2"/>
      <c r="H3976" s="2"/>
    </row>
    <row r="3977">
      <c r="A3977" s="2"/>
      <c r="B3977" s="13"/>
      <c r="C3977" s="2"/>
      <c r="D3977" s="2"/>
      <c r="E3977" s="2"/>
      <c r="F3977" s="14"/>
      <c r="G3977" s="2"/>
      <c r="H3977" s="2"/>
    </row>
    <row r="3978">
      <c r="A3978" s="2"/>
      <c r="B3978" s="13"/>
      <c r="C3978" s="2"/>
      <c r="D3978" s="2"/>
      <c r="E3978" s="2"/>
      <c r="F3978" s="14"/>
      <c r="G3978" s="2"/>
      <c r="H3978" s="2"/>
    </row>
    <row r="3979">
      <c r="A3979" s="2"/>
      <c r="B3979" s="13"/>
      <c r="C3979" s="2"/>
      <c r="D3979" s="2"/>
      <c r="E3979" s="2"/>
      <c r="F3979" s="14"/>
      <c r="G3979" s="2"/>
      <c r="H3979" s="2"/>
    </row>
    <row r="3980">
      <c r="A3980" s="2"/>
      <c r="B3980" s="13"/>
      <c r="C3980" s="2"/>
      <c r="D3980" s="2"/>
      <c r="E3980" s="2"/>
      <c r="F3980" s="14"/>
      <c r="G3980" s="2"/>
      <c r="H3980" s="2"/>
    </row>
    <row r="3981">
      <c r="A3981" s="2"/>
      <c r="B3981" s="13"/>
      <c r="C3981" s="2"/>
      <c r="D3981" s="2"/>
      <c r="E3981" s="2"/>
      <c r="F3981" s="14"/>
      <c r="G3981" s="2"/>
      <c r="H3981" s="2"/>
    </row>
    <row r="3982">
      <c r="A3982" s="2"/>
      <c r="B3982" s="13"/>
      <c r="C3982" s="2"/>
      <c r="D3982" s="2"/>
      <c r="E3982" s="2"/>
      <c r="F3982" s="14"/>
      <c r="G3982" s="2"/>
      <c r="H3982" s="2"/>
    </row>
    <row r="3983">
      <c r="A3983" s="2"/>
      <c r="B3983" s="13"/>
      <c r="C3983" s="2"/>
      <c r="D3983" s="2"/>
      <c r="E3983" s="2"/>
      <c r="F3983" s="14"/>
      <c r="G3983" s="2"/>
      <c r="H3983" s="2"/>
    </row>
    <row r="3984">
      <c r="A3984" s="2"/>
      <c r="B3984" s="13"/>
      <c r="C3984" s="2"/>
      <c r="D3984" s="2"/>
      <c r="E3984" s="2"/>
      <c r="F3984" s="14"/>
      <c r="G3984" s="2"/>
      <c r="H3984" s="2"/>
    </row>
    <row r="3985">
      <c r="A3985" s="2"/>
      <c r="B3985" s="13"/>
      <c r="C3985" s="2"/>
      <c r="D3985" s="2"/>
      <c r="E3985" s="2"/>
      <c r="F3985" s="14"/>
      <c r="G3985" s="2"/>
      <c r="H3985" s="2"/>
    </row>
    <row r="3986">
      <c r="A3986" s="2"/>
      <c r="B3986" s="13"/>
      <c r="C3986" s="2"/>
      <c r="D3986" s="2"/>
      <c r="E3986" s="2"/>
      <c r="F3986" s="14"/>
      <c r="G3986" s="2"/>
      <c r="H3986" s="2"/>
    </row>
    <row r="3987">
      <c r="A3987" s="2"/>
      <c r="B3987" s="13"/>
      <c r="C3987" s="2"/>
      <c r="D3987" s="2"/>
      <c r="E3987" s="2"/>
      <c r="F3987" s="14"/>
      <c r="G3987" s="2"/>
      <c r="H3987" s="2"/>
    </row>
    <row r="3988">
      <c r="A3988" s="2"/>
      <c r="B3988" s="13"/>
      <c r="C3988" s="2"/>
      <c r="D3988" s="2"/>
      <c r="E3988" s="2"/>
      <c r="F3988" s="14"/>
      <c r="G3988" s="2"/>
      <c r="H3988" s="2"/>
    </row>
    <row r="3989">
      <c r="A3989" s="2"/>
      <c r="B3989" s="13"/>
      <c r="C3989" s="2"/>
      <c r="D3989" s="2"/>
      <c r="E3989" s="2"/>
      <c r="F3989" s="14"/>
      <c r="G3989" s="2"/>
      <c r="H3989" s="2"/>
    </row>
    <row r="3990">
      <c r="A3990" s="2"/>
      <c r="B3990" s="13"/>
      <c r="C3990" s="2"/>
      <c r="D3990" s="2"/>
      <c r="E3990" s="2"/>
      <c r="F3990" s="14"/>
      <c r="G3990" s="2"/>
      <c r="H3990" s="2"/>
    </row>
    <row r="3991">
      <c r="A3991" s="2"/>
      <c r="B3991" s="13"/>
      <c r="C3991" s="2"/>
      <c r="D3991" s="2"/>
      <c r="E3991" s="2"/>
      <c r="F3991" s="14"/>
      <c r="G3991" s="2"/>
      <c r="H3991" s="2"/>
    </row>
    <row r="3992">
      <c r="A3992" s="2"/>
      <c r="B3992" s="13"/>
      <c r="C3992" s="2"/>
      <c r="D3992" s="2"/>
      <c r="E3992" s="2"/>
      <c r="F3992" s="14"/>
      <c r="G3992" s="2"/>
      <c r="H3992" s="2"/>
    </row>
    <row r="3993">
      <c r="A3993" s="2"/>
      <c r="B3993" s="13"/>
      <c r="C3993" s="2"/>
      <c r="D3993" s="2"/>
      <c r="E3993" s="2"/>
      <c r="F3993" s="14"/>
      <c r="G3993" s="2"/>
      <c r="H3993" s="2"/>
    </row>
    <row r="3994">
      <c r="A3994" s="2"/>
      <c r="B3994" s="13"/>
      <c r="C3994" s="2"/>
      <c r="D3994" s="2"/>
      <c r="E3994" s="2"/>
      <c r="F3994" s="14"/>
      <c r="G3994" s="2"/>
      <c r="H3994" s="2"/>
    </row>
    <row r="3995">
      <c r="A3995" s="2"/>
      <c r="B3995" s="13"/>
      <c r="C3995" s="2"/>
      <c r="D3995" s="2"/>
      <c r="E3995" s="2"/>
      <c r="F3995" s="14"/>
      <c r="G3995" s="2"/>
      <c r="H3995" s="2"/>
    </row>
    <row r="3996">
      <c r="A3996" s="2"/>
      <c r="B3996" s="13"/>
      <c r="C3996" s="2"/>
      <c r="D3996" s="2"/>
      <c r="E3996" s="2"/>
      <c r="F3996" s="14"/>
      <c r="G3996" s="2"/>
      <c r="H3996" s="2"/>
    </row>
    <row r="3997">
      <c r="A3997" s="2"/>
      <c r="B3997" s="13"/>
      <c r="C3997" s="2"/>
      <c r="D3997" s="2"/>
      <c r="E3997" s="2"/>
      <c r="F3997" s="14"/>
      <c r="G3997" s="2"/>
      <c r="H3997" s="2"/>
    </row>
    <row r="3998">
      <c r="A3998" s="2"/>
      <c r="B3998" s="13"/>
      <c r="C3998" s="2"/>
      <c r="D3998" s="2"/>
      <c r="E3998" s="2"/>
      <c r="F3998" s="14"/>
      <c r="G3998" s="2"/>
      <c r="H3998" s="2"/>
    </row>
    <row r="3999">
      <c r="A3999" s="2"/>
      <c r="B3999" s="13"/>
      <c r="C3999" s="2"/>
      <c r="D3999" s="2"/>
      <c r="E3999" s="2"/>
      <c r="F3999" s="14"/>
      <c r="G3999" s="2"/>
      <c r="H3999" s="2"/>
    </row>
    <row r="4000">
      <c r="A4000" s="2"/>
      <c r="B4000" s="13"/>
      <c r="C4000" s="2"/>
      <c r="D4000" s="2"/>
      <c r="E4000" s="2"/>
      <c r="F4000" s="14"/>
      <c r="G4000" s="2"/>
      <c r="H4000" s="2"/>
    </row>
    <row r="4001">
      <c r="A4001" s="2"/>
      <c r="B4001" s="13"/>
      <c r="C4001" s="2"/>
      <c r="D4001" s="2"/>
      <c r="E4001" s="2"/>
      <c r="F4001" s="14"/>
      <c r="G4001" s="2"/>
      <c r="H4001" s="2"/>
    </row>
    <row r="4002">
      <c r="A4002" s="2"/>
      <c r="B4002" s="13"/>
      <c r="C4002" s="2"/>
      <c r="D4002" s="2"/>
      <c r="E4002" s="2"/>
      <c r="F4002" s="14"/>
      <c r="G4002" s="2"/>
      <c r="H4002" s="2"/>
    </row>
    <row r="4003">
      <c r="A4003" s="2"/>
      <c r="B4003" s="13"/>
      <c r="C4003" s="2"/>
      <c r="D4003" s="2"/>
      <c r="E4003" s="2"/>
      <c r="F4003" s="14"/>
      <c r="G4003" s="2"/>
      <c r="H4003" s="2"/>
    </row>
    <row r="4004">
      <c r="A4004" s="2"/>
      <c r="B4004" s="13"/>
      <c r="C4004" s="2"/>
      <c r="D4004" s="2"/>
      <c r="E4004" s="2"/>
      <c r="F4004" s="14"/>
      <c r="G4004" s="2"/>
      <c r="H4004" s="2"/>
    </row>
    <row r="4005">
      <c r="A4005" s="2"/>
      <c r="B4005" s="13"/>
      <c r="C4005" s="2"/>
      <c r="D4005" s="2"/>
      <c r="E4005" s="2"/>
      <c r="F4005" s="14"/>
      <c r="G4005" s="2"/>
      <c r="H4005" s="2"/>
    </row>
    <row r="4006">
      <c r="A4006" s="2"/>
      <c r="B4006" s="13"/>
      <c r="C4006" s="2"/>
      <c r="D4006" s="2"/>
      <c r="E4006" s="2"/>
      <c r="F4006" s="14"/>
      <c r="G4006" s="2"/>
      <c r="H4006" s="2"/>
    </row>
    <row r="4007">
      <c r="A4007" s="2"/>
      <c r="B4007" s="13"/>
      <c r="C4007" s="2"/>
      <c r="D4007" s="2"/>
      <c r="E4007" s="2"/>
      <c r="F4007" s="14"/>
      <c r="G4007" s="2"/>
      <c r="H4007" s="2"/>
    </row>
    <row r="4008">
      <c r="A4008" s="2"/>
      <c r="B4008" s="13"/>
      <c r="C4008" s="2"/>
      <c r="D4008" s="2"/>
      <c r="E4008" s="2"/>
      <c r="F4008" s="14"/>
      <c r="G4008" s="2"/>
      <c r="H4008" s="2"/>
    </row>
    <row r="4009">
      <c r="A4009" s="2"/>
      <c r="B4009" s="13"/>
      <c r="C4009" s="2"/>
      <c r="D4009" s="2"/>
      <c r="E4009" s="2"/>
      <c r="F4009" s="14"/>
      <c r="G4009" s="2"/>
      <c r="H4009" s="2"/>
    </row>
    <row r="4010">
      <c r="A4010" s="2"/>
      <c r="B4010" s="13"/>
      <c r="C4010" s="2"/>
      <c r="D4010" s="2"/>
      <c r="E4010" s="2"/>
      <c r="F4010" s="14"/>
      <c r="G4010" s="2"/>
      <c r="H4010" s="2"/>
    </row>
    <row r="4011">
      <c r="A4011" s="2"/>
      <c r="B4011" s="13"/>
      <c r="C4011" s="2"/>
      <c r="D4011" s="2"/>
      <c r="E4011" s="2"/>
      <c r="F4011" s="14"/>
      <c r="G4011" s="2"/>
      <c r="H4011" s="2"/>
    </row>
    <row r="4012">
      <c r="A4012" s="2"/>
      <c r="B4012" s="13"/>
      <c r="C4012" s="2"/>
      <c r="D4012" s="2"/>
      <c r="E4012" s="2"/>
      <c r="F4012" s="14"/>
      <c r="G4012" s="2"/>
      <c r="H4012" s="2"/>
    </row>
    <row r="4013">
      <c r="A4013" s="2"/>
      <c r="B4013" s="13"/>
      <c r="C4013" s="2"/>
      <c r="D4013" s="2"/>
      <c r="E4013" s="2"/>
      <c r="F4013" s="14"/>
      <c r="G4013" s="2"/>
      <c r="H4013" s="2"/>
    </row>
    <row r="4014">
      <c r="A4014" s="2"/>
      <c r="B4014" s="13"/>
      <c r="C4014" s="2"/>
      <c r="D4014" s="2"/>
      <c r="E4014" s="2"/>
      <c r="F4014" s="14"/>
      <c r="G4014" s="2"/>
      <c r="H4014" s="2"/>
    </row>
    <row r="4015">
      <c r="A4015" s="2"/>
      <c r="B4015" s="13"/>
      <c r="C4015" s="2"/>
      <c r="D4015" s="2"/>
      <c r="E4015" s="2"/>
      <c r="F4015" s="14"/>
      <c r="G4015" s="2"/>
      <c r="H4015" s="2"/>
    </row>
    <row r="4016">
      <c r="A4016" s="2"/>
      <c r="B4016" s="13"/>
      <c r="C4016" s="2"/>
      <c r="D4016" s="2"/>
      <c r="E4016" s="2"/>
      <c r="F4016" s="14"/>
      <c r="G4016" s="2"/>
      <c r="H4016" s="2"/>
    </row>
    <row r="4017">
      <c r="A4017" s="2"/>
      <c r="B4017" s="13"/>
      <c r="C4017" s="2"/>
      <c r="D4017" s="2"/>
      <c r="E4017" s="2"/>
      <c r="F4017" s="14"/>
      <c r="G4017" s="2"/>
      <c r="H4017" s="2"/>
    </row>
    <row r="4018">
      <c r="A4018" s="2"/>
      <c r="B4018" s="13"/>
      <c r="C4018" s="2"/>
      <c r="D4018" s="2"/>
      <c r="E4018" s="2"/>
      <c r="F4018" s="14"/>
      <c r="G4018" s="2"/>
      <c r="H4018" s="2"/>
    </row>
    <row r="4019">
      <c r="A4019" s="2"/>
      <c r="B4019" s="13"/>
      <c r="C4019" s="2"/>
      <c r="D4019" s="2"/>
      <c r="E4019" s="2"/>
      <c r="F4019" s="14"/>
      <c r="G4019" s="2"/>
      <c r="H4019" s="2"/>
    </row>
    <row r="4020">
      <c r="A4020" s="2"/>
      <c r="B4020" s="13"/>
      <c r="C4020" s="2"/>
      <c r="D4020" s="2"/>
      <c r="E4020" s="2"/>
      <c r="F4020" s="14"/>
      <c r="G4020" s="2"/>
      <c r="H4020" s="2"/>
    </row>
    <row r="4021">
      <c r="A4021" s="2"/>
      <c r="B4021" s="13"/>
      <c r="C4021" s="2"/>
      <c r="D4021" s="2"/>
      <c r="E4021" s="2"/>
      <c r="F4021" s="14"/>
      <c r="G4021" s="2"/>
      <c r="H4021" s="2"/>
    </row>
    <row r="4022">
      <c r="A4022" s="2"/>
      <c r="B4022" s="13"/>
      <c r="C4022" s="2"/>
      <c r="D4022" s="2"/>
      <c r="E4022" s="2"/>
      <c r="F4022" s="14"/>
      <c r="G4022" s="2"/>
      <c r="H4022" s="2"/>
    </row>
    <row r="4023">
      <c r="A4023" s="2"/>
      <c r="B4023" s="13"/>
      <c r="C4023" s="2"/>
      <c r="D4023" s="2"/>
      <c r="E4023" s="2"/>
      <c r="F4023" s="14"/>
      <c r="G4023" s="2"/>
      <c r="H4023" s="2"/>
    </row>
    <row r="4024">
      <c r="A4024" s="2"/>
      <c r="B4024" s="13"/>
      <c r="C4024" s="2"/>
      <c r="D4024" s="2"/>
      <c r="E4024" s="2"/>
      <c r="F4024" s="14"/>
      <c r="G4024" s="2"/>
      <c r="H4024" s="2"/>
    </row>
    <row r="4025">
      <c r="A4025" s="2"/>
      <c r="B4025" s="13"/>
      <c r="C4025" s="2"/>
      <c r="D4025" s="2"/>
      <c r="E4025" s="2"/>
      <c r="F4025" s="14"/>
      <c r="G4025" s="2"/>
      <c r="H4025" s="2"/>
    </row>
    <row r="4026">
      <c r="A4026" s="2"/>
      <c r="B4026" s="13"/>
      <c r="C4026" s="2"/>
      <c r="D4026" s="2"/>
      <c r="E4026" s="2"/>
      <c r="F4026" s="14"/>
      <c r="G4026" s="2"/>
      <c r="H4026" s="2"/>
    </row>
    <row r="4027">
      <c r="A4027" s="2"/>
      <c r="B4027" s="13"/>
      <c r="C4027" s="2"/>
      <c r="D4027" s="2"/>
      <c r="E4027" s="2"/>
      <c r="F4027" s="14"/>
      <c r="G4027" s="2"/>
      <c r="H4027" s="2"/>
    </row>
    <row r="4028">
      <c r="A4028" s="2"/>
      <c r="B4028" s="13"/>
      <c r="C4028" s="2"/>
      <c r="D4028" s="2"/>
      <c r="E4028" s="2"/>
      <c r="F4028" s="14"/>
      <c r="G4028" s="2"/>
      <c r="H4028" s="2"/>
    </row>
    <row r="4029">
      <c r="A4029" s="2"/>
      <c r="B4029" s="13"/>
      <c r="C4029" s="2"/>
      <c r="D4029" s="2"/>
      <c r="E4029" s="2"/>
      <c r="F4029" s="14"/>
      <c r="G4029" s="2"/>
      <c r="H4029" s="2"/>
    </row>
    <row r="4030">
      <c r="A4030" s="2"/>
      <c r="B4030" s="13"/>
      <c r="C4030" s="2"/>
      <c r="D4030" s="2"/>
      <c r="E4030" s="2"/>
      <c r="F4030" s="14"/>
      <c r="G4030" s="2"/>
      <c r="H4030" s="2"/>
    </row>
    <row r="4031">
      <c r="A4031" s="2"/>
      <c r="B4031" s="13"/>
      <c r="C4031" s="2"/>
      <c r="D4031" s="2"/>
      <c r="E4031" s="2"/>
      <c r="F4031" s="14"/>
      <c r="G4031" s="2"/>
      <c r="H4031" s="2"/>
    </row>
    <row r="4032">
      <c r="A4032" s="2"/>
      <c r="B4032" s="13"/>
      <c r="C4032" s="2"/>
      <c r="D4032" s="2"/>
      <c r="E4032" s="2"/>
      <c r="F4032" s="14"/>
      <c r="G4032" s="2"/>
      <c r="H4032" s="2"/>
    </row>
    <row r="4033">
      <c r="A4033" s="2"/>
      <c r="B4033" s="13"/>
      <c r="C4033" s="2"/>
      <c r="D4033" s="2"/>
      <c r="E4033" s="2"/>
      <c r="F4033" s="14"/>
      <c r="G4033" s="2"/>
      <c r="H4033" s="2"/>
    </row>
    <row r="4034">
      <c r="A4034" s="2"/>
      <c r="B4034" s="13"/>
      <c r="C4034" s="2"/>
      <c r="D4034" s="2"/>
      <c r="E4034" s="2"/>
      <c r="F4034" s="14"/>
      <c r="G4034" s="2"/>
      <c r="H4034" s="2"/>
    </row>
    <row r="4035">
      <c r="A4035" s="2"/>
      <c r="B4035" s="13"/>
      <c r="C4035" s="2"/>
      <c r="D4035" s="2"/>
      <c r="E4035" s="2"/>
      <c r="F4035" s="14"/>
      <c r="G4035" s="2"/>
      <c r="H4035" s="2"/>
    </row>
    <row r="4036">
      <c r="A4036" s="2"/>
      <c r="B4036" s="13"/>
      <c r="C4036" s="2"/>
      <c r="D4036" s="2"/>
      <c r="E4036" s="2"/>
      <c r="F4036" s="14"/>
      <c r="G4036" s="2"/>
      <c r="H4036" s="2"/>
    </row>
    <row r="4037">
      <c r="A4037" s="2"/>
      <c r="B4037" s="13"/>
      <c r="C4037" s="2"/>
      <c r="D4037" s="2"/>
      <c r="E4037" s="2"/>
      <c r="F4037" s="14"/>
      <c r="G4037" s="2"/>
      <c r="H4037" s="2"/>
    </row>
    <row r="4038">
      <c r="A4038" s="2"/>
      <c r="B4038" s="13"/>
      <c r="C4038" s="2"/>
      <c r="D4038" s="2"/>
      <c r="E4038" s="2"/>
      <c r="F4038" s="14"/>
      <c r="G4038" s="2"/>
      <c r="H4038" s="2"/>
    </row>
    <row r="4039">
      <c r="A4039" s="2"/>
      <c r="B4039" s="13"/>
      <c r="C4039" s="2"/>
      <c r="D4039" s="2"/>
      <c r="E4039" s="2"/>
      <c r="F4039" s="14"/>
      <c r="G4039" s="2"/>
      <c r="H4039" s="2"/>
    </row>
    <row r="4040">
      <c r="A4040" s="2"/>
      <c r="B4040" s="13"/>
      <c r="C4040" s="2"/>
      <c r="D4040" s="2"/>
      <c r="E4040" s="2"/>
      <c r="F4040" s="14"/>
      <c r="G4040" s="2"/>
      <c r="H4040" s="2"/>
    </row>
    <row r="4041">
      <c r="A4041" s="2"/>
      <c r="B4041" s="13"/>
      <c r="C4041" s="2"/>
      <c r="D4041" s="2"/>
      <c r="E4041" s="2"/>
      <c r="F4041" s="14"/>
      <c r="G4041" s="2"/>
      <c r="H4041" s="2"/>
    </row>
    <row r="4042">
      <c r="A4042" s="2"/>
      <c r="B4042" s="13"/>
      <c r="C4042" s="2"/>
      <c r="D4042" s="2"/>
      <c r="E4042" s="2"/>
      <c r="F4042" s="14"/>
      <c r="G4042" s="2"/>
      <c r="H4042" s="2"/>
    </row>
    <row r="4043">
      <c r="A4043" s="2"/>
      <c r="B4043" s="13"/>
      <c r="C4043" s="2"/>
      <c r="D4043" s="2"/>
      <c r="E4043" s="2"/>
      <c r="F4043" s="14"/>
      <c r="G4043" s="2"/>
      <c r="H4043" s="2"/>
    </row>
    <row r="4044">
      <c r="A4044" s="2"/>
      <c r="B4044" s="13"/>
      <c r="C4044" s="2"/>
      <c r="D4044" s="2"/>
      <c r="E4044" s="2"/>
      <c r="F4044" s="14"/>
      <c r="G4044" s="2"/>
      <c r="H4044" s="2"/>
    </row>
    <row r="4045">
      <c r="A4045" s="2"/>
      <c r="B4045" s="13"/>
      <c r="C4045" s="2"/>
      <c r="D4045" s="2"/>
      <c r="E4045" s="2"/>
      <c r="F4045" s="14"/>
      <c r="G4045" s="2"/>
      <c r="H4045" s="2"/>
    </row>
    <row r="4046">
      <c r="A4046" s="2"/>
      <c r="B4046" s="13"/>
      <c r="C4046" s="2"/>
      <c r="D4046" s="2"/>
      <c r="E4046" s="2"/>
      <c r="F4046" s="14"/>
      <c r="G4046" s="2"/>
      <c r="H4046" s="2"/>
    </row>
    <row r="4047">
      <c r="A4047" s="2"/>
      <c r="B4047" s="13"/>
      <c r="C4047" s="2"/>
      <c r="D4047" s="2"/>
      <c r="E4047" s="2"/>
      <c r="F4047" s="14"/>
      <c r="G4047" s="2"/>
      <c r="H4047" s="2"/>
    </row>
    <row r="4048">
      <c r="A4048" s="2"/>
      <c r="B4048" s="13"/>
      <c r="C4048" s="2"/>
      <c r="D4048" s="2"/>
      <c r="E4048" s="2"/>
      <c r="F4048" s="14"/>
      <c r="G4048" s="2"/>
      <c r="H4048" s="2"/>
    </row>
    <row r="4049">
      <c r="A4049" s="2"/>
      <c r="B4049" s="13"/>
      <c r="C4049" s="2"/>
      <c r="D4049" s="2"/>
      <c r="E4049" s="2"/>
      <c r="F4049" s="14"/>
      <c r="G4049" s="2"/>
      <c r="H4049" s="2"/>
    </row>
    <row r="4050">
      <c r="A4050" s="2"/>
      <c r="B4050" s="13"/>
      <c r="C4050" s="2"/>
      <c r="D4050" s="2"/>
      <c r="E4050" s="2"/>
      <c r="F4050" s="14"/>
      <c r="G4050" s="2"/>
      <c r="H4050" s="2"/>
    </row>
    <row r="4051">
      <c r="A4051" s="2"/>
      <c r="B4051" s="13"/>
      <c r="C4051" s="2"/>
      <c r="D4051" s="2"/>
      <c r="E4051" s="2"/>
      <c r="F4051" s="14"/>
      <c r="G4051" s="2"/>
      <c r="H4051" s="2"/>
    </row>
    <row r="4052">
      <c r="A4052" s="2"/>
      <c r="B4052" s="13"/>
      <c r="C4052" s="2"/>
      <c r="D4052" s="2"/>
      <c r="E4052" s="2"/>
      <c r="F4052" s="14"/>
      <c r="G4052" s="2"/>
      <c r="H4052" s="2"/>
    </row>
    <row r="4053">
      <c r="A4053" s="2"/>
      <c r="B4053" s="13"/>
      <c r="C4053" s="2"/>
      <c r="D4053" s="2"/>
      <c r="E4053" s="2"/>
      <c r="F4053" s="14"/>
      <c r="G4053" s="2"/>
      <c r="H4053" s="2"/>
    </row>
    <row r="4054">
      <c r="A4054" s="2"/>
      <c r="B4054" s="13"/>
      <c r="C4054" s="2"/>
      <c r="D4054" s="2"/>
      <c r="E4054" s="2"/>
      <c r="F4054" s="14"/>
      <c r="G4054" s="2"/>
      <c r="H4054" s="2"/>
    </row>
    <row r="4055">
      <c r="A4055" s="2"/>
      <c r="B4055" s="13"/>
      <c r="C4055" s="2"/>
      <c r="D4055" s="2"/>
      <c r="E4055" s="2"/>
      <c r="F4055" s="14"/>
      <c r="G4055" s="2"/>
      <c r="H4055" s="2"/>
    </row>
    <row r="4056">
      <c r="A4056" s="2"/>
      <c r="B4056" s="13"/>
      <c r="C4056" s="2"/>
      <c r="D4056" s="2"/>
      <c r="E4056" s="2"/>
      <c r="F4056" s="14"/>
      <c r="G4056" s="2"/>
      <c r="H4056" s="2"/>
    </row>
    <row r="4057">
      <c r="A4057" s="2"/>
      <c r="B4057" s="13"/>
      <c r="C4057" s="2"/>
      <c r="D4057" s="2"/>
      <c r="E4057" s="2"/>
      <c r="F4057" s="14"/>
      <c r="G4057" s="2"/>
      <c r="H4057" s="2"/>
    </row>
    <row r="4058">
      <c r="A4058" s="2"/>
      <c r="B4058" s="13"/>
      <c r="C4058" s="2"/>
      <c r="D4058" s="2"/>
      <c r="E4058" s="2"/>
      <c r="F4058" s="14"/>
      <c r="G4058" s="2"/>
      <c r="H4058" s="2"/>
    </row>
    <row r="4059">
      <c r="A4059" s="2"/>
      <c r="B4059" s="13"/>
      <c r="C4059" s="2"/>
      <c r="D4059" s="2"/>
      <c r="E4059" s="2"/>
      <c r="F4059" s="14"/>
      <c r="G4059" s="2"/>
      <c r="H4059" s="2"/>
    </row>
    <row r="4060">
      <c r="A4060" s="2"/>
      <c r="B4060" s="13"/>
      <c r="C4060" s="2"/>
      <c r="D4060" s="2"/>
      <c r="E4060" s="2"/>
      <c r="F4060" s="14"/>
      <c r="G4060" s="2"/>
      <c r="H4060" s="2"/>
    </row>
    <row r="4061">
      <c r="A4061" s="2"/>
      <c r="B4061" s="13"/>
      <c r="C4061" s="2"/>
      <c r="D4061" s="2"/>
      <c r="E4061" s="2"/>
      <c r="F4061" s="14"/>
      <c r="G4061" s="2"/>
      <c r="H4061" s="2"/>
    </row>
    <row r="4062">
      <c r="A4062" s="2"/>
      <c r="B4062" s="13"/>
      <c r="C4062" s="2"/>
      <c r="D4062" s="2"/>
      <c r="E4062" s="2"/>
      <c r="F4062" s="14"/>
      <c r="G4062" s="2"/>
      <c r="H4062" s="2"/>
    </row>
    <row r="4063">
      <c r="A4063" s="2"/>
      <c r="B4063" s="13"/>
      <c r="C4063" s="2"/>
      <c r="D4063" s="2"/>
      <c r="E4063" s="2"/>
      <c r="F4063" s="14"/>
      <c r="G4063" s="2"/>
      <c r="H4063" s="2"/>
    </row>
    <row r="4064">
      <c r="A4064" s="2"/>
      <c r="B4064" s="13"/>
      <c r="C4064" s="2"/>
      <c r="D4064" s="2"/>
      <c r="E4064" s="2"/>
      <c r="F4064" s="14"/>
      <c r="G4064" s="2"/>
      <c r="H4064" s="2"/>
    </row>
    <row r="4065">
      <c r="A4065" s="2"/>
      <c r="B4065" s="13"/>
      <c r="C4065" s="2"/>
      <c r="D4065" s="2"/>
      <c r="E4065" s="2"/>
      <c r="F4065" s="14"/>
      <c r="G4065" s="2"/>
      <c r="H4065" s="2"/>
    </row>
    <row r="4066">
      <c r="A4066" s="2"/>
      <c r="B4066" s="13"/>
      <c r="C4066" s="2"/>
      <c r="D4066" s="2"/>
      <c r="E4066" s="2"/>
      <c r="F4066" s="14"/>
      <c r="G4066" s="2"/>
      <c r="H4066" s="2"/>
    </row>
    <row r="4067">
      <c r="A4067" s="2"/>
      <c r="B4067" s="13"/>
      <c r="C4067" s="2"/>
      <c r="D4067" s="2"/>
      <c r="E4067" s="2"/>
      <c r="F4067" s="14"/>
      <c r="G4067" s="2"/>
      <c r="H4067" s="2"/>
    </row>
    <row r="4068">
      <c r="A4068" s="2"/>
      <c r="B4068" s="13"/>
      <c r="C4068" s="2"/>
      <c r="D4068" s="2"/>
      <c r="E4068" s="2"/>
      <c r="F4068" s="14"/>
      <c r="G4068" s="2"/>
      <c r="H4068" s="2"/>
    </row>
    <row r="4069">
      <c r="A4069" s="2"/>
      <c r="B4069" s="13"/>
      <c r="C4069" s="2"/>
      <c r="D4069" s="2"/>
      <c r="E4069" s="2"/>
      <c r="F4069" s="14"/>
      <c r="G4069" s="2"/>
      <c r="H4069" s="2"/>
    </row>
    <row r="4070">
      <c r="A4070" s="2"/>
      <c r="B4070" s="13"/>
      <c r="C4070" s="2"/>
      <c r="D4070" s="2"/>
      <c r="E4070" s="2"/>
      <c r="F4070" s="14"/>
      <c r="G4070" s="2"/>
      <c r="H4070" s="2"/>
    </row>
    <row r="4071">
      <c r="A4071" s="2"/>
      <c r="B4071" s="13"/>
      <c r="C4071" s="2"/>
      <c r="D4071" s="2"/>
      <c r="E4071" s="2"/>
      <c r="F4071" s="14"/>
      <c r="G4071" s="2"/>
      <c r="H4071" s="2"/>
    </row>
    <row r="4072">
      <c r="A4072" s="2"/>
      <c r="B4072" s="13"/>
      <c r="C4072" s="2"/>
      <c r="D4072" s="2"/>
      <c r="E4072" s="2"/>
      <c r="F4072" s="14"/>
      <c r="G4072" s="2"/>
      <c r="H4072" s="2"/>
    </row>
    <row r="4073">
      <c r="A4073" s="2"/>
      <c r="B4073" s="13"/>
      <c r="C4073" s="2"/>
      <c r="D4073" s="2"/>
      <c r="E4073" s="2"/>
      <c r="F4073" s="14"/>
      <c r="G4073" s="2"/>
      <c r="H4073" s="2"/>
    </row>
    <row r="4074">
      <c r="A4074" s="2"/>
      <c r="B4074" s="13"/>
      <c r="C4074" s="2"/>
      <c r="D4074" s="2"/>
      <c r="E4074" s="2"/>
      <c r="F4074" s="14"/>
      <c r="G4074" s="2"/>
      <c r="H4074" s="2"/>
    </row>
    <row r="4075">
      <c r="A4075" s="2"/>
      <c r="B4075" s="13"/>
      <c r="C4075" s="2"/>
      <c r="D4075" s="2"/>
      <c r="E4075" s="2"/>
      <c r="F4075" s="14"/>
      <c r="G4075" s="2"/>
      <c r="H4075" s="2"/>
    </row>
    <row r="4076">
      <c r="A4076" s="2"/>
      <c r="B4076" s="13"/>
      <c r="C4076" s="2"/>
      <c r="D4076" s="2"/>
      <c r="E4076" s="2"/>
      <c r="F4076" s="14"/>
      <c r="G4076" s="2"/>
      <c r="H4076" s="2"/>
    </row>
    <row r="4077">
      <c r="A4077" s="2"/>
      <c r="B4077" s="13"/>
      <c r="C4077" s="2"/>
      <c r="D4077" s="2"/>
      <c r="E4077" s="2"/>
      <c r="F4077" s="14"/>
      <c r="G4077" s="2"/>
      <c r="H4077" s="2"/>
    </row>
    <row r="4078">
      <c r="A4078" s="2"/>
      <c r="B4078" s="13"/>
      <c r="C4078" s="2"/>
      <c r="D4078" s="2"/>
      <c r="E4078" s="2"/>
      <c r="F4078" s="14"/>
      <c r="G4078" s="2"/>
      <c r="H4078" s="2"/>
    </row>
    <row r="4079">
      <c r="A4079" s="2"/>
      <c r="B4079" s="13"/>
      <c r="C4079" s="2"/>
      <c r="D4079" s="2"/>
      <c r="E4079" s="2"/>
      <c r="F4079" s="14"/>
      <c r="G4079" s="2"/>
      <c r="H4079" s="2"/>
    </row>
    <row r="4080">
      <c r="A4080" s="2"/>
      <c r="B4080" s="13"/>
      <c r="C4080" s="2"/>
      <c r="D4080" s="2"/>
      <c r="E4080" s="2"/>
      <c r="F4080" s="14"/>
      <c r="G4080" s="2"/>
      <c r="H4080" s="2"/>
    </row>
    <row r="4081">
      <c r="A4081" s="2"/>
      <c r="B4081" s="13"/>
      <c r="C4081" s="2"/>
      <c r="D4081" s="2"/>
      <c r="E4081" s="2"/>
      <c r="F4081" s="14"/>
      <c r="G4081" s="2"/>
      <c r="H4081" s="2"/>
    </row>
    <row r="4082">
      <c r="A4082" s="2"/>
      <c r="B4082" s="13"/>
      <c r="C4082" s="2"/>
      <c r="D4082" s="2"/>
      <c r="E4082" s="2"/>
      <c r="F4082" s="14"/>
      <c r="G4082" s="2"/>
      <c r="H4082" s="2"/>
    </row>
    <row r="4083">
      <c r="A4083" s="2"/>
      <c r="B4083" s="13"/>
      <c r="C4083" s="2"/>
      <c r="D4083" s="2"/>
      <c r="E4083" s="2"/>
      <c r="F4083" s="14"/>
      <c r="G4083" s="2"/>
      <c r="H4083" s="2"/>
    </row>
    <row r="4084">
      <c r="A4084" s="2"/>
      <c r="B4084" s="13"/>
      <c r="C4084" s="2"/>
      <c r="D4084" s="2"/>
      <c r="E4084" s="2"/>
      <c r="F4084" s="14"/>
      <c r="G4084" s="2"/>
      <c r="H4084" s="2"/>
    </row>
    <row r="4085">
      <c r="A4085" s="2"/>
      <c r="B4085" s="13"/>
      <c r="C4085" s="2"/>
      <c r="D4085" s="2"/>
      <c r="E4085" s="2"/>
      <c r="F4085" s="14"/>
      <c r="G4085" s="2"/>
      <c r="H4085" s="2"/>
    </row>
    <row r="4086">
      <c r="A4086" s="2"/>
      <c r="B4086" s="13"/>
      <c r="C4086" s="2"/>
      <c r="D4086" s="2"/>
      <c r="E4086" s="2"/>
      <c r="F4086" s="14"/>
      <c r="G4086" s="2"/>
      <c r="H4086" s="2"/>
    </row>
    <row r="4087">
      <c r="A4087" s="2"/>
      <c r="B4087" s="13"/>
      <c r="C4087" s="2"/>
      <c r="D4087" s="2"/>
      <c r="E4087" s="2"/>
      <c r="F4087" s="14"/>
      <c r="G4087" s="2"/>
      <c r="H4087" s="2"/>
    </row>
    <row r="4088">
      <c r="A4088" s="2"/>
      <c r="B4088" s="13"/>
      <c r="C4088" s="2"/>
      <c r="D4088" s="2"/>
      <c r="E4088" s="2"/>
      <c r="F4088" s="14"/>
      <c r="G4088" s="2"/>
      <c r="H4088" s="2"/>
    </row>
    <row r="4089">
      <c r="A4089" s="2"/>
      <c r="B4089" s="13"/>
      <c r="C4089" s="2"/>
      <c r="D4089" s="2"/>
      <c r="E4089" s="2"/>
      <c r="F4089" s="14"/>
      <c r="G4089" s="2"/>
      <c r="H4089" s="2"/>
    </row>
    <row r="4090">
      <c r="A4090" s="2"/>
      <c r="B4090" s="13"/>
      <c r="C4090" s="2"/>
      <c r="D4090" s="2"/>
      <c r="E4090" s="2"/>
      <c r="F4090" s="14"/>
      <c r="G4090" s="2"/>
      <c r="H4090" s="2"/>
    </row>
    <row r="4091">
      <c r="A4091" s="2"/>
      <c r="B4091" s="13"/>
      <c r="C4091" s="2"/>
      <c r="D4091" s="2"/>
      <c r="E4091" s="2"/>
      <c r="F4091" s="14"/>
      <c r="G4091" s="2"/>
      <c r="H4091" s="2"/>
    </row>
    <row r="4092">
      <c r="A4092" s="2"/>
      <c r="B4092" s="13"/>
      <c r="C4092" s="2"/>
      <c r="D4092" s="2"/>
      <c r="E4092" s="2"/>
      <c r="F4092" s="14"/>
      <c r="G4092" s="2"/>
      <c r="H4092" s="2"/>
    </row>
    <row r="4093">
      <c r="A4093" s="2"/>
      <c r="B4093" s="13"/>
      <c r="C4093" s="2"/>
      <c r="D4093" s="2"/>
      <c r="E4093" s="2"/>
      <c r="F4093" s="14"/>
      <c r="G4093" s="2"/>
      <c r="H4093" s="2"/>
    </row>
    <row r="4094">
      <c r="A4094" s="2"/>
      <c r="B4094" s="13"/>
      <c r="C4094" s="2"/>
      <c r="D4094" s="2"/>
      <c r="E4094" s="2"/>
      <c r="F4094" s="14"/>
      <c r="G4094" s="2"/>
      <c r="H4094" s="2"/>
    </row>
    <row r="4095">
      <c r="A4095" s="2"/>
      <c r="B4095" s="13"/>
      <c r="C4095" s="2"/>
      <c r="D4095" s="2"/>
      <c r="E4095" s="2"/>
      <c r="F4095" s="14"/>
      <c r="G4095" s="2"/>
      <c r="H4095" s="2"/>
    </row>
    <row r="4096">
      <c r="A4096" s="2"/>
      <c r="B4096" s="13"/>
      <c r="C4096" s="2"/>
      <c r="D4096" s="2"/>
      <c r="E4096" s="2"/>
      <c r="F4096" s="14"/>
      <c r="G4096" s="2"/>
      <c r="H4096" s="2"/>
    </row>
    <row r="4097">
      <c r="A4097" s="2"/>
      <c r="B4097" s="13"/>
      <c r="C4097" s="2"/>
      <c r="D4097" s="2"/>
      <c r="E4097" s="2"/>
      <c r="F4097" s="14"/>
      <c r="G4097" s="2"/>
      <c r="H4097" s="2"/>
    </row>
    <row r="4098">
      <c r="A4098" s="2"/>
      <c r="B4098" s="13"/>
      <c r="C4098" s="2"/>
      <c r="D4098" s="2"/>
      <c r="E4098" s="2"/>
      <c r="F4098" s="14"/>
      <c r="G4098" s="2"/>
      <c r="H4098" s="2"/>
    </row>
    <row r="4099">
      <c r="A4099" s="2"/>
      <c r="B4099" s="13"/>
      <c r="C4099" s="2"/>
      <c r="D4099" s="2"/>
      <c r="E4099" s="2"/>
      <c r="F4099" s="14"/>
      <c r="G4099" s="2"/>
      <c r="H4099" s="2"/>
    </row>
    <row r="4100">
      <c r="A4100" s="2"/>
      <c r="B4100" s="13"/>
      <c r="C4100" s="2"/>
      <c r="D4100" s="2"/>
      <c r="E4100" s="2"/>
      <c r="F4100" s="14"/>
      <c r="G4100" s="2"/>
      <c r="H4100" s="2"/>
    </row>
    <row r="4101">
      <c r="A4101" s="2"/>
      <c r="B4101" s="13"/>
      <c r="C4101" s="2"/>
      <c r="D4101" s="2"/>
      <c r="E4101" s="2"/>
      <c r="F4101" s="14"/>
      <c r="G4101" s="2"/>
      <c r="H4101" s="2"/>
    </row>
    <row r="4102">
      <c r="A4102" s="2"/>
      <c r="B4102" s="13"/>
      <c r="C4102" s="2"/>
      <c r="D4102" s="2"/>
      <c r="E4102" s="2"/>
      <c r="F4102" s="14"/>
      <c r="G4102" s="2"/>
      <c r="H4102" s="2"/>
    </row>
    <row r="4103">
      <c r="A4103" s="2"/>
      <c r="B4103" s="13"/>
      <c r="C4103" s="2"/>
      <c r="D4103" s="2"/>
      <c r="E4103" s="2"/>
      <c r="F4103" s="14"/>
      <c r="G4103" s="2"/>
      <c r="H4103" s="2"/>
    </row>
    <row r="4104">
      <c r="A4104" s="2"/>
      <c r="B4104" s="13"/>
      <c r="C4104" s="2"/>
      <c r="D4104" s="2"/>
      <c r="E4104" s="2"/>
      <c r="F4104" s="14"/>
      <c r="G4104" s="2"/>
      <c r="H4104" s="2"/>
    </row>
    <row r="4105">
      <c r="A4105" s="2"/>
      <c r="B4105" s="13"/>
      <c r="C4105" s="2"/>
      <c r="D4105" s="2"/>
      <c r="E4105" s="2"/>
      <c r="F4105" s="14"/>
      <c r="G4105" s="2"/>
      <c r="H4105" s="2"/>
    </row>
    <row r="4106">
      <c r="A4106" s="2"/>
      <c r="B4106" s="13"/>
      <c r="C4106" s="2"/>
      <c r="D4106" s="2"/>
      <c r="E4106" s="2"/>
      <c r="F4106" s="14"/>
      <c r="G4106" s="2"/>
      <c r="H4106" s="2"/>
    </row>
    <row r="4107">
      <c r="A4107" s="2"/>
      <c r="B4107" s="13"/>
      <c r="C4107" s="2"/>
      <c r="D4107" s="2"/>
      <c r="E4107" s="2"/>
      <c r="F4107" s="14"/>
      <c r="G4107" s="2"/>
      <c r="H4107" s="2"/>
    </row>
    <row r="4108">
      <c r="A4108" s="2"/>
      <c r="B4108" s="13"/>
      <c r="C4108" s="2"/>
      <c r="D4108" s="2"/>
      <c r="E4108" s="2"/>
      <c r="F4108" s="14"/>
      <c r="G4108" s="2"/>
      <c r="H4108" s="2"/>
    </row>
    <row r="4109">
      <c r="A4109" s="2"/>
      <c r="B4109" s="13"/>
      <c r="C4109" s="2"/>
      <c r="D4109" s="2"/>
      <c r="E4109" s="2"/>
      <c r="F4109" s="14"/>
      <c r="G4109" s="2"/>
      <c r="H4109" s="2"/>
    </row>
    <row r="4110">
      <c r="A4110" s="2"/>
      <c r="B4110" s="13"/>
      <c r="C4110" s="2"/>
      <c r="D4110" s="2"/>
      <c r="E4110" s="2"/>
      <c r="F4110" s="14"/>
      <c r="G4110" s="2"/>
      <c r="H4110" s="2"/>
    </row>
    <row r="4111">
      <c r="A4111" s="2"/>
      <c r="B4111" s="13"/>
      <c r="C4111" s="2"/>
      <c r="D4111" s="2"/>
      <c r="E4111" s="2"/>
      <c r="F4111" s="14"/>
      <c r="G4111" s="2"/>
      <c r="H4111" s="2"/>
    </row>
    <row r="4112">
      <c r="A4112" s="2"/>
      <c r="B4112" s="13"/>
      <c r="C4112" s="2"/>
      <c r="D4112" s="2"/>
      <c r="E4112" s="2"/>
      <c r="F4112" s="14"/>
      <c r="G4112" s="2"/>
      <c r="H4112" s="2"/>
    </row>
    <row r="4113">
      <c r="A4113" s="2"/>
      <c r="B4113" s="13"/>
      <c r="C4113" s="2"/>
      <c r="D4113" s="2"/>
      <c r="E4113" s="2"/>
      <c r="F4113" s="14"/>
      <c r="G4113" s="2"/>
      <c r="H4113" s="2"/>
    </row>
    <row r="4114">
      <c r="A4114" s="2"/>
      <c r="B4114" s="13"/>
      <c r="C4114" s="2"/>
      <c r="D4114" s="2"/>
      <c r="E4114" s="2"/>
      <c r="F4114" s="14"/>
      <c r="G4114" s="2"/>
      <c r="H4114" s="2"/>
    </row>
    <row r="4115">
      <c r="A4115" s="2"/>
      <c r="B4115" s="13"/>
      <c r="C4115" s="2"/>
      <c r="D4115" s="2"/>
      <c r="E4115" s="2"/>
      <c r="F4115" s="14"/>
      <c r="G4115" s="2"/>
      <c r="H4115" s="2"/>
    </row>
    <row r="4116">
      <c r="A4116" s="2"/>
      <c r="B4116" s="13"/>
      <c r="C4116" s="2"/>
      <c r="D4116" s="2"/>
      <c r="E4116" s="2"/>
      <c r="F4116" s="14"/>
      <c r="G4116" s="2"/>
      <c r="H4116" s="2"/>
    </row>
    <row r="4117">
      <c r="A4117" s="2"/>
      <c r="B4117" s="13"/>
      <c r="C4117" s="2"/>
      <c r="D4117" s="2"/>
      <c r="E4117" s="2"/>
      <c r="F4117" s="14"/>
      <c r="G4117" s="2"/>
      <c r="H4117" s="2"/>
    </row>
    <row r="4118">
      <c r="A4118" s="2"/>
      <c r="B4118" s="13"/>
      <c r="C4118" s="2"/>
      <c r="D4118" s="2"/>
      <c r="E4118" s="2"/>
      <c r="F4118" s="14"/>
      <c r="G4118" s="2"/>
      <c r="H4118" s="2"/>
    </row>
    <row r="4119">
      <c r="A4119" s="2"/>
      <c r="B4119" s="13"/>
      <c r="C4119" s="2"/>
      <c r="D4119" s="2"/>
      <c r="E4119" s="2"/>
      <c r="F4119" s="14"/>
      <c r="G4119" s="2"/>
      <c r="H4119" s="2"/>
    </row>
    <row r="4120">
      <c r="A4120" s="2"/>
      <c r="B4120" s="13"/>
      <c r="C4120" s="2"/>
      <c r="D4120" s="2"/>
      <c r="E4120" s="2"/>
      <c r="F4120" s="14"/>
      <c r="G4120" s="2"/>
      <c r="H4120" s="2"/>
    </row>
    <row r="4121">
      <c r="A4121" s="2"/>
      <c r="B4121" s="13"/>
      <c r="C4121" s="2"/>
      <c r="D4121" s="2"/>
      <c r="E4121" s="2"/>
      <c r="F4121" s="14"/>
      <c r="G4121" s="2"/>
      <c r="H4121" s="2"/>
    </row>
    <row r="4122">
      <c r="A4122" s="2"/>
      <c r="B4122" s="13"/>
      <c r="C4122" s="2"/>
      <c r="D4122" s="2"/>
      <c r="E4122" s="2"/>
      <c r="F4122" s="14"/>
      <c r="G4122" s="2"/>
      <c r="H4122" s="2"/>
    </row>
    <row r="4123">
      <c r="A4123" s="2"/>
      <c r="B4123" s="13"/>
      <c r="C4123" s="2"/>
      <c r="D4123" s="2"/>
      <c r="E4123" s="2"/>
      <c r="F4123" s="14"/>
      <c r="G4123" s="2"/>
      <c r="H4123" s="2"/>
    </row>
    <row r="4124">
      <c r="A4124" s="2"/>
      <c r="B4124" s="13"/>
      <c r="C4124" s="2"/>
      <c r="D4124" s="2"/>
      <c r="E4124" s="2"/>
      <c r="F4124" s="14"/>
      <c r="G4124" s="2"/>
      <c r="H4124" s="2"/>
    </row>
    <row r="4125">
      <c r="A4125" s="2"/>
      <c r="B4125" s="13"/>
      <c r="C4125" s="2"/>
      <c r="D4125" s="2"/>
      <c r="E4125" s="2"/>
      <c r="F4125" s="14"/>
      <c r="G4125" s="2"/>
      <c r="H4125" s="2"/>
    </row>
    <row r="4126">
      <c r="A4126" s="2"/>
      <c r="B4126" s="13"/>
      <c r="C4126" s="2"/>
      <c r="D4126" s="2"/>
      <c r="E4126" s="2"/>
      <c r="F4126" s="14"/>
      <c r="G4126" s="2"/>
      <c r="H4126" s="2"/>
    </row>
    <row r="4127">
      <c r="A4127" s="2"/>
      <c r="B4127" s="13"/>
      <c r="C4127" s="2"/>
      <c r="D4127" s="2"/>
      <c r="E4127" s="2"/>
      <c r="F4127" s="14"/>
      <c r="G4127" s="2"/>
      <c r="H4127" s="2"/>
    </row>
    <row r="4128">
      <c r="A4128" s="2"/>
      <c r="B4128" s="13"/>
      <c r="C4128" s="2"/>
      <c r="D4128" s="2"/>
      <c r="E4128" s="2"/>
      <c r="F4128" s="14"/>
      <c r="G4128" s="2"/>
      <c r="H4128" s="2"/>
    </row>
    <row r="4129">
      <c r="A4129" s="2"/>
      <c r="B4129" s="13"/>
      <c r="C4129" s="2"/>
      <c r="D4129" s="2"/>
      <c r="E4129" s="2"/>
      <c r="F4129" s="14"/>
      <c r="G4129" s="2"/>
      <c r="H4129" s="2"/>
    </row>
    <row r="4130">
      <c r="A4130" s="2"/>
      <c r="B4130" s="13"/>
      <c r="C4130" s="2"/>
      <c r="D4130" s="2"/>
      <c r="E4130" s="2"/>
      <c r="F4130" s="14"/>
      <c r="G4130" s="2"/>
      <c r="H4130" s="2"/>
    </row>
    <row r="4131">
      <c r="A4131" s="2"/>
      <c r="B4131" s="13"/>
      <c r="C4131" s="2"/>
      <c r="D4131" s="2"/>
      <c r="E4131" s="2"/>
      <c r="F4131" s="14"/>
      <c r="G4131" s="2"/>
      <c r="H4131" s="2"/>
    </row>
    <row r="4132">
      <c r="A4132" s="2"/>
      <c r="B4132" s="13"/>
      <c r="C4132" s="2"/>
      <c r="D4132" s="2"/>
      <c r="E4132" s="2"/>
      <c r="F4132" s="14"/>
      <c r="G4132" s="2"/>
      <c r="H4132" s="2"/>
    </row>
    <row r="4133">
      <c r="A4133" s="2"/>
      <c r="B4133" s="13"/>
      <c r="C4133" s="2"/>
      <c r="D4133" s="2"/>
      <c r="E4133" s="2"/>
      <c r="F4133" s="14"/>
      <c r="G4133" s="2"/>
      <c r="H4133" s="2"/>
    </row>
    <row r="4134">
      <c r="A4134" s="2"/>
      <c r="B4134" s="13"/>
      <c r="C4134" s="2"/>
      <c r="D4134" s="2"/>
      <c r="E4134" s="2"/>
      <c r="F4134" s="14"/>
      <c r="G4134" s="2"/>
      <c r="H4134" s="2"/>
    </row>
    <row r="4135">
      <c r="A4135" s="2"/>
      <c r="B4135" s="13"/>
      <c r="C4135" s="2"/>
      <c r="D4135" s="2"/>
      <c r="E4135" s="2"/>
      <c r="F4135" s="14"/>
      <c r="G4135" s="2"/>
      <c r="H4135" s="2"/>
    </row>
    <row r="4136">
      <c r="A4136" s="2"/>
      <c r="B4136" s="13"/>
      <c r="C4136" s="2"/>
      <c r="D4136" s="2"/>
      <c r="E4136" s="2"/>
      <c r="F4136" s="14"/>
      <c r="G4136" s="2"/>
      <c r="H4136" s="2"/>
    </row>
    <row r="4137">
      <c r="A4137" s="2"/>
      <c r="B4137" s="13"/>
      <c r="C4137" s="2"/>
      <c r="D4137" s="2"/>
      <c r="E4137" s="2"/>
      <c r="F4137" s="14"/>
      <c r="G4137" s="2"/>
      <c r="H4137" s="2"/>
    </row>
    <row r="4138">
      <c r="A4138" s="2"/>
      <c r="B4138" s="13"/>
      <c r="C4138" s="2"/>
      <c r="D4138" s="2"/>
      <c r="E4138" s="2"/>
      <c r="F4138" s="14"/>
      <c r="G4138" s="2"/>
      <c r="H4138" s="2"/>
    </row>
    <row r="4139">
      <c r="A4139" s="2"/>
      <c r="B4139" s="13"/>
      <c r="C4139" s="2"/>
      <c r="D4139" s="2"/>
      <c r="E4139" s="2"/>
      <c r="F4139" s="14"/>
      <c r="G4139" s="2"/>
      <c r="H4139" s="2"/>
    </row>
    <row r="4140">
      <c r="A4140" s="2"/>
      <c r="B4140" s="13"/>
      <c r="C4140" s="2"/>
      <c r="D4140" s="2"/>
      <c r="E4140" s="2"/>
      <c r="F4140" s="14"/>
      <c r="G4140" s="2"/>
      <c r="H4140" s="2"/>
    </row>
    <row r="4141">
      <c r="A4141" s="2"/>
      <c r="B4141" s="13"/>
      <c r="C4141" s="2"/>
      <c r="D4141" s="2"/>
      <c r="E4141" s="2"/>
      <c r="F4141" s="14"/>
      <c r="G4141" s="2"/>
      <c r="H4141" s="2"/>
    </row>
    <row r="4142">
      <c r="A4142" s="2"/>
      <c r="B4142" s="13"/>
      <c r="C4142" s="2"/>
      <c r="D4142" s="2"/>
      <c r="E4142" s="2"/>
      <c r="F4142" s="14"/>
      <c r="G4142" s="2"/>
      <c r="H4142" s="2"/>
    </row>
    <row r="4143">
      <c r="A4143" s="2"/>
      <c r="B4143" s="13"/>
      <c r="C4143" s="2"/>
      <c r="D4143" s="2"/>
      <c r="E4143" s="2"/>
      <c r="F4143" s="14"/>
      <c r="G4143" s="2"/>
      <c r="H4143" s="2"/>
    </row>
    <row r="4144">
      <c r="A4144" s="2"/>
      <c r="B4144" s="13"/>
      <c r="C4144" s="2"/>
      <c r="D4144" s="2"/>
      <c r="E4144" s="2"/>
      <c r="F4144" s="14"/>
      <c r="G4144" s="2"/>
      <c r="H4144" s="2"/>
    </row>
    <row r="4145">
      <c r="A4145" s="2"/>
      <c r="B4145" s="13"/>
      <c r="C4145" s="2"/>
      <c r="D4145" s="2"/>
      <c r="E4145" s="2"/>
      <c r="F4145" s="14"/>
      <c r="G4145" s="2"/>
      <c r="H4145" s="2"/>
    </row>
    <row r="4146">
      <c r="A4146" s="2"/>
      <c r="B4146" s="13"/>
      <c r="C4146" s="2"/>
      <c r="D4146" s="2"/>
      <c r="E4146" s="2"/>
      <c r="F4146" s="14"/>
      <c r="G4146" s="2"/>
      <c r="H4146" s="2"/>
    </row>
    <row r="4147">
      <c r="A4147" s="2"/>
      <c r="B4147" s="13"/>
      <c r="C4147" s="2"/>
      <c r="D4147" s="2"/>
      <c r="E4147" s="2"/>
      <c r="F4147" s="14"/>
      <c r="G4147" s="2"/>
      <c r="H4147" s="2"/>
    </row>
    <row r="4148">
      <c r="A4148" s="2"/>
      <c r="B4148" s="13"/>
      <c r="C4148" s="2"/>
      <c r="D4148" s="2"/>
      <c r="E4148" s="2"/>
      <c r="F4148" s="14"/>
      <c r="G4148" s="2"/>
      <c r="H4148" s="2"/>
    </row>
    <row r="4149">
      <c r="A4149" s="2"/>
      <c r="B4149" s="13"/>
      <c r="C4149" s="2"/>
      <c r="D4149" s="2"/>
      <c r="E4149" s="2"/>
      <c r="F4149" s="14"/>
      <c r="G4149" s="2"/>
      <c r="H4149" s="2"/>
    </row>
    <row r="4150">
      <c r="A4150" s="2"/>
      <c r="B4150" s="13"/>
      <c r="C4150" s="2"/>
      <c r="D4150" s="2"/>
      <c r="E4150" s="2"/>
      <c r="F4150" s="14"/>
      <c r="G4150" s="2"/>
      <c r="H4150" s="2"/>
    </row>
    <row r="4151">
      <c r="A4151" s="2"/>
      <c r="B4151" s="13"/>
      <c r="C4151" s="2"/>
      <c r="D4151" s="2"/>
      <c r="E4151" s="2"/>
      <c r="F4151" s="14"/>
      <c r="G4151" s="2"/>
      <c r="H4151" s="2"/>
    </row>
    <row r="4152">
      <c r="A4152" s="2"/>
      <c r="B4152" s="13"/>
      <c r="C4152" s="2"/>
      <c r="D4152" s="2"/>
      <c r="E4152" s="2"/>
      <c r="F4152" s="14"/>
      <c r="G4152" s="2"/>
      <c r="H4152" s="2"/>
    </row>
    <row r="4153">
      <c r="A4153" s="2"/>
      <c r="B4153" s="13"/>
      <c r="C4153" s="2"/>
      <c r="D4153" s="2"/>
      <c r="E4153" s="2"/>
      <c r="F4153" s="14"/>
      <c r="G4153" s="2"/>
      <c r="H4153" s="2"/>
    </row>
    <row r="4154">
      <c r="A4154" s="2"/>
      <c r="B4154" s="13"/>
      <c r="C4154" s="2"/>
      <c r="D4154" s="2"/>
      <c r="E4154" s="2"/>
      <c r="F4154" s="14"/>
      <c r="G4154" s="2"/>
      <c r="H4154" s="2"/>
    </row>
    <row r="4155">
      <c r="A4155" s="2"/>
      <c r="B4155" s="13"/>
      <c r="C4155" s="2"/>
      <c r="D4155" s="2"/>
      <c r="E4155" s="2"/>
      <c r="F4155" s="14"/>
      <c r="G4155" s="2"/>
      <c r="H4155" s="2"/>
    </row>
    <row r="4156">
      <c r="A4156" s="2"/>
      <c r="B4156" s="13"/>
      <c r="C4156" s="2"/>
      <c r="D4156" s="2"/>
      <c r="E4156" s="2"/>
      <c r="F4156" s="14"/>
      <c r="G4156" s="2"/>
      <c r="H4156" s="2"/>
    </row>
    <row r="4157">
      <c r="A4157" s="2"/>
      <c r="B4157" s="13"/>
      <c r="C4157" s="2"/>
      <c r="D4157" s="2"/>
      <c r="E4157" s="2"/>
      <c r="F4157" s="14"/>
      <c r="G4157" s="2"/>
      <c r="H4157" s="2"/>
    </row>
    <row r="4158">
      <c r="A4158" s="2"/>
      <c r="B4158" s="13"/>
      <c r="C4158" s="2"/>
      <c r="D4158" s="2"/>
      <c r="E4158" s="2"/>
      <c r="F4158" s="14"/>
      <c r="G4158" s="2"/>
      <c r="H4158" s="2"/>
    </row>
    <row r="4159">
      <c r="A4159" s="2"/>
      <c r="B4159" s="13"/>
      <c r="C4159" s="2"/>
      <c r="D4159" s="2"/>
      <c r="E4159" s="2"/>
      <c r="F4159" s="14"/>
      <c r="G4159" s="2"/>
      <c r="H4159" s="2"/>
    </row>
    <row r="4160">
      <c r="A4160" s="2"/>
      <c r="B4160" s="13"/>
      <c r="C4160" s="2"/>
      <c r="D4160" s="2"/>
      <c r="E4160" s="2"/>
      <c r="F4160" s="14"/>
      <c r="G4160" s="2"/>
      <c r="H4160" s="2"/>
    </row>
    <row r="4161">
      <c r="A4161" s="2"/>
      <c r="B4161" s="13"/>
      <c r="C4161" s="2"/>
      <c r="D4161" s="2"/>
      <c r="E4161" s="2"/>
      <c r="F4161" s="14"/>
      <c r="G4161" s="2"/>
      <c r="H4161" s="2"/>
    </row>
    <row r="4162">
      <c r="A4162" s="2"/>
      <c r="B4162" s="13"/>
      <c r="C4162" s="2"/>
      <c r="D4162" s="2"/>
      <c r="E4162" s="2"/>
      <c r="F4162" s="14"/>
      <c r="G4162" s="2"/>
      <c r="H4162" s="2"/>
    </row>
    <row r="4163">
      <c r="A4163" s="2"/>
      <c r="B4163" s="13"/>
      <c r="C4163" s="2"/>
      <c r="D4163" s="2"/>
      <c r="E4163" s="2"/>
      <c r="F4163" s="14"/>
      <c r="G4163" s="2"/>
      <c r="H4163" s="2"/>
    </row>
    <row r="4164">
      <c r="A4164" s="2"/>
      <c r="B4164" s="13"/>
      <c r="C4164" s="2"/>
      <c r="D4164" s="2"/>
      <c r="E4164" s="2"/>
      <c r="F4164" s="14"/>
      <c r="G4164" s="2"/>
      <c r="H4164" s="2"/>
    </row>
    <row r="4165">
      <c r="A4165" s="2"/>
      <c r="B4165" s="13"/>
      <c r="C4165" s="2"/>
      <c r="D4165" s="2"/>
      <c r="E4165" s="2"/>
      <c r="F4165" s="14"/>
      <c r="G4165" s="2"/>
      <c r="H4165" s="2"/>
    </row>
    <row r="4166">
      <c r="A4166" s="2"/>
      <c r="B4166" s="13"/>
      <c r="C4166" s="2"/>
      <c r="D4166" s="2"/>
      <c r="E4166" s="2"/>
      <c r="F4166" s="14"/>
      <c r="G4166" s="2"/>
      <c r="H4166" s="2"/>
    </row>
    <row r="4167">
      <c r="A4167" s="2"/>
      <c r="B4167" s="13"/>
      <c r="C4167" s="2"/>
      <c r="D4167" s="2"/>
      <c r="E4167" s="2"/>
      <c r="F4167" s="14"/>
      <c r="G4167" s="2"/>
      <c r="H4167" s="2"/>
    </row>
    <row r="4168">
      <c r="A4168" s="2"/>
      <c r="B4168" s="13"/>
      <c r="C4168" s="2"/>
      <c r="D4168" s="2"/>
      <c r="E4168" s="2"/>
      <c r="F4168" s="14"/>
      <c r="G4168" s="2"/>
      <c r="H4168" s="2"/>
    </row>
    <row r="4169">
      <c r="A4169" s="2"/>
      <c r="B4169" s="13"/>
      <c r="C4169" s="2"/>
      <c r="D4169" s="2"/>
      <c r="E4169" s="2"/>
      <c r="F4169" s="14"/>
      <c r="G4169" s="2"/>
      <c r="H4169" s="2"/>
    </row>
    <row r="4170">
      <c r="A4170" s="2"/>
      <c r="B4170" s="13"/>
      <c r="C4170" s="2"/>
      <c r="D4170" s="2"/>
      <c r="E4170" s="2"/>
      <c r="F4170" s="14"/>
      <c r="G4170" s="2"/>
      <c r="H4170" s="2"/>
    </row>
    <row r="4171">
      <c r="A4171" s="2"/>
      <c r="B4171" s="13"/>
      <c r="C4171" s="2"/>
      <c r="D4171" s="2"/>
      <c r="E4171" s="2"/>
      <c r="F4171" s="14"/>
      <c r="G4171" s="2"/>
      <c r="H4171" s="2"/>
    </row>
    <row r="4172">
      <c r="A4172" s="2"/>
      <c r="B4172" s="13"/>
      <c r="C4172" s="2"/>
      <c r="D4172" s="2"/>
      <c r="E4172" s="2"/>
      <c r="F4172" s="14"/>
      <c r="G4172" s="2"/>
      <c r="H4172" s="2"/>
    </row>
    <row r="4173">
      <c r="A4173" s="2"/>
      <c r="B4173" s="13"/>
      <c r="C4173" s="2"/>
      <c r="D4173" s="2"/>
      <c r="E4173" s="2"/>
      <c r="F4173" s="14"/>
      <c r="G4173" s="2"/>
      <c r="H4173" s="2"/>
    </row>
    <row r="4174">
      <c r="A4174" s="2"/>
      <c r="B4174" s="13"/>
      <c r="C4174" s="2"/>
      <c r="D4174" s="2"/>
      <c r="E4174" s="2"/>
      <c r="F4174" s="14"/>
      <c r="G4174" s="2"/>
      <c r="H4174" s="2"/>
    </row>
    <row r="4175">
      <c r="A4175" s="2"/>
      <c r="B4175" s="13"/>
      <c r="C4175" s="2"/>
      <c r="D4175" s="2"/>
      <c r="E4175" s="2"/>
      <c r="F4175" s="14"/>
      <c r="G4175" s="2"/>
      <c r="H4175" s="2"/>
    </row>
    <row r="4176">
      <c r="A4176" s="2"/>
      <c r="B4176" s="13"/>
      <c r="C4176" s="2"/>
      <c r="D4176" s="2"/>
      <c r="E4176" s="2"/>
      <c r="F4176" s="14"/>
      <c r="G4176" s="2"/>
      <c r="H4176" s="2"/>
    </row>
    <row r="4177">
      <c r="A4177" s="2"/>
      <c r="B4177" s="13"/>
      <c r="C4177" s="2"/>
      <c r="D4177" s="2"/>
      <c r="E4177" s="2"/>
      <c r="F4177" s="14"/>
      <c r="G4177" s="2"/>
      <c r="H4177" s="2"/>
    </row>
    <row r="4178">
      <c r="A4178" s="2"/>
      <c r="B4178" s="13"/>
      <c r="C4178" s="2"/>
      <c r="D4178" s="2"/>
      <c r="E4178" s="2"/>
      <c r="F4178" s="14"/>
      <c r="G4178" s="2"/>
      <c r="H4178" s="2"/>
    </row>
    <row r="4179">
      <c r="A4179" s="2"/>
      <c r="B4179" s="13"/>
      <c r="C4179" s="2"/>
      <c r="D4179" s="2"/>
      <c r="E4179" s="2"/>
      <c r="F4179" s="14"/>
      <c r="G4179" s="2"/>
      <c r="H4179" s="2"/>
    </row>
    <row r="4180">
      <c r="A4180" s="2"/>
      <c r="B4180" s="13"/>
      <c r="C4180" s="2"/>
      <c r="D4180" s="2"/>
      <c r="E4180" s="2"/>
      <c r="F4180" s="14"/>
      <c r="G4180" s="2"/>
      <c r="H4180" s="2"/>
    </row>
    <row r="4181">
      <c r="A4181" s="2"/>
      <c r="B4181" s="13"/>
      <c r="C4181" s="2"/>
      <c r="D4181" s="2"/>
      <c r="E4181" s="2"/>
      <c r="F4181" s="14"/>
      <c r="G4181" s="2"/>
      <c r="H4181" s="2"/>
    </row>
    <row r="4182">
      <c r="A4182" s="2"/>
      <c r="B4182" s="13"/>
      <c r="C4182" s="2"/>
      <c r="D4182" s="2"/>
      <c r="E4182" s="2"/>
      <c r="F4182" s="14"/>
      <c r="G4182" s="2"/>
      <c r="H4182" s="2"/>
    </row>
    <row r="4183">
      <c r="A4183" s="2"/>
      <c r="B4183" s="13"/>
      <c r="C4183" s="2"/>
      <c r="D4183" s="2"/>
      <c r="E4183" s="2"/>
      <c r="F4183" s="14"/>
      <c r="G4183" s="2"/>
      <c r="H4183" s="2"/>
    </row>
    <row r="4184">
      <c r="A4184" s="2"/>
      <c r="B4184" s="13"/>
      <c r="C4184" s="2"/>
      <c r="D4184" s="2"/>
      <c r="E4184" s="2"/>
      <c r="F4184" s="14"/>
      <c r="G4184" s="2"/>
      <c r="H4184" s="2"/>
    </row>
    <row r="4185">
      <c r="A4185" s="2"/>
      <c r="B4185" s="13"/>
      <c r="C4185" s="2"/>
      <c r="D4185" s="2"/>
      <c r="E4185" s="2"/>
      <c r="F4185" s="14"/>
      <c r="G4185" s="2"/>
      <c r="H4185" s="2"/>
    </row>
    <row r="4186">
      <c r="A4186" s="2"/>
      <c r="B4186" s="13"/>
      <c r="C4186" s="2"/>
      <c r="D4186" s="2"/>
      <c r="E4186" s="2"/>
      <c r="F4186" s="14"/>
      <c r="G4186" s="2"/>
      <c r="H4186" s="2"/>
    </row>
    <row r="4187">
      <c r="A4187" s="2"/>
      <c r="B4187" s="13"/>
      <c r="C4187" s="2"/>
      <c r="D4187" s="2"/>
      <c r="E4187" s="2"/>
      <c r="F4187" s="14"/>
      <c r="G4187" s="2"/>
      <c r="H4187" s="2"/>
    </row>
    <row r="4188">
      <c r="A4188" s="2"/>
      <c r="B4188" s="13"/>
      <c r="C4188" s="2"/>
      <c r="D4188" s="2"/>
      <c r="E4188" s="2"/>
      <c r="F4188" s="14"/>
      <c r="G4188" s="2"/>
      <c r="H4188" s="2"/>
    </row>
    <row r="4189">
      <c r="A4189" s="2"/>
      <c r="B4189" s="13"/>
      <c r="C4189" s="2"/>
      <c r="D4189" s="2"/>
      <c r="E4189" s="2"/>
      <c r="F4189" s="14"/>
      <c r="G4189" s="2"/>
      <c r="H4189" s="2"/>
    </row>
    <row r="4190">
      <c r="A4190" s="2"/>
      <c r="B4190" s="13"/>
      <c r="C4190" s="2"/>
      <c r="D4190" s="2"/>
      <c r="E4190" s="2"/>
      <c r="F4190" s="14"/>
      <c r="G4190" s="2"/>
      <c r="H4190" s="2"/>
    </row>
    <row r="4191">
      <c r="A4191" s="2"/>
      <c r="B4191" s="13"/>
      <c r="C4191" s="2"/>
      <c r="D4191" s="2"/>
      <c r="E4191" s="2"/>
      <c r="F4191" s="14"/>
      <c r="G4191" s="2"/>
      <c r="H4191" s="2"/>
    </row>
    <row r="4192">
      <c r="A4192" s="2"/>
      <c r="B4192" s="13"/>
      <c r="C4192" s="2"/>
      <c r="D4192" s="2"/>
      <c r="E4192" s="2"/>
      <c r="F4192" s="14"/>
      <c r="G4192" s="2"/>
      <c r="H4192" s="2"/>
    </row>
    <row r="4193">
      <c r="A4193" s="2"/>
      <c r="B4193" s="13"/>
      <c r="C4193" s="2"/>
      <c r="D4193" s="2"/>
      <c r="E4193" s="2"/>
      <c r="F4193" s="14"/>
      <c r="G4193" s="2"/>
      <c r="H4193" s="2"/>
    </row>
    <row r="4194">
      <c r="A4194" s="2"/>
      <c r="B4194" s="13"/>
      <c r="C4194" s="2"/>
      <c r="D4194" s="2"/>
      <c r="E4194" s="2"/>
      <c r="F4194" s="14"/>
      <c r="G4194" s="2"/>
      <c r="H4194" s="2"/>
    </row>
    <row r="4195">
      <c r="A4195" s="2"/>
      <c r="B4195" s="13"/>
      <c r="C4195" s="2"/>
      <c r="D4195" s="2"/>
      <c r="E4195" s="2"/>
      <c r="F4195" s="14"/>
      <c r="G4195" s="2"/>
      <c r="H4195" s="2"/>
    </row>
    <row r="4196">
      <c r="A4196" s="2"/>
      <c r="B4196" s="13"/>
      <c r="C4196" s="2"/>
      <c r="D4196" s="2"/>
      <c r="E4196" s="2"/>
      <c r="F4196" s="14"/>
      <c r="G4196" s="2"/>
      <c r="H4196" s="2"/>
    </row>
    <row r="4197">
      <c r="A4197" s="2"/>
      <c r="B4197" s="13"/>
      <c r="C4197" s="2"/>
      <c r="D4197" s="2"/>
      <c r="E4197" s="2"/>
      <c r="F4197" s="14"/>
      <c r="G4197" s="2"/>
      <c r="H4197" s="2"/>
    </row>
    <row r="4198">
      <c r="A4198" s="2"/>
      <c r="B4198" s="13"/>
      <c r="C4198" s="2"/>
      <c r="D4198" s="2"/>
      <c r="E4198" s="2"/>
      <c r="F4198" s="14"/>
      <c r="G4198" s="2"/>
      <c r="H4198" s="2"/>
    </row>
    <row r="4199">
      <c r="A4199" s="2"/>
      <c r="B4199" s="13"/>
      <c r="C4199" s="2"/>
      <c r="D4199" s="2"/>
      <c r="E4199" s="2"/>
      <c r="F4199" s="14"/>
      <c r="G4199" s="2"/>
      <c r="H4199" s="2"/>
    </row>
    <row r="4200">
      <c r="A4200" s="2"/>
      <c r="B4200" s="13"/>
      <c r="C4200" s="2"/>
      <c r="D4200" s="2"/>
      <c r="E4200" s="2"/>
      <c r="F4200" s="14"/>
      <c r="G4200" s="2"/>
      <c r="H4200" s="2"/>
    </row>
    <row r="4201">
      <c r="A4201" s="2"/>
      <c r="B4201" s="13"/>
      <c r="C4201" s="2"/>
      <c r="D4201" s="2"/>
      <c r="E4201" s="2"/>
      <c r="F4201" s="14"/>
      <c r="G4201" s="2"/>
      <c r="H4201" s="2"/>
    </row>
    <row r="4202">
      <c r="A4202" s="2"/>
      <c r="B4202" s="13"/>
      <c r="C4202" s="2"/>
      <c r="D4202" s="2"/>
      <c r="E4202" s="2"/>
      <c r="F4202" s="14"/>
      <c r="G4202" s="2"/>
      <c r="H4202" s="2"/>
    </row>
    <row r="4203">
      <c r="A4203" s="2"/>
      <c r="B4203" s="13"/>
      <c r="C4203" s="2"/>
      <c r="D4203" s="2"/>
      <c r="E4203" s="2"/>
      <c r="F4203" s="14"/>
      <c r="G4203" s="2"/>
      <c r="H4203" s="2"/>
    </row>
    <row r="4204">
      <c r="A4204" s="2"/>
      <c r="B4204" s="13"/>
      <c r="C4204" s="2"/>
      <c r="D4204" s="2"/>
      <c r="E4204" s="2"/>
      <c r="F4204" s="14"/>
      <c r="G4204" s="2"/>
      <c r="H4204" s="2"/>
    </row>
    <row r="4205">
      <c r="A4205" s="2"/>
      <c r="B4205" s="13"/>
      <c r="C4205" s="2"/>
      <c r="D4205" s="2"/>
      <c r="E4205" s="2"/>
      <c r="F4205" s="14"/>
      <c r="G4205" s="2"/>
      <c r="H4205" s="2"/>
    </row>
    <row r="4206">
      <c r="A4206" s="2"/>
      <c r="B4206" s="13"/>
      <c r="C4206" s="2"/>
      <c r="D4206" s="2"/>
      <c r="E4206" s="2"/>
      <c r="F4206" s="14"/>
      <c r="G4206" s="2"/>
      <c r="H4206" s="2"/>
    </row>
    <row r="4207">
      <c r="A4207" s="2"/>
      <c r="B4207" s="13"/>
      <c r="C4207" s="2"/>
      <c r="D4207" s="2"/>
      <c r="E4207" s="2"/>
      <c r="F4207" s="14"/>
      <c r="G4207" s="2"/>
      <c r="H4207" s="2"/>
    </row>
    <row r="4208">
      <c r="A4208" s="2"/>
      <c r="B4208" s="13"/>
      <c r="C4208" s="2"/>
      <c r="D4208" s="2"/>
      <c r="E4208" s="2"/>
      <c r="F4208" s="14"/>
      <c r="G4208" s="2"/>
      <c r="H4208" s="2"/>
    </row>
    <row r="4209">
      <c r="A4209" s="2"/>
      <c r="B4209" s="13"/>
      <c r="C4209" s="2"/>
      <c r="D4209" s="2"/>
      <c r="E4209" s="2"/>
      <c r="F4209" s="14"/>
      <c r="G4209" s="2"/>
      <c r="H4209" s="2"/>
    </row>
    <row r="4210">
      <c r="A4210" s="2"/>
      <c r="B4210" s="13"/>
      <c r="C4210" s="2"/>
      <c r="D4210" s="2"/>
      <c r="E4210" s="2"/>
      <c r="F4210" s="14"/>
      <c r="G4210" s="2"/>
      <c r="H4210" s="2"/>
    </row>
    <row r="4211">
      <c r="A4211" s="2"/>
      <c r="B4211" s="13"/>
      <c r="C4211" s="2"/>
      <c r="D4211" s="2"/>
      <c r="E4211" s="2"/>
      <c r="F4211" s="14"/>
      <c r="G4211" s="2"/>
      <c r="H4211" s="2"/>
    </row>
    <row r="4212">
      <c r="A4212" s="2"/>
      <c r="B4212" s="13"/>
      <c r="C4212" s="2"/>
      <c r="D4212" s="2"/>
      <c r="E4212" s="2"/>
      <c r="F4212" s="14"/>
      <c r="G4212" s="2"/>
      <c r="H4212" s="2"/>
    </row>
    <row r="4213">
      <c r="A4213" s="2"/>
      <c r="B4213" s="13"/>
      <c r="C4213" s="2"/>
      <c r="D4213" s="2"/>
      <c r="E4213" s="2"/>
      <c r="F4213" s="14"/>
      <c r="G4213" s="2"/>
      <c r="H4213" s="2"/>
    </row>
    <row r="4214">
      <c r="A4214" s="2"/>
      <c r="B4214" s="13"/>
      <c r="C4214" s="2"/>
      <c r="D4214" s="2"/>
      <c r="E4214" s="2"/>
      <c r="F4214" s="14"/>
      <c r="G4214" s="2"/>
      <c r="H4214" s="2"/>
    </row>
    <row r="4215">
      <c r="A4215" s="2"/>
      <c r="B4215" s="13"/>
      <c r="C4215" s="2"/>
      <c r="D4215" s="2"/>
      <c r="E4215" s="2"/>
      <c r="F4215" s="14"/>
      <c r="G4215" s="2"/>
      <c r="H4215" s="2"/>
    </row>
    <row r="4216">
      <c r="A4216" s="2"/>
      <c r="B4216" s="13"/>
      <c r="C4216" s="2"/>
      <c r="D4216" s="2"/>
      <c r="E4216" s="2"/>
      <c r="F4216" s="14"/>
      <c r="G4216" s="2"/>
      <c r="H4216" s="2"/>
    </row>
    <row r="4217">
      <c r="A4217" s="2"/>
      <c r="B4217" s="13"/>
      <c r="C4217" s="2"/>
      <c r="D4217" s="2"/>
      <c r="E4217" s="2"/>
      <c r="F4217" s="14"/>
      <c r="G4217" s="2"/>
      <c r="H4217" s="2"/>
    </row>
    <row r="4218">
      <c r="A4218" s="2"/>
      <c r="B4218" s="13"/>
      <c r="C4218" s="2"/>
      <c r="D4218" s="2"/>
      <c r="E4218" s="2"/>
      <c r="F4218" s="14"/>
      <c r="G4218" s="2"/>
      <c r="H4218" s="2"/>
    </row>
    <row r="4219">
      <c r="A4219" s="2"/>
      <c r="B4219" s="13"/>
      <c r="C4219" s="2"/>
      <c r="D4219" s="2"/>
      <c r="E4219" s="2"/>
      <c r="F4219" s="14"/>
      <c r="G4219" s="2"/>
      <c r="H4219" s="2"/>
    </row>
    <row r="4220">
      <c r="A4220" s="2"/>
      <c r="B4220" s="13"/>
      <c r="C4220" s="2"/>
      <c r="D4220" s="2"/>
      <c r="E4220" s="2"/>
      <c r="F4220" s="14"/>
      <c r="G4220" s="2"/>
      <c r="H4220" s="2"/>
    </row>
    <row r="4221">
      <c r="A4221" s="2"/>
      <c r="B4221" s="13"/>
      <c r="C4221" s="2"/>
      <c r="D4221" s="2"/>
      <c r="E4221" s="2"/>
      <c r="F4221" s="14"/>
      <c r="G4221" s="2"/>
      <c r="H4221" s="2"/>
    </row>
    <row r="4222">
      <c r="A4222" s="2"/>
      <c r="B4222" s="13"/>
      <c r="C4222" s="2"/>
      <c r="D4222" s="2"/>
      <c r="E4222" s="2"/>
      <c r="F4222" s="14"/>
      <c r="G4222" s="2"/>
      <c r="H4222" s="2"/>
    </row>
    <row r="4223">
      <c r="A4223" s="2"/>
      <c r="B4223" s="13"/>
      <c r="C4223" s="2"/>
      <c r="D4223" s="2"/>
      <c r="E4223" s="2"/>
      <c r="F4223" s="14"/>
      <c r="G4223" s="2"/>
      <c r="H4223" s="2"/>
    </row>
    <row r="4224">
      <c r="A4224" s="2"/>
      <c r="B4224" s="13"/>
      <c r="C4224" s="2"/>
      <c r="D4224" s="2"/>
      <c r="E4224" s="2"/>
      <c r="F4224" s="14"/>
      <c r="G4224" s="2"/>
      <c r="H4224" s="2"/>
    </row>
    <row r="4225">
      <c r="A4225" s="2"/>
      <c r="B4225" s="13"/>
      <c r="C4225" s="2"/>
      <c r="D4225" s="2"/>
      <c r="E4225" s="2"/>
      <c r="F4225" s="14"/>
      <c r="G4225" s="2"/>
      <c r="H4225" s="2"/>
    </row>
    <row r="4226">
      <c r="A4226" s="2"/>
      <c r="B4226" s="13"/>
      <c r="C4226" s="2"/>
      <c r="D4226" s="2"/>
      <c r="E4226" s="2"/>
      <c r="F4226" s="14"/>
      <c r="G4226" s="2"/>
      <c r="H4226" s="2"/>
    </row>
    <row r="4227">
      <c r="A4227" s="2"/>
      <c r="B4227" s="13"/>
      <c r="C4227" s="2"/>
      <c r="D4227" s="2"/>
      <c r="E4227" s="2"/>
      <c r="F4227" s="14"/>
      <c r="G4227" s="2"/>
      <c r="H4227" s="2"/>
    </row>
    <row r="4228">
      <c r="A4228" s="2"/>
      <c r="B4228" s="13"/>
      <c r="C4228" s="2"/>
      <c r="D4228" s="2"/>
      <c r="E4228" s="2"/>
      <c r="F4228" s="14"/>
      <c r="G4228" s="2"/>
      <c r="H4228" s="2"/>
    </row>
    <row r="4229">
      <c r="A4229" s="2"/>
      <c r="B4229" s="13"/>
      <c r="C4229" s="2"/>
      <c r="D4229" s="2"/>
      <c r="E4229" s="2"/>
      <c r="F4229" s="14"/>
      <c r="G4229" s="2"/>
      <c r="H4229" s="2"/>
    </row>
    <row r="4230">
      <c r="A4230" s="2"/>
      <c r="B4230" s="13"/>
      <c r="C4230" s="2"/>
      <c r="D4230" s="2"/>
      <c r="E4230" s="2"/>
      <c r="F4230" s="14"/>
      <c r="G4230" s="2"/>
      <c r="H4230" s="2"/>
    </row>
    <row r="4231">
      <c r="A4231" s="2"/>
      <c r="B4231" s="13"/>
      <c r="C4231" s="2"/>
      <c r="D4231" s="2"/>
      <c r="E4231" s="2"/>
      <c r="F4231" s="14"/>
      <c r="G4231" s="2"/>
      <c r="H4231" s="2"/>
    </row>
    <row r="4232">
      <c r="A4232" s="2"/>
      <c r="B4232" s="13"/>
      <c r="C4232" s="2"/>
      <c r="D4232" s="2"/>
      <c r="E4232" s="2"/>
      <c r="F4232" s="14"/>
      <c r="G4232" s="2"/>
      <c r="H4232" s="2"/>
    </row>
    <row r="4233">
      <c r="A4233" s="2"/>
      <c r="B4233" s="13"/>
      <c r="C4233" s="2"/>
      <c r="D4233" s="2"/>
      <c r="E4233" s="2"/>
      <c r="F4233" s="14"/>
      <c r="G4233" s="2"/>
      <c r="H4233" s="2"/>
    </row>
    <row r="4234">
      <c r="A4234" s="2"/>
      <c r="B4234" s="13"/>
      <c r="C4234" s="2"/>
      <c r="D4234" s="2"/>
      <c r="E4234" s="2"/>
      <c r="F4234" s="14"/>
      <c r="G4234" s="2"/>
      <c r="H4234" s="2"/>
    </row>
    <row r="4235">
      <c r="A4235" s="2"/>
      <c r="B4235" s="13"/>
      <c r="C4235" s="2"/>
      <c r="D4235" s="2"/>
      <c r="E4235" s="2"/>
      <c r="F4235" s="14"/>
      <c r="G4235" s="2"/>
      <c r="H4235" s="2"/>
    </row>
    <row r="4236">
      <c r="A4236" s="2"/>
      <c r="B4236" s="13"/>
      <c r="C4236" s="2"/>
      <c r="D4236" s="2"/>
      <c r="E4236" s="2"/>
      <c r="F4236" s="14"/>
      <c r="G4236" s="2"/>
      <c r="H4236" s="2"/>
    </row>
    <row r="4237">
      <c r="A4237" s="2"/>
      <c r="B4237" s="13"/>
      <c r="C4237" s="2"/>
      <c r="D4237" s="2"/>
      <c r="E4237" s="2"/>
      <c r="F4237" s="14"/>
      <c r="G4237" s="2"/>
      <c r="H4237" s="2"/>
    </row>
    <row r="4238">
      <c r="A4238" s="2"/>
      <c r="B4238" s="13"/>
      <c r="C4238" s="2"/>
      <c r="D4238" s="2"/>
      <c r="E4238" s="2"/>
      <c r="F4238" s="14"/>
      <c r="G4238" s="2"/>
      <c r="H4238" s="2"/>
    </row>
    <row r="4239">
      <c r="A4239" s="2"/>
      <c r="B4239" s="13"/>
      <c r="C4239" s="2"/>
      <c r="D4239" s="2"/>
      <c r="E4239" s="2"/>
      <c r="F4239" s="14"/>
      <c r="G4239" s="2"/>
      <c r="H4239" s="2"/>
    </row>
    <row r="4240">
      <c r="A4240" s="2"/>
      <c r="B4240" s="13"/>
      <c r="C4240" s="2"/>
      <c r="D4240" s="2"/>
      <c r="E4240" s="2"/>
      <c r="F4240" s="14"/>
      <c r="G4240" s="2"/>
      <c r="H4240" s="2"/>
    </row>
    <row r="4241">
      <c r="A4241" s="2"/>
      <c r="B4241" s="13"/>
      <c r="C4241" s="2"/>
      <c r="D4241" s="2"/>
      <c r="E4241" s="2"/>
      <c r="F4241" s="14"/>
      <c r="G4241" s="2"/>
      <c r="H4241" s="2"/>
    </row>
    <row r="4242">
      <c r="A4242" s="2"/>
      <c r="B4242" s="13"/>
      <c r="C4242" s="2"/>
      <c r="D4242" s="2"/>
      <c r="E4242" s="2"/>
      <c r="F4242" s="14"/>
      <c r="G4242" s="2"/>
      <c r="H4242" s="2"/>
    </row>
    <row r="4243">
      <c r="A4243" s="2"/>
      <c r="B4243" s="13"/>
      <c r="C4243" s="2"/>
      <c r="D4243" s="2"/>
      <c r="E4243" s="2"/>
      <c r="F4243" s="14"/>
      <c r="G4243" s="2"/>
      <c r="H4243" s="2"/>
    </row>
    <row r="4244">
      <c r="A4244" s="2"/>
      <c r="B4244" s="13"/>
      <c r="C4244" s="2"/>
      <c r="D4244" s="2"/>
      <c r="E4244" s="2"/>
      <c r="F4244" s="14"/>
      <c r="G4244" s="2"/>
      <c r="H4244" s="2"/>
    </row>
    <row r="4245">
      <c r="A4245" s="2"/>
      <c r="B4245" s="13"/>
      <c r="C4245" s="2"/>
      <c r="D4245" s="2"/>
      <c r="E4245" s="2"/>
      <c r="F4245" s="14"/>
      <c r="G4245" s="2"/>
      <c r="H4245" s="2"/>
    </row>
    <row r="4246">
      <c r="A4246" s="2"/>
      <c r="B4246" s="13"/>
      <c r="C4246" s="2"/>
      <c r="D4246" s="2"/>
      <c r="E4246" s="2"/>
      <c r="F4246" s="14"/>
      <c r="G4246" s="2"/>
      <c r="H4246" s="2"/>
    </row>
    <row r="4247">
      <c r="A4247" s="2"/>
      <c r="B4247" s="13"/>
      <c r="C4247" s="2"/>
      <c r="D4247" s="2"/>
      <c r="E4247" s="2"/>
      <c r="F4247" s="14"/>
      <c r="G4247" s="2"/>
      <c r="H4247" s="2"/>
    </row>
    <row r="4248">
      <c r="A4248" s="2"/>
      <c r="B4248" s="13"/>
      <c r="C4248" s="2"/>
      <c r="D4248" s="2"/>
      <c r="E4248" s="2"/>
      <c r="F4248" s="14"/>
      <c r="G4248" s="2"/>
      <c r="H4248" s="2"/>
    </row>
    <row r="4249">
      <c r="A4249" s="2"/>
      <c r="B4249" s="13"/>
      <c r="C4249" s="2"/>
      <c r="D4249" s="2"/>
      <c r="E4249" s="2"/>
      <c r="F4249" s="14"/>
      <c r="G4249" s="2"/>
      <c r="H4249" s="2"/>
    </row>
    <row r="4250">
      <c r="A4250" s="2"/>
      <c r="B4250" s="13"/>
      <c r="C4250" s="2"/>
      <c r="D4250" s="2"/>
      <c r="E4250" s="2"/>
      <c r="F4250" s="14"/>
      <c r="G4250" s="2"/>
      <c r="H4250" s="2"/>
    </row>
    <row r="4251">
      <c r="A4251" s="2"/>
      <c r="B4251" s="13"/>
      <c r="C4251" s="2"/>
      <c r="D4251" s="2"/>
      <c r="E4251" s="2"/>
      <c r="F4251" s="14"/>
      <c r="G4251" s="2"/>
      <c r="H4251" s="2"/>
    </row>
    <row r="4252">
      <c r="A4252" s="2"/>
      <c r="B4252" s="13"/>
      <c r="C4252" s="2"/>
      <c r="D4252" s="2"/>
      <c r="E4252" s="2"/>
      <c r="F4252" s="14"/>
      <c r="G4252" s="2"/>
      <c r="H4252" s="2"/>
    </row>
    <row r="4253">
      <c r="A4253" s="2"/>
      <c r="B4253" s="13"/>
      <c r="C4253" s="2"/>
      <c r="D4253" s="2"/>
      <c r="E4253" s="2"/>
      <c r="F4253" s="14"/>
      <c r="G4253" s="2"/>
      <c r="H4253" s="2"/>
    </row>
    <row r="4254">
      <c r="A4254" s="2"/>
      <c r="B4254" s="13"/>
      <c r="C4254" s="2"/>
      <c r="D4254" s="2"/>
      <c r="E4254" s="2"/>
      <c r="F4254" s="14"/>
      <c r="G4254" s="2"/>
      <c r="H4254" s="2"/>
    </row>
    <row r="4255">
      <c r="A4255" s="2"/>
      <c r="B4255" s="13"/>
      <c r="C4255" s="2"/>
      <c r="D4255" s="2"/>
      <c r="E4255" s="2"/>
      <c r="F4255" s="14"/>
      <c r="G4255" s="2"/>
      <c r="H4255" s="2"/>
    </row>
    <row r="4256">
      <c r="A4256" s="2"/>
      <c r="B4256" s="13"/>
      <c r="C4256" s="2"/>
      <c r="D4256" s="2"/>
      <c r="E4256" s="2"/>
      <c r="F4256" s="14"/>
      <c r="G4256" s="2"/>
      <c r="H4256" s="2"/>
    </row>
    <row r="4257">
      <c r="A4257" s="2"/>
      <c r="B4257" s="13"/>
      <c r="C4257" s="2"/>
      <c r="D4257" s="2"/>
      <c r="E4257" s="2"/>
      <c r="F4257" s="14"/>
      <c r="G4257" s="2"/>
      <c r="H4257" s="2"/>
    </row>
    <row r="4258">
      <c r="A4258" s="2"/>
      <c r="B4258" s="13"/>
      <c r="C4258" s="2"/>
      <c r="D4258" s="2"/>
      <c r="E4258" s="2"/>
      <c r="F4258" s="14"/>
      <c r="G4258" s="2"/>
      <c r="H4258" s="2"/>
    </row>
    <row r="4259">
      <c r="A4259" s="2"/>
      <c r="B4259" s="13"/>
      <c r="C4259" s="2"/>
      <c r="D4259" s="2"/>
      <c r="E4259" s="2"/>
      <c r="F4259" s="14"/>
      <c r="G4259" s="2"/>
      <c r="H4259" s="2"/>
    </row>
    <row r="4260">
      <c r="A4260" s="2"/>
      <c r="B4260" s="13"/>
      <c r="C4260" s="2"/>
      <c r="D4260" s="2"/>
      <c r="E4260" s="2"/>
      <c r="F4260" s="14"/>
      <c r="G4260" s="2"/>
      <c r="H4260" s="2"/>
    </row>
    <row r="4261">
      <c r="A4261" s="2"/>
      <c r="B4261" s="13"/>
      <c r="C4261" s="2"/>
      <c r="D4261" s="2"/>
      <c r="E4261" s="2"/>
      <c r="F4261" s="14"/>
      <c r="G4261" s="2"/>
      <c r="H4261" s="2"/>
    </row>
    <row r="4262">
      <c r="A4262" s="2"/>
      <c r="B4262" s="13"/>
      <c r="C4262" s="2"/>
      <c r="D4262" s="2"/>
      <c r="E4262" s="2"/>
      <c r="F4262" s="14"/>
      <c r="G4262" s="2"/>
      <c r="H4262" s="2"/>
    </row>
    <row r="4263">
      <c r="A4263" s="2"/>
      <c r="B4263" s="13"/>
      <c r="C4263" s="2"/>
      <c r="D4263" s="2"/>
      <c r="E4263" s="2"/>
      <c r="F4263" s="14"/>
      <c r="G4263" s="2"/>
      <c r="H4263" s="2"/>
    </row>
    <row r="4264">
      <c r="A4264" s="2"/>
      <c r="B4264" s="13"/>
      <c r="C4264" s="2"/>
      <c r="D4264" s="2"/>
      <c r="E4264" s="2"/>
      <c r="F4264" s="14"/>
      <c r="G4264" s="2"/>
      <c r="H4264" s="2"/>
    </row>
    <row r="4265">
      <c r="A4265" s="2"/>
      <c r="B4265" s="13"/>
      <c r="C4265" s="2"/>
      <c r="D4265" s="2"/>
      <c r="E4265" s="2"/>
      <c r="F4265" s="14"/>
      <c r="G4265" s="2"/>
      <c r="H4265" s="2"/>
    </row>
    <row r="4266">
      <c r="A4266" s="2"/>
      <c r="B4266" s="13"/>
      <c r="C4266" s="2"/>
      <c r="D4266" s="2"/>
      <c r="E4266" s="2"/>
      <c r="F4266" s="14"/>
      <c r="G4266" s="2"/>
      <c r="H4266" s="2"/>
    </row>
    <row r="4267">
      <c r="A4267" s="2"/>
      <c r="B4267" s="13"/>
      <c r="C4267" s="2"/>
      <c r="D4267" s="2"/>
      <c r="E4267" s="2"/>
      <c r="F4267" s="14"/>
      <c r="G4267" s="2"/>
      <c r="H4267" s="2"/>
    </row>
    <row r="4268">
      <c r="A4268" s="2"/>
      <c r="B4268" s="13"/>
      <c r="C4268" s="2"/>
      <c r="D4268" s="2"/>
      <c r="E4268" s="2"/>
      <c r="F4268" s="14"/>
      <c r="G4268" s="2"/>
      <c r="H4268" s="2"/>
    </row>
    <row r="4269">
      <c r="A4269" s="2"/>
      <c r="B4269" s="13"/>
      <c r="C4269" s="2"/>
      <c r="D4269" s="2"/>
      <c r="E4269" s="2"/>
      <c r="F4269" s="14"/>
      <c r="G4269" s="2"/>
      <c r="H4269" s="2"/>
    </row>
    <row r="4270">
      <c r="A4270" s="2"/>
      <c r="B4270" s="13"/>
      <c r="C4270" s="2"/>
      <c r="D4270" s="2"/>
      <c r="E4270" s="2"/>
      <c r="F4270" s="14"/>
      <c r="G4270" s="2"/>
      <c r="H4270" s="2"/>
    </row>
    <row r="4271">
      <c r="A4271" s="2"/>
      <c r="B4271" s="13"/>
      <c r="C4271" s="2"/>
      <c r="D4271" s="2"/>
      <c r="E4271" s="2"/>
      <c r="F4271" s="14"/>
      <c r="G4271" s="2"/>
      <c r="H4271" s="2"/>
    </row>
    <row r="4272">
      <c r="A4272" s="2"/>
      <c r="B4272" s="13"/>
      <c r="C4272" s="2"/>
      <c r="D4272" s="2"/>
      <c r="E4272" s="2"/>
      <c r="F4272" s="14"/>
      <c r="G4272" s="2"/>
      <c r="H4272" s="2"/>
    </row>
    <row r="4273">
      <c r="A4273" s="2"/>
      <c r="B4273" s="13"/>
      <c r="C4273" s="2"/>
      <c r="D4273" s="2"/>
      <c r="E4273" s="2"/>
      <c r="F4273" s="14"/>
      <c r="G4273" s="2"/>
      <c r="H4273" s="2"/>
    </row>
    <row r="4274">
      <c r="A4274" s="2"/>
      <c r="B4274" s="13"/>
      <c r="C4274" s="2"/>
      <c r="D4274" s="2"/>
      <c r="E4274" s="2"/>
      <c r="F4274" s="14"/>
      <c r="G4274" s="2"/>
      <c r="H4274" s="2"/>
    </row>
    <row r="4275">
      <c r="A4275" s="2"/>
      <c r="B4275" s="13"/>
      <c r="C4275" s="2"/>
      <c r="D4275" s="2"/>
      <c r="E4275" s="2"/>
      <c r="F4275" s="14"/>
      <c r="G4275" s="2"/>
      <c r="H4275" s="2"/>
    </row>
    <row r="4276">
      <c r="A4276" s="2"/>
      <c r="B4276" s="13"/>
      <c r="C4276" s="2"/>
      <c r="D4276" s="2"/>
      <c r="E4276" s="2"/>
      <c r="F4276" s="14"/>
      <c r="G4276" s="2"/>
      <c r="H4276" s="2"/>
    </row>
    <row r="4277">
      <c r="A4277" s="2"/>
      <c r="B4277" s="13"/>
      <c r="C4277" s="2"/>
      <c r="D4277" s="2"/>
      <c r="E4277" s="2"/>
      <c r="F4277" s="14"/>
      <c r="G4277" s="2"/>
      <c r="H4277" s="2"/>
    </row>
    <row r="4278">
      <c r="A4278" s="2"/>
      <c r="B4278" s="13"/>
      <c r="C4278" s="2"/>
      <c r="D4278" s="2"/>
      <c r="E4278" s="2"/>
      <c r="F4278" s="14"/>
      <c r="G4278" s="2"/>
      <c r="H4278" s="2"/>
    </row>
    <row r="4279">
      <c r="A4279" s="2"/>
      <c r="B4279" s="13"/>
      <c r="C4279" s="2"/>
      <c r="D4279" s="2"/>
      <c r="E4279" s="2"/>
      <c r="F4279" s="14"/>
      <c r="G4279" s="2"/>
      <c r="H4279" s="2"/>
    </row>
    <row r="4280">
      <c r="A4280" s="2"/>
      <c r="B4280" s="13"/>
      <c r="C4280" s="2"/>
      <c r="D4280" s="2"/>
      <c r="E4280" s="2"/>
      <c r="F4280" s="14"/>
      <c r="G4280" s="2"/>
      <c r="H4280" s="2"/>
    </row>
    <row r="4281">
      <c r="A4281" s="2"/>
      <c r="B4281" s="13"/>
      <c r="C4281" s="2"/>
      <c r="D4281" s="2"/>
      <c r="E4281" s="2"/>
      <c r="F4281" s="14"/>
      <c r="G4281" s="2"/>
      <c r="H4281" s="2"/>
    </row>
    <row r="4282">
      <c r="A4282" s="2"/>
      <c r="B4282" s="13"/>
      <c r="C4282" s="2"/>
      <c r="D4282" s="2"/>
      <c r="E4282" s="2"/>
      <c r="F4282" s="14"/>
      <c r="G4282" s="2"/>
      <c r="H4282" s="2"/>
    </row>
    <row r="4283">
      <c r="A4283" s="2"/>
      <c r="B4283" s="13"/>
      <c r="C4283" s="2"/>
      <c r="D4283" s="2"/>
      <c r="E4283" s="2"/>
      <c r="F4283" s="14"/>
      <c r="G4283" s="2"/>
      <c r="H4283" s="2"/>
    </row>
    <row r="4284">
      <c r="A4284" s="2"/>
      <c r="B4284" s="13"/>
      <c r="C4284" s="2"/>
      <c r="D4284" s="2"/>
      <c r="E4284" s="2"/>
      <c r="F4284" s="14"/>
      <c r="G4284" s="2"/>
      <c r="H4284" s="2"/>
    </row>
    <row r="4285">
      <c r="A4285" s="2"/>
      <c r="B4285" s="13"/>
      <c r="C4285" s="2"/>
      <c r="D4285" s="2"/>
      <c r="E4285" s="2"/>
      <c r="F4285" s="14"/>
      <c r="G4285" s="2"/>
      <c r="H4285" s="2"/>
    </row>
    <row r="4286">
      <c r="A4286" s="2"/>
      <c r="B4286" s="13"/>
      <c r="C4286" s="2"/>
      <c r="D4286" s="2"/>
      <c r="E4286" s="2"/>
      <c r="F4286" s="14"/>
      <c r="G4286" s="2"/>
      <c r="H4286" s="2"/>
    </row>
    <row r="4287">
      <c r="A4287" s="2"/>
      <c r="B4287" s="13"/>
      <c r="C4287" s="2"/>
      <c r="D4287" s="2"/>
      <c r="E4287" s="2"/>
      <c r="F4287" s="14"/>
      <c r="G4287" s="2"/>
      <c r="H4287" s="2"/>
    </row>
    <row r="4288">
      <c r="A4288" s="2"/>
      <c r="B4288" s="13"/>
      <c r="C4288" s="2"/>
      <c r="D4288" s="2"/>
      <c r="E4288" s="2"/>
      <c r="F4288" s="14"/>
      <c r="G4288" s="2"/>
      <c r="H4288" s="2"/>
    </row>
    <row r="4289">
      <c r="A4289" s="2"/>
      <c r="B4289" s="13"/>
      <c r="C4289" s="2"/>
      <c r="D4289" s="2"/>
      <c r="E4289" s="2"/>
      <c r="F4289" s="14"/>
      <c r="G4289" s="2"/>
      <c r="H4289" s="2"/>
    </row>
    <row r="4290">
      <c r="A4290" s="2"/>
      <c r="B4290" s="13"/>
      <c r="C4290" s="2"/>
      <c r="D4290" s="2"/>
      <c r="E4290" s="2"/>
      <c r="F4290" s="14"/>
      <c r="G4290" s="2"/>
      <c r="H4290" s="2"/>
    </row>
    <row r="4291">
      <c r="A4291" s="2"/>
      <c r="B4291" s="13"/>
      <c r="C4291" s="2"/>
      <c r="D4291" s="2"/>
      <c r="E4291" s="2"/>
      <c r="F4291" s="14"/>
      <c r="G4291" s="2"/>
      <c r="H4291" s="2"/>
    </row>
    <row r="4292">
      <c r="A4292" s="2"/>
      <c r="B4292" s="13"/>
      <c r="C4292" s="2"/>
      <c r="D4292" s="2"/>
      <c r="E4292" s="2"/>
      <c r="F4292" s="14"/>
      <c r="G4292" s="2"/>
      <c r="H4292" s="2"/>
    </row>
    <row r="4293">
      <c r="A4293" s="2"/>
      <c r="B4293" s="13"/>
      <c r="C4293" s="2"/>
      <c r="D4293" s="2"/>
      <c r="E4293" s="2"/>
      <c r="F4293" s="14"/>
      <c r="G4293" s="2"/>
      <c r="H4293" s="2"/>
    </row>
    <row r="4294">
      <c r="A4294" s="2"/>
      <c r="B4294" s="13"/>
      <c r="C4294" s="2"/>
      <c r="D4294" s="2"/>
      <c r="E4294" s="2"/>
      <c r="F4294" s="14"/>
      <c r="G4294" s="2"/>
      <c r="H4294" s="2"/>
    </row>
    <row r="4295">
      <c r="A4295" s="2"/>
      <c r="B4295" s="13"/>
      <c r="C4295" s="2"/>
      <c r="D4295" s="2"/>
      <c r="E4295" s="2"/>
      <c r="F4295" s="14"/>
      <c r="G4295" s="2"/>
      <c r="H4295" s="2"/>
    </row>
    <row r="4296">
      <c r="A4296" s="2"/>
      <c r="B4296" s="13"/>
      <c r="C4296" s="2"/>
      <c r="D4296" s="2"/>
      <c r="E4296" s="2"/>
      <c r="F4296" s="14"/>
      <c r="G4296" s="2"/>
      <c r="H4296" s="2"/>
    </row>
    <row r="4297">
      <c r="A4297" s="2"/>
      <c r="B4297" s="13"/>
      <c r="C4297" s="2"/>
      <c r="D4297" s="2"/>
      <c r="E4297" s="2"/>
      <c r="F4297" s="14"/>
      <c r="G4297" s="2"/>
      <c r="H4297" s="2"/>
    </row>
    <row r="4298">
      <c r="A4298" s="2"/>
      <c r="B4298" s="13"/>
      <c r="C4298" s="2"/>
      <c r="D4298" s="2"/>
      <c r="E4298" s="2"/>
      <c r="F4298" s="14"/>
      <c r="G4298" s="2"/>
      <c r="H4298" s="2"/>
    </row>
    <row r="4299">
      <c r="A4299" s="2"/>
      <c r="B4299" s="13"/>
      <c r="C4299" s="2"/>
      <c r="D4299" s="2"/>
      <c r="E4299" s="2"/>
      <c r="F4299" s="14"/>
      <c r="G4299" s="2"/>
      <c r="H4299" s="2"/>
    </row>
    <row r="4300">
      <c r="A4300" s="2"/>
      <c r="B4300" s="13"/>
      <c r="C4300" s="2"/>
      <c r="D4300" s="2"/>
      <c r="E4300" s="2"/>
      <c r="F4300" s="14"/>
      <c r="G4300" s="2"/>
      <c r="H4300" s="2"/>
    </row>
    <row r="4301">
      <c r="A4301" s="2"/>
      <c r="B4301" s="13"/>
      <c r="C4301" s="2"/>
      <c r="D4301" s="2"/>
      <c r="E4301" s="2"/>
      <c r="F4301" s="14"/>
      <c r="G4301" s="2"/>
      <c r="H4301" s="2"/>
    </row>
    <row r="4302">
      <c r="A4302" s="2"/>
      <c r="B4302" s="13"/>
      <c r="C4302" s="2"/>
      <c r="D4302" s="2"/>
      <c r="E4302" s="2"/>
      <c r="F4302" s="14"/>
      <c r="G4302" s="2"/>
      <c r="H4302" s="2"/>
    </row>
    <row r="4303">
      <c r="A4303" s="2"/>
      <c r="B4303" s="13"/>
      <c r="C4303" s="2"/>
      <c r="D4303" s="2"/>
      <c r="E4303" s="2"/>
      <c r="F4303" s="14"/>
      <c r="G4303" s="2"/>
      <c r="H4303" s="2"/>
    </row>
    <row r="4304">
      <c r="A4304" s="2"/>
      <c r="B4304" s="13"/>
      <c r="C4304" s="2"/>
      <c r="D4304" s="2"/>
      <c r="E4304" s="2"/>
      <c r="F4304" s="14"/>
      <c r="G4304" s="2"/>
      <c r="H4304" s="2"/>
    </row>
    <row r="4305">
      <c r="A4305" s="2"/>
      <c r="B4305" s="13"/>
      <c r="C4305" s="2"/>
      <c r="D4305" s="2"/>
      <c r="E4305" s="2"/>
      <c r="F4305" s="14"/>
      <c r="G4305" s="2"/>
      <c r="H4305" s="2"/>
    </row>
    <row r="4306">
      <c r="A4306" s="2"/>
      <c r="B4306" s="13"/>
      <c r="C4306" s="2"/>
      <c r="D4306" s="2"/>
      <c r="E4306" s="2"/>
      <c r="F4306" s="14"/>
      <c r="G4306" s="2"/>
      <c r="H4306" s="2"/>
    </row>
    <row r="4307">
      <c r="A4307" s="2"/>
      <c r="B4307" s="13"/>
      <c r="C4307" s="2"/>
      <c r="D4307" s="2"/>
      <c r="E4307" s="2"/>
      <c r="F4307" s="14"/>
      <c r="G4307" s="2"/>
      <c r="H4307" s="2"/>
    </row>
    <row r="4308">
      <c r="A4308" s="2"/>
      <c r="B4308" s="13"/>
      <c r="C4308" s="2"/>
      <c r="D4308" s="2"/>
      <c r="E4308" s="2"/>
      <c r="F4308" s="14"/>
      <c r="G4308" s="2"/>
      <c r="H4308" s="2"/>
    </row>
    <row r="4309">
      <c r="A4309" s="2"/>
      <c r="B4309" s="13"/>
      <c r="C4309" s="2"/>
      <c r="D4309" s="2"/>
      <c r="E4309" s="2"/>
      <c r="F4309" s="14"/>
      <c r="G4309" s="2"/>
      <c r="H4309" s="2"/>
    </row>
    <row r="4310">
      <c r="A4310" s="2"/>
      <c r="B4310" s="13"/>
      <c r="C4310" s="2"/>
      <c r="D4310" s="2"/>
      <c r="E4310" s="2"/>
      <c r="F4310" s="14"/>
      <c r="G4310" s="2"/>
      <c r="H4310" s="2"/>
    </row>
    <row r="4311">
      <c r="A4311" s="2"/>
      <c r="B4311" s="13"/>
      <c r="C4311" s="2"/>
      <c r="D4311" s="2"/>
      <c r="E4311" s="2"/>
      <c r="F4311" s="14"/>
      <c r="G4311" s="2"/>
      <c r="H4311" s="2"/>
    </row>
    <row r="4312">
      <c r="A4312" s="2"/>
      <c r="B4312" s="13"/>
      <c r="C4312" s="2"/>
      <c r="D4312" s="2"/>
      <c r="E4312" s="2"/>
      <c r="F4312" s="14"/>
      <c r="G4312" s="2"/>
      <c r="H4312" s="2"/>
    </row>
    <row r="4313">
      <c r="A4313" s="2"/>
      <c r="B4313" s="13"/>
      <c r="C4313" s="2"/>
      <c r="D4313" s="2"/>
      <c r="E4313" s="2"/>
      <c r="F4313" s="14"/>
      <c r="G4313" s="2"/>
      <c r="H4313" s="2"/>
    </row>
    <row r="4314">
      <c r="A4314" s="2"/>
      <c r="B4314" s="13"/>
      <c r="C4314" s="2"/>
      <c r="D4314" s="2"/>
      <c r="E4314" s="2"/>
      <c r="F4314" s="14"/>
      <c r="G4314" s="2"/>
      <c r="H4314" s="2"/>
    </row>
    <row r="4315">
      <c r="A4315" s="2"/>
      <c r="B4315" s="13"/>
      <c r="C4315" s="2"/>
      <c r="D4315" s="2"/>
      <c r="E4315" s="2"/>
      <c r="F4315" s="14"/>
      <c r="G4315" s="2"/>
      <c r="H4315" s="2"/>
    </row>
    <row r="4316">
      <c r="A4316" s="2"/>
      <c r="B4316" s="13"/>
      <c r="C4316" s="2"/>
      <c r="D4316" s="2"/>
      <c r="E4316" s="2"/>
      <c r="F4316" s="14"/>
      <c r="G4316" s="2"/>
      <c r="H4316" s="2"/>
    </row>
    <row r="4317">
      <c r="A4317" s="2"/>
      <c r="B4317" s="13"/>
      <c r="C4317" s="2"/>
      <c r="D4317" s="2"/>
      <c r="E4317" s="2"/>
      <c r="F4317" s="14"/>
      <c r="G4317" s="2"/>
      <c r="H4317" s="2"/>
    </row>
    <row r="4318">
      <c r="A4318" s="2"/>
      <c r="B4318" s="13"/>
      <c r="C4318" s="2"/>
      <c r="D4318" s="2"/>
      <c r="E4318" s="2"/>
      <c r="F4318" s="14"/>
      <c r="G4318" s="2"/>
      <c r="H4318" s="2"/>
    </row>
    <row r="4319">
      <c r="A4319" s="2"/>
      <c r="B4319" s="13"/>
      <c r="C4319" s="2"/>
      <c r="D4319" s="2"/>
      <c r="E4319" s="2"/>
      <c r="F4319" s="14"/>
      <c r="G4319" s="2"/>
      <c r="H4319" s="2"/>
    </row>
    <row r="4320">
      <c r="A4320" s="2"/>
      <c r="B4320" s="13"/>
      <c r="C4320" s="2"/>
      <c r="D4320" s="2"/>
      <c r="E4320" s="2"/>
      <c r="F4320" s="14"/>
      <c r="G4320" s="2"/>
      <c r="H4320" s="2"/>
    </row>
    <row r="4321">
      <c r="A4321" s="2"/>
      <c r="B4321" s="13"/>
      <c r="C4321" s="2"/>
      <c r="D4321" s="2"/>
      <c r="E4321" s="2"/>
      <c r="F4321" s="14"/>
      <c r="G4321" s="2"/>
      <c r="H4321" s="2"/>
    </row>
    <row r="4322">
      <c r="A4322" s="2"/>
      <c r="B4322" s="13"/>
      <c r="C4322" s="2"/>
      <c r="D4322" s="2"/>
      <c r="E4322" s="2"/>
      <c r="F4322" s="14"/>
      <c r="G4322" s="2"/>
      <c r="H4322" s="2"/>
    </row>
    <row r="4323">
      <c r="A4323" s="2"/>
      <c r="B4323" s="13"/>
      <c r="C4323" s="2"/>
      <c r="D4323" s="2"/>
      <c r="E4323" s="2"/>
      <c r="F4323" s="14"/>
      <c r="G4323" s="2"/>
      <c r="H4323" s="2"/>
    </row>
    <row r="4324">
      <c r="A4324" s="2"/>
      <c r="B4324" s="13"/>
      <c r="C4324" s="2"/>
      <c r="D4324" s="2"/>
      <c r="E4324" s="2"/>
      <c r="F4324" s="14"/>
      <c r="G4324" s="2"/>
      <c r="H4324" s="2"/>
    </row>
    <row r="4325">
      <c r="A4325" s="2"/>
      <c r="B4325" s="13"/>
      <c r="C4325" s="2"/>
      <c r="D4325" s="2"/>
      <c r="E4325" s="2"/>
      <c r="F4325" s="14"/>
      <c r="G4325" s="2"/>
      <c r="H4325" s="2"/>
    </row>
    <row r="4326">
      <c r="A4326" s="2"/>
      <c r="B4326" s="13"/>
      <c r="C4326" s="2"/>
      <c r="D4326" s="2"/>
      <c r="E4326" s="2"/>
      <c r="F4326" s="14"/>
      <c r="G4326" s="2"/>
      <c r="H4326" s="2"/>
    </row>
    <row r="4327">
      <c r="A4327" s="2"/>
      <c r="B4327" s="13"/>
      <c r="C4327" s="2"/>
      <c r="D4327" s="2"/>
      <c r="E4327" s="2"/>
      <c r="F4327" s="14"/>
      <c r="G4327" s="2"/>
      <c r="H4327" s="2"/>
    </row>
    <row r="4328">
      <c r="A4328" s="2"/>
      <c r="B4328" s="13"/>
      <c r="C4328" s="2"/>
      <c r="D4328" s="2"/>
      <c r="E4328" s="2"/>
      <c r="F4328" s="14"/>
      <c r="G4328" s="2"/>
      <c r="H4328" s="2"/>
    </row>
    <row r="4329">
      <c r="A4329" s="2"/>
      <c r="B4329" s="13"/>
      <c r="C4329" s="2"/>
      <c r="D4329" s="2"/>
      <c r="E4329" s="2"/>
      <c r="F4329" s="14"/>
      <c r="G4329" s="2"/>
      <c r="H4329" s="2"/>
    </row>
    <row r="4330">
      <c r="A4330" s="2"/>
      <c r="B4330" s="13"/>
      <c r="C4330" s="2"/>
      <c r="D4330" s="2"/>
      <c r="E4330" s="2"/>
      <c r="F4330" s="14"/>
      <c r="G4330" s="2"/>
      <c r="H4330" s="2"/>
    </row>
    <row r="4331">
      <c r="A4331" s="2"/>
      <c r="B4331" s="13"/>
      <c r="C4331" s="2"/>
      <c r="D4331" s="2"/>
      <c r="E4331" s="2"/>
      <c r="F4331" s="14"/>
      <c r="G4331" s="2"/>
      <c r="H4331" s="2"/>
    </row>
    <row r="4332">
      <c r="A4332" s="2"/>
      <c r="B4332" s="13"/>
      <c r="C4332" s="2"/>
      <c r="D4332" s="2"/>
      <c r="E4332" s="2"/>
      <c r="F4332" s="14"/>
      <c r="G4332" s="2"/>
      <c r="H4332" s="2"/>
    </row>
    <row r="4333">
      <c r="A4333" s="2"/>
      <c r="B4333" s="13"/>
      <c r="C4333" s="2"/>
      <c r="D4333" s="2"/>
      <c r="E4333" s="2"/>
      <c r="F4333" s="14"/>
      <c r="G4333" s="2"/>
      <c r="H4333" s="2"/>
    </row>
    <row r="4334">
      <c r="A4334" s="2"/>
      <c r="B4334" s="13"/>
      <c r="C4334" s="2"/>
      <c r="D4334" s="2"/>
      <c r="E4334" s="2"/>
      <c r="F4334" s="14"/>
      <c r="G4334" s="2"/>
      <c r="H4334" s="2"/>
    </row>
    <row r="4335">
      <c r="A4335" s="2"/>
      <c r="B4335" s="13"/>
      <c r="C4335" s="2"/>
      <c r="D4335" s="2"/>
      <c r="E4335" s="2"/>
      <c r="F4335" s="14"/>
      <c r="G4335" s="2"/>
      <c r="H4335" s="2"/>
    </row>
    <row r="4336">
      <c r="A4336" s="2"/>
      <c r="B4336" s="13"/>
      <c r="C4336" s="2"/>
      <c r="D4336" s="2"/>
      <c r="E4336" s="2"/>
      <c r="F4336" s="14"/>
      <c r="G4336" s="2"/>
      <c r="H4336" s="2"/>
    </row>
    <row r="4337">
      <c r="A4337" s="2"/>
      <c r="B4337" s="13"/>
      <c r="C4337" s="2"/>
      <c r="D4337" s="2"/>
      <c r="E4337" s="2"/>
      <c r="F4337" s="14"/>
      <c r="G4337" s="2"/>
      <c r="H4337" s="2"/>
    </row>
    <row r="4338">
      <c r="A4338" s="2"/>
      <c r="B4338" s="13"/>
      <c r="C4338" s="2"/>
      <c r="D4338" s="2"/>
      <c r="E4338" s="2"/>
      <c r="F4338" s="14"/>
      <c r="G4338" s="2"/>
      <c r="H4338" s="2"/>
    </row>
    <row r="4339">
      <c r="A4339" s="2"/>
      <c r="B4339" s="13"/>
      <c r="C4339" s="2"/>
      <c r="D4339" s="2"/>
      <c r="E4339" s="2"/>
      <c r="F4339" s="14"/>
      <c r="G4339" s="2"/>
      <c r="H4339" s="2"/>
    </row>
    <row r="4340">
      <c r="A4340" s="2"/>
      <c r="B4340" s="13"/>
      <c r="C4340" s="2"/>
      <c r="D4340" s="2"/>
      <c r="E4340" s="2"/>
      <c r="F4340" s="14"/>
      <c r="G4340" s="2"/>
      <c r="H4340" s="2"/>
    </row>
    <row r="4341">
      <c r="A4341" s="2"/>
      <c r="B4341" s="13"/>
      <c r="C4341" s="2"/>
      <c r="D4341" s="2"/>
      <c r="E4341" s="2"/>
      <c r="F4341" s="14"/>
      <c r="G4341" s="2"/>
      <c r="H4341" s="2"/>
    </row>
    <row r="4342">
      <c r="A4342" s="2"/>
      <c r="B4342" s="13"/>
      <c r="C4342" s="2"/>
      <c r="D4342" s="2"/>
      <c r="E4342" s="2"/>
      <c r="F4342" s="14"/>
      <c r="G4342" s="2"/>
      <c r="H4342" s="2"/>
    </row>
    <row r="4343">
      <c r="A4343" s="2"/>
      <c r="B4343" s="13"/>
      <c r="C4343" s="2"/>
      <c r="D4343" s="2"/>
      <c r="E4343" s="2"/>
      <c r="F4343" s="14"/>
      <c r="G4343" s="2"/>
      <c r="H4343" s="2"/>
    </row>
    <row r="4344">
      <c r="A4344" s="2"/>
      <c r="B4344" s="13"/>
      <c r="C4344" s="2"/>
      <c r="D4344" s="2"/>
      <c r="E4344" s="2"/>
      <c r="F4344" s="14"/>
      <c r="G4344" s="2"/>
      <c r="H4344" s="2"/>
    </row>
    <row r="4345">
      <c r="A4345" s="2"/>
      <c r="B4345" s="13"/>
      <c r="C4345" s="2"/>
      <c r="D4345" s="2"/>
      <c r="E4345" s="2"/>
      <c r="F4345" s="14"/>
      <c r="G4345" s="2"/>
      <c r="H4345" s="2"/>
    </row>
    <row r="4346">
      <c r="A4346" s="2"/>
      <c r="B4346" s="13"/>
      <c r="C4346" s="2"/>
      <c r="D4346" s="2"/>
      <c r="E4346" s="2"/>
      <c r="F4346" s="14"/>
      <c r="G4346" s="2"/>
      <c r="H4346" s="2"/>
    </row>
    <row r="4347">
      <c r="A4347" s="2"/>
      <c r="B4347" s="13"/>
      <c r="C4347" s="2"/>
      <c r="D4347" s="2"/>
      <c r="E4347" s="2"/>
      <c r="F4347" s="14"/>
      <c r="G4347" s="2"/>
      <c r="H4347" s="2"/>
    </row>
    <row r="4348">
      <c r="A4348" s="2"/>
      <c r="B4348" s="13"/>
      <c r="C4348" s="2"/>
      <c r="D4348" s="2"/>
      <c r="E4348" s="2"/>
      <c r="F4348" s="14"/>
      <c r="G4348" s="2"/>
      <c r="H4348" s="2"/>
    </row>
    <row r="4349">
      <c r="A4349" s="2"/>
      <c r="B4349" s="13"/>
      <c r="C4349" s="2"/>
      <c r="D4349" s="2"/>
      <c r="E4349" s="2"/>
      <c r="F4349" s="14"/>
      <c r="G4349" s="2"/>
      <c r="H4349" s="2"/>
    </row>
    <row r="4350">
      <c r="A4350" s="2"/>
      <c r="B4350" s="13"/>
      <c r="C4350" s="2"/>
      <c r="D4350" s="2"/>
      <c r="E4350" s="2"/>
      <c r="F4350" s="14"/>
      <c r="G4350" s="2"/>
      <c r="H4350" s="2"/>
    </row>
    <row r="4351">
      <c r="A4351" s="2"/>
      <c r="B4351" s="13"/>
      <c r="C4351" s="2"/>
      <c r="D4351" s="2"/>
      <c r="E4351" s="2"/>
      <c r="F4351" s="14"/>
      <c r="G4351" s="2"/>
      <c r="H4351" s="2"/>
    </row>
    <row r="4352">
      <c r="A4352" s="2"/>
      <c r="B4352" s="13"/>
      <c r="C4352" s="2"/>
      <c r="D4352" s="2"/>
      <c r="E4352" s="2"/>
      <c r="F4352" s="14"/>
      <c r="G4352" s="2"/>
      <c r="H4352" s="2"/>
    </row>
    <row r="4353">
      <c r="A4353" s="2"/>
      <c r="B4353" s="13"/>
      <c r="C4353" s="2"/>
      <c r="D4353" s="2"/>
      <c r="E4353" s="2"/>
      <c r="F4353" s="14"/>
      <c r="G4353" s="2"/>
      <c r="H4353" s="2"/>
    </row>
    <row r="4354">
      <c r="A4354" s="2"/>
      <c r="B4354" s="13"/>
      <c r="C4354" s="2"/>
      <c r="D4354" s="2"/>
      <c r="E4354" s="2"/>
      <c r="F4354" s="14"/>
      <c r="G4354" s="2"/>
      <c r="H4354" s="2"/>
    </row>
    <row r="4355">
      <c r="A4355" s="2"/>
      <c r="B4355" s="13"/>
      <c r="C4355" s="2"/>
      <c r="D4355" s="2"/>
      <c r="E4355" s="2"/>
      <c r="F4355" s="14"/>
      <c r="G4355" s="2"/>
      <c r="H4355" s="2"/>
    </row>
    <row r="4356">
      <c r="A4356" s="2"/>
      <c r="B4356" s="13"/>
      <c r="C4356" s="2"/>
      <c r="D4356" s="2"/>
      <c r="E4356" s="2"/>
      <c r="F4356" s="14"/>
      <c r="G4356" s="2"/>
      <c r="H4356" s="2"/>
    </row>
    <row r="4357">
      <c r="A4357" s="2"/>
      <c r="B4357" s="13"/>
      <c r="C4357" s="2"/>
      <c r="D4357" s="2"/>
      <c r="E4357" s="2"/>
      <c r="F4357" s="14"/>
      <c r="G4357" s="2"/>
      <c r="H4357" s="2"/>
    </row>
    <row r="4358">
      <c r="A4358" s="2"/>
      <c r="B4358" s="13"/>
      <c r="C4358" s="2"/>
      <c r="D4358" s="2"/>
      <c r="E4358" s="2"/>
      <c r="F4358" s="14"/>
      <c r="G4358" s="2"/>
      <c r="H4358" s="2"/>
    </row>
    <row r="4359">
      <c r="A4359" s="2"/>
      <c r="B4359" s="13"/>
      <c r="C4359" s="2"/>
      <c r="D4359" s="2"/>
      <c r="E4359" s="2"/>
      <c r="F4359" s="14"/>
      <c r="G4359" s="2"/>
      <c r="H4359" s="2"/>
    </row>
    <row r="4360">
      <c r="A4360" s="2"/>
      <c r="B4360" s="13"/>
      <c r="C4360" s="2"/>
      <c r="D4360" s="2"/>
      <c r="E4360" s="2"/>
      <c r="F4360" s="14"/>
      <c r="G4360" s="2"/>
      <c r="H4360" s="2"/>
    </row>
    <row r="4361">
      <c r="A4361" s="2"/>
      <c r="B4361" s="13"/>
      <c r="C4361" s="2"/>
      <c r="D4361" s="2"/>
      <c r="E4361" s="2"/>
      <c r="F4361" s="14"/>
      <c r="G4361" s="2"/>
      <c r="H4361" s="2"/>
    </row>
    <row r="4362">
      <c r="A4362" s="2"/>
      <c r="B4362" s="13"/>
      <c r="C4362" s="2"/>
      <c r="D4362" s="2"/>
      <c r="E4362" s="2"/>
      <c r="F4362" s="14"/>
      <c r="G4362" s="2"/>
      <c r="H4362" s="2"/>
    </row>
    <row r="4363">
      <c r="A4363" s="2"/>
      <c r="B4363" s="13"/>
      <c r="C4363" s="2"/>
      <c r="D4363" s="2"/>
      <c r="E4363" s="2"/>
      <c r="F4363" s="14"/>
      <c r="G4363" s="2"/>
      <c r="H4363" s="2"/>
    </row>
    <row r="4364">
      <c r="A4364" s="2"/>
      <c r="B4364" s="13"/>
      <c r="C4364" s="2"/>
      <c r="D4364" s="2"/>
      <c r="E4364" s="2"/>
      <c r="F4364" s="14"/>
      <c r="G4364" s="2"/>
      <c r="H4364" s="2"/>
    </row>
    <row r="4365">
      <c r="A4365" s="2"/>
      <c r="B4365" s="13"/>
      <c r="C4365" s="2"/>
      <c r="D4365" s="2"/>
      <c r="E4365" s="2"/>
      <c r="F4365" s="14"/>
      <c r="G4365" s="2"/>
      <c r="H4365" s="2"/>
    </row>
    <row r="4366">
      <c r="A4366" s="2"/>
      <c r="B4366" s="13"/>
      <c r="C4366" s="2"/>
      <c r="D4366" s="2"/>
      <c r="E4366" s="2"/>
      <c r="F4366" s="14"/>
      <c r="G4366" s="2"/>
      <c r="H4366" s="2"/>
    </row>
    <row r="4367">
      <c r="A4367" s="2"/>
      <c r="B4367" s="13"/>
      <c r="C4367" s="2"/>
      <c r="D4367" s="2"/>
      <c r="E4367" s="2"/>
      <c r="F4367" s="14"/>
      <c r="G4367" s="2"/>
      <c r="H4367" s="2"/>
    </row>
    <row r="4368">
      <c r="A4368" s="2"/>
      <c r="B4368" s="13"/>
      <c r="C4368" s="2"/>
      <c r="D4368" s="2"/>
      <c r="E4368" s="2"/>
      <c r="F4368" s="14"/>
      <c r="G4368" s="2"/>
      <c r="H4368" s="2"/>
    </row>
    <row r="4369">
      <c r="A4369" s="2"/>
      <c r="B4369" s="13"/>
      <c r="C4369" s="2"/>
      <c r="D4369" s="2"/>
      <c r="E4369" s="2"/>
      <c r="F4369" s="14"/>
      <c r="G4369" s="2"/>
      <c r="H4369" s="2"/>
    </row>
    <row r="4370">
      <c r="A4370" s="2"/>
      <c r="B4370" s="13"/>
      <c r="C4370" s="2"/>
      <c r="D4370" s="2"/>
      <c r="E4370" s="2"/>
      <c r="F4370" s="14"/>
      <c r="G4370" s="2"/>
      <c r="H4370" s="2"/>
    </row>
    <row r="4371">
      <c r="A4371" s="2"/>
      <c r="B4371" s="13"/>
      <c r="C4371" s="2"/>
      <c r="D4371" s="2"/>
      <c r="E4371" s="2"/>
      <c r="F4371" s="14"/>
      <c r="G4371" s="2"/>
      <c r="H4371" s="2"/>
    </row>
    <row r="4372">
      <c r="A4372" s="2"/>
      <c r="B4372" s="13"/>
      <c r="C4372" s="2"/>
      <c r="D4372" s="2"/>
      <c r="E4372" s="2"/>
      <c r="F4372" s="14"/>
      <c r="G4372" s="2"/>
      <c r="H4372" s="2"/>
    </row>
    <row r="4373">
      <c r="A4373" s="2"/>
      <c r="B4373" s="13"/>
      <c r="C4373" s="2"/>
      <c r="D4373" s="2"/>
      <c r="E4373" s="2"/>
      <c r="F4373" s="14"/>
      <c r="G4373" s="2"/>
      <c r="H4373" s="2"/>
    </row>
    <row r="4374">
      <c r="A4374" s="2"/>
      <c r="B4374" s="13"/>
      <c r="C4374" s="2"/>
      <c r="D4374" s="2"/>
      <c r="E4374" s="2"/>
      <c r="F4374" s="14"/>
      <c r="G4374" s="2"/>
      <c r="H4374" s="2"/>
    </row>
    <row r="4375">
      <c r="A4375" s="2"/>
      <c r="B4375" s="13"/>
      <c r="C4375" s="2"/>
      <c r="D4375" s="2"/>
      <c r="E4375" s="2"/>
      <c r="F4375" s="14"/>
      <c r="G4375" s="2"/>
      <c r="H4375" s="2"/>
    </row>
    <row r="4376">
      <c r="A4376" s="2"/>
      <c r="B4376" s="13"/>
      <c r="C4376" s="2"/>
      <c r="D4376" s="2"/>
      <c r="E4376" s="2"/>
      <c r="F4376" s="14"/>
      <c r="G4376" s="2"/>
      <c r="H4376" s="2"/>
    </row>
    <row r="4377">
      <c r="A4377" s="2"/>
      <c r="B4377" s="13"/>
      <c r="C4377" s="2"/>
      <c r="D4377" s="2"/>
      <c r="E4377" s="2"/>
      <c r="F4377" s="14"/>
      <c r="G4377" s="2"/>
      <c r="H4377" s="2"/>
    </row>
    <row r="4378">
      <c r="A4378" s="2"/>
      <c r="B4378" s="13"/>
      <c r="C4378" s="2"/>
      <c r="D4378" s="2"/>
      <c r="E4378" s="2"/>
      <c r="F4378" s="14"/>
      <c r="G4378" s="2"/>
      <c r="H4378" s="2"/>
    </row>
    <row r="4379">
      <c r="A4379" s="2"/>
      <c r="B4379" s="13"/>
      <c r="C4379" s="2"/>
      <c r="D4379" s="2"/>
      <c r="E4379" s="2"/>
      <c r="F4379" s="14"/>
      <c r="G4379" s="2"/>
      <c r="H4379" s="2"/>
    </row>
    <row r="4380">
      <c r="A4380" s="2"/>
      <c r="B4380" s="13"/>
      <c r="C4380" s="2"/>
      <c r="D4380" s="2"/>
      <c r="E4380" s="2"/>
      <c r="F4380" s="14"/>
      <c r="G4380" s="2"/>
      <c r="H4380" s="2"/>
    </row>
    <row r="4381">
      <c r="A4381" s="2"/>
      <c r="B4381" s="13"/>
      <c r="C4381" s="2"/>
      <c r="D4381" s="2"/>
      <c r="E4381" s="2"/>
      <c r="F4381" s="14"/>
      <c r="G4381" s="2"/>
      <c r="H4381" s="2"/>
    </row>
    <row r="4382">
      <c r="A4382" s="2"/>
      <c r="B4382" s="13"/>
      <c r="C4382" s="2"/>
      <c r="D4382" s="2"/>
      <c r="E4382" s="2"/>
      <c r="F4382" s="14"/>
      <c r="G4382" s="2"/>
      <c r="H4382" s="2"/>
    </row>
    <row r="4383">
      <c r="A4383" s="2"/>
      <c r="B4383" s="13"/>
      <c r="C4383" s="2"/>
      <c r="D4383" s="2"/>
      <c r="E4383" s="2"/>
      <c r="F4383" s="14"/>
      <c r="G4383" s="2"/>
      <c r="H4383" s="2"/>
    </row>
    <row r="4384">
      <c r="A4384" s="2"/>
      <c r="B4384" s="13"/>
      <c r="C4384" s="2"/>
      <c r="D4384" s="2"/>
      <c r="E4384" s="2"/>
      <c r="F4384" s="14"/>
      <c r="G4384" s="2"/>
      <c r="H4384" s="2"/>
    </row>
    <row r="4385">
      <c r="A4385" s="2"/>
      <c r="B4385" s="13"/>
      <c r="C4385" s="2"/>
      <c r="D4385" s="2"/>
      <c r="E4385" s="2"/>
      <c r="F4385" s="14"/>
      <c r="G4385" s="2"/>
      <c r="H4385" s="2"/>
    </row>
    <row r="4386">
      <c r="A4386" s="2"/>
      <c r="B4386" s="13"/>
      <c r="C4386" s="2"/>
      <c r="D4386" s="2"/>
      <c r="E4386" s="2"/>
      <c r="F4386" s="14"/>
      <c r="G4386" s="2"/>
      <c r="H4386" s="2"/>
    </row>
    <row r="4387">
      <c r="A4387" s="2"/>
      <c r="B4387" s="13"/>
      <c r="C4387" s="2"/>
      <c r="D4387" s="2"/>
      <c r="E4387" s="2"/>
      <c r="F4387" s="14"/>
      <c r="G4387" s="2"/>
      <c r="H4387" s="2"/>
    </row>
    <row r="4388">
      <c r="A4388" s="2"/>
      <c r="B4388" s="13"/>
      <c r="C4388" s="2"/>
      <c r="D4388" s="2"/>
      <c r="E4388" s="2"/>
      <c r="F4388" s="14"/>
      <c r="G4388" s="2"/>
      <c r="H4388" s="2"/>
    </row>
    <row r="4389">
      <c r="A4389" s="2"/>
      <c r="B4389" s="13"/>
      <c r="C4389" s="2"/>
      <c r="D4389" s="2"/>
      <c r="E4389" s="2"/>
      <c r="F4389" s="14"/>
      <c r="G4389" s="2"/>
      <c r="H4389" s="2"/>
    </row>
    <row r="4390">
      <c r="A4390" s="2"/>
      <c r="B4390" s="13"/>
      <c r="C4390" s="2"/>
      <c r="D4390" s="2"/>
      <c r="E4390" s="2"/>
      <c r="F4390" s="14"/>
      <c r="G4390" s="2"/>
      <c r="H4390" s="2"/>
    </row>
    <row r="4391">
      <c r="A4391" s="2"/>
      <c r="B4391" s="13"/>
      <c r="C4391" s="2"/>
      <c r="D4391" s="2"/>
      <c r="E4391" s="2"/>
      <c r="F4391" s="14"/>
      <c r="G4391" s="2"/>
      <c r="H4391" s="2"/>
    </row>
    <row r="4392">
      <c r="A4392" s="2"/>
      <c r="B4392" s="13"/>
      <c r="C4392" s="2"/>
      <c r="D4392" s="2"/>
      <c r="E4392" s="2"/>
      <c r="F4392" s="14"/>
      <c r="G4392" s="2"/>
      <c r="H4392" s="2"/>
    </row>
    <row r="4393">
      <c r="A4393" s="2"/>
      <c r="B4393" s="13"/>
      <c r="C4393" s="2"/>
      <c r="D4393" s="2"/>
      <c r="E4393" s="2"/>
      <c r="F4393" s="14"/>
      <c r="G4393" s="2"/>
      <c r="H4393" s="2"/>
    </row>
    <row r="4394">
      <c r="A4394" s="2"/>
      <c r="B4394" s="13"/>
      <c r="C4394" s="2"/>
      <c r="D4394" s="2"/>
      <c r="E4394" s="2"/>
      <c r="F4394" s="14"/>
      <c r="G4394" s="2"/>
      <c r="H4394" s="2"/>
    </row>
    <row r="4395">
      <c r="A4395" s="2"/>
      <c r="B4395" s="13"/>
      <c r="C4395" s="2"/>
      <c r="D4395" s="2"/>
      <c r="E4395" s="2"/>
      <c r="F4395" s="14"/>
      <c r="G4395" s="2"/>
      <c r="H4395" s="2"/>
    </row>
    <row r="4396">
      <c r="A4396" s="2"/>
      <c r="B4396" s="13"/>
      <c r="C4396" s="2"/>
      <c r="D4396" s="2"/>
      <c r="E4396" s="2"/>
      <c r="F4396" s="14"/>
      <c r="G4396" s="2"/>
      <c r="H4396" s="2"/>
    </row>
    <row r="4397">
      <c r="A4397" s="2"/>
      <c r="B4397" s="13"/>
      <c r="C4397" s="2"/>
      <c r="D4397" s="2"/>
      <c r="E4397" s="2"/>
      <c r="F4397" s="14"/>
      <c r="G4397" s="2"/>
      <c r="H4397" s="2"/>
    </row>
    <row r="4398">
      <c r="A4398" s="2"/>
      <c r="B4398" s="13"/>
      <c r="C4398" s="2"/>
      <c r="D4398" s="2"/>
      <c r="E4398" s="2"/>
      <c r="F4398" s="14"/>
      <c r="G4398" s="2"/>
      <c r="H4398" s="2"/>
    </row>
    <row r="4399">
      <c r="A4399" s="2"/>
      <c r="B4399" s="13"/>
      <c r="C4399" s="2"/>
      <c r="D4399" s="2"/>
      <c r="E4399" s="2"/>
      <c r="F4399" s="14"/>
      <c r="G4399" s="2"/>
      <c r="H4399" s="2"/>
    </row>
    <row r="4400">
      <c r="A4400" s="2"/>
      <c r="B4400" s="13"/>
      <c r="C4400" s="2"/>
      <c r="D4400" s="2"/>
      <c r="E4400" s="2"/>
      <c r="F4400" s="14"/>
      <c r="G4400" s="2"/>
      <c r="H4400" s="2"/>
    </row>
    <row r="4401">
      <c r="A4401" s="2"/>
      <c r="B4401" s="13"/>
      <c r="C4401" s="2"/>
      <c r="D4401" s="2"/>
      <c r="E4401" s="2"/>
      <c r="F4401" s="14"/>
      <c r="G4401" s="2"/>
      <c r="H4401" s="2"/>
    </row>
    <row r="4402">
      <c r="A4402" s="2"/>
      <c r="B4402" s="13"/>
      <c r="C4402" s="2"/>
      <c r="D4402" s="2"/>
      <c r="E4402" s="2"/>
      <c r="F4402" s="14"/>
      <c r="G4402" s="2"/>
      <c r="H4402" s="2"/>
    </row>
    <row r="4403">
      <c r="A4403" s="2"/>
      <c r="B4403" s="13"/>
      <c r="C4403" s="2"/>
      <c r="D4403" s="2"/>
      <c r="E4403" s="2"/>
      <c r="F4403" s="14"/>
      <c r="G4403" s="2"/>
      <c r="H4403" s="2"/>
    </row>
    <row r="4404">
      <c r="A4404" s="2"/>
      <c r="B4404" s="13"/>
      <c r="C4404" s="2"/>
      <c r="D4404" s="2"/>
      <c r="E4404" s="2"/>
      <c r="F4404" s="14"/>
      <c r="G4404" s="2"/>
      <c r="H4404" s="2"/>
    </row>
    <row r="4405">
      <c r="A4405" s="2"/>
      <c r="B4405" s="13"/>
      <c r="C4405" s="2"/>
      <c r="D4405" s="2"/>
      <c r="E4405" s="2"/>
      <c r="F4405" s="14"/>
      <c r="G4405" s="2"/>
      <c r="H4405" s="2"/>
    </row>
    <row r="4406">
      <c r="A4406" s="2"/>
      <c r="B4406" s="13"/>
      <c r="C4406" s="2"/>
      <c r="D4406" s="2"/>
      <c r="E4406" s="2"/>
      <c r="F4406" s="14"/>
      <c r="G4406" s="2"/>
      <c r="H4406" s="2"/>
    </row>
    <row r="4407">
      <c r="A4407" s="2"/>
      <c r="B4407" s="13"/>
      <c r="C4407" s="2"/>
      <c r="D4407" s="2"/>
      <c r="E4407" s="2"/>
      <c r="F4407" s="14"/>
      <c r="G4407" s="2"/>
      <c r="H4407" s="2"/>
    </row>
    <row r="4408">
      <c r="A4408" s="2"/>
      <c r="B4408" s="13"/>
      <c r="C4408" s="2"/>
      <c r="D4408" s="2"/>
      <c r="E4408" s="2"/>
      <c r="F4408" s="14"/>
      <c r="G4408" s="2"/>
      <c r="H4408" s="2"/>
    </row>
    <row r="4409">
      <c r="A4409" s="2"/>
      <c r="B4409" s="13"/>
      <c r="C4409" s="2"/>
      <c r="D4409" s="2"/>
      <c r="E4409" s="2"/>
      <c r="F4409" s="14"/>
      <c r="G4409" s="2"/>
      <c r="H4409" s="2"/>
    </row>
    <row r="4410">
      <c r="A4410" s="2"/>
      <c r="B4410" s="13"/>
      <c r="C4410" s="2"/>
      <c r="D4410" s="2"/>
      <c r="E4410" s="2"/>
      <c r="F4410" s="14"/>
      <c r="G4410" s="2"/>
      <c r="H4410" s="2"/>
    </row>
    <row r="4411">
      <c r="A4411" s="2"/>
      <c r="B4411" s="13"/>
      <c r="C4411" s="2"/>
      <c r="D4411" s="2"/>
      <c r="E4411" s="2"/>
      <c r="F4411" s="14"/>
      <c r="G4411" s="2"/>
      <c r="H4411" s="2"/>
    </row>
    <row r="4412">
      <c r="A4412" s="2"/>
      <c r="B4412" s="13"/>
      <c r="C4412" s="2"/>
      <c r="D4412" s="2"/>
      <c r="E4412" s="2"/>
      <c r="F4412" s="14"/>
      <c r="G4412" s="2"/>
      <c r="H4412" s="2"/>
    </row>
    <row r="4413">
      <c r="A4413" s="2"/>
      <c r="B4413" s="13"/>
      <c r="C4413" s="2"/>
      <c r="D4413" s="2"/>
      <c r="E4413" s="2"/>
      <c r="F4413" s="14"/>
      <c r="G4413" s="2"/>
      <c r="H4413" s="2"/>
    </row>
    <row r="4414">
      <c r="A4414" s="2"/>
      <c r="B4414" s="13"/>
      <c r="C4414" s="2"/>
      <c r="D4414" s="2"/>
      <c r="E4414" s="2"/>
      <c r="F4414" s="14"/>
      <c r="G4414" s="2"/>
      <c r="H4414" s="2"/>
    </row>
    <row r="4415">
      <c r="A4415" s="2"/>
      <c r="B4415" s="13"/>
      <c r="C4415" s="2"/>
      <c r="D4415" s="2"/>
      <c r="E4415" s="2"/>
      <c r="F4415" s="14"/>
      <c r="G4415" s="2"/>
      <c r="H4415" s="2"/>
    </row>
    <row r="4416">
      <c r="A4416" s="2"/>
      <c r="B4416" s="13"/>
      <c r="C4416" s="2"/>
      <c r="D4416" s="2"/>
      <c r="E4416" s="2"/>
      <c r="F4416" s="14"/>
      <c r="G4416" s="2"/>
      <c r="H4416" s="2"/>
    </row>
    <row r="4417">
      <c r="A4417" s="2"/>
      <c r="B4417" s="13"/>
      <c r="C4417" s="2"/>
      <c r="D4417" s="2"/>
      <c r="E4417" s="2"/>
      <c r="F4417" s="14"/>
      <c r="G4417" s="2"/>
      <c r="H4417" s="2"/>
    </row>
    <row r="4418">
      <c r="A4418" s="2"/>
      <c r="B4418" s="13"/>
      <c r="C4418" s="2"/>
      <c r="D4418" s="2"/>
      <c r="E4418" s="2"/>
      <c r="F4418" s="14"/>
      <c r="G4418" s="2"/>
      <c r="H4418" s="2"/>
    </row>
    <row r="4419">
      <c r="A4419" s="2"/>
      <c r="B4419" s="13"/>
      <c r="C4419" s="2"/>
      <c r="D4419" s="2"/>
      <c r="E4419" s="2"/>
      <c r="F4419" s="14"/>
      <c r="G4419" s="2"/>
      <c r="H4419" s="2"/>
    </row>
    <row r="4420">
      <c r="A4420" s="2"/>
      <c r="B4420" s="13"/>
      <c r="C4420" s="2"/>
      <c r="D4420" s="2"/>
      <c r="E4420" s="2"/>
      <c r="F4420" s="14"/>
      <c r="G4420" s="2"/>
      <c r="H4420" s="2"/>
    </row>
    <row r="4421">
      <c r="A4421" s="2"/>
      <c r="B4421" s="13"/>
      <c r="C4421" s="2"/>
      <c r="D4421" s="2"/>
      <c r="E4421" s="2"/>
      <c r="F4421" s="14"/>
      <c r="G4421" s="2"/>
      <c r="H4421" s="2"/>
    </row>
    <row r="4422">
      <c r="A4422" s="2"/>
      <c r="B4422" s="13"/>
      <c r="C4422" s="2"/>
      <c r="D4422" s="2"/>
      <c r="E4422" s="2"/>
      <c r="F4422" s="14"/>
      <c r="G4422" s="2"/>
      <c r="H4422" s="2"/>
    </row>
    <row r="4423">
      <c r="A4423" s="2"/>
      <c r="B4423" s="13"/>
      <c r="C4423" s="2"/>
      <c r="D4423" s="2"/>
      <c r="E4423" s="2"/>
      <c r="F4423" s="14"/>
      <c r="G4423" s="2"/>
      <c r="H4423" s="2"/>
    </row>
    <row r="4424">
      <c r="A4424" s="2"/>
      <c r="B4424" s="13"/>
      <c r="C4424" s="2"/>
      <c r="D4424" s="2"/>
      <c r="E4424" s="2"/>
      <c r="F4424" s="14"/>
      <c r="G4424" s="2"/>
      <c r="H4424" s="2"/>
    </row>
    <row r="4425">
      <c r="A4425" s="2"/>
      <c r="B4425" s="13"/>
      <c r="C4425" s="2"/>
      <c r="D4425" s="2"/>
      <c r="E4425" s="2"/>
      <c r="F4425" s="14"/>
      <c r="G4425" s="2"/>
      <c r="H4425" s="2"/>
    </row>
    <row r="4426">
      <c r="A4426" s="2"/>
      <c r="B4426" s="13"/>
      <c r="C4426" s="2"/>
      <c r="D4426" s="2"/>
      <c r="E4426" s="2"/>
      <c r="F4426" s="14"/>
      <c r="G4426" s="2"/>
      <c r="H4426" s="2"/>
    </row>
    <row r="4427">
      <c r="A4427" s="2"/>
      <c r="B4427" s="13"/>
      <c r="C4427" s="2"/>
      <c r="D4427" s="2"/>
      <c r="E4427" s="2"/>
      <c r="F4427" s="14"/>
      <c r="G4427" s="2"/>
      <c r="H4427" s="2"/>
    </row>
    <row r="4428">
      <c r="A4428" s="2"/>
      <c r="B4428" s="13"/>
      <c r="C4428" s="2"/>
      <c r="D4428" s="2"/>
      <c r="E4428" s="2"/>
      <c r="F4428" s="14"/>
      <c r="G4428" s="2"/>
      <c r="H4428" s="2"/>
    </row>
    <row r="4429">
      <c r="A4429" s="2"/>
      <c r="B4429" s="13"/>
      <c r="C4429" s="2"/>
      <c r="D4429" s="2"/>
      <c r="E4429" s="2"/>
      <c r="F4429" s="14"/>
      <c r="G4429" s="2"/>
      <c r="H4429" s="2"/>
    </row>
    <row r="4430">
      <c r="A4430" s="2"/>
      <c r="B4430" s="13"/>
      <c r="C4430" s="2"/>
      <c r="D4430" s="2"/>
      <c r="E4430" s="2"/>
      <c r="F4430" s="14"/>
      <c r="G4430" s="2"/>
      <c r="H4430" s="2"/>
    </row>
    <row r="4431">
      <c r="A4431" s="2"/>
      <c r="B4431" s="13"/>
      <c r="C4431" s="2"/>
      <c r="D4431" s="2"/>
      <c r="E4431" s="2"/>
      <c r="F4431" s="14"/>
      <c r="G4431" s="2"/>
      <c r="H4431" s="2"/>
    </row>
    <row r="4432">
      <c r="A4432" s="2"/>
      <c r="B4432" s="13"/>
      <c r="C4432" s="2"/>
      <c r="D4432" s="2"/>
      <c r="E4432" s="2"/>
      <c r="F4432" s="14"/>
      <c r="G4432" s="2"/>
      <c r="H4432" s="2"/>
    </row>
    <row r="4433">
      <c r="A4433" s="2"/>
      <c r="B4433" s="13"/>
      <c r="C4433" s="2"/>
      <c r="D4433" s="2"/>
      <c r="E4433" s="2"/>
      <c r="F4433" s="14"/>
      <c r="G4433" s="2"/>
      <c r="H4433" s="2"/>
    </row>
    <row r="4434">
      <c r="A4434" s="2"/>
      <c r="B4434" s="13"/>
      <c r="C4434" s="2"/>
      <c r="D4434" s="2"/>
      <c r="E4434" s="2"/>
      <c r="F4434" s="14"/>
      <c r="G4434" s="2"/>
      <c r="H4434" s="2"/>
    </row>
    <row r="4435">
      <c r="A4435" s="2"/>
      <c r="B4435" s="13"/>
      <c r="C4435" s="2"/>
      <c r="D4435" s="2"/>
      <c r="E4435" s="2"/>
      <c r="F4435" s="14"/>
      <c r="G4435" s="2"/>
      <c r="H4435" s="2"/>
    </row>
    <row r="4436">
      <c r="A4436" s="2"/>
      <c r="B4436" s="13"/>
      <c r="C4436" s="2"/>
      <c r="D4436" s="2"/>
      <c r="E4436" s="2"/>
      <c r="F4436" s="14"/>
      <c r="G4436" s="2"/>
      <c r="H4436" s="2"/>
    </row>
    <row r="4437">
      <c r="A4437" s="2"/>
      <c r="B4437" s="13"/>
      <c r="C4437" s="2"/>
      <c r="D4437" s="2"/>
      <c r="E4437" s="2"/>
      <c r="F4437" s="14"/>
      <c r="G4437" s="2"/>
      <c r="H4437" s="2"/>
    </row>
    <row r="4438">
      <c r="A4438" s="2"/>
      <c r="B4438" s="13"/>
      <c r="C4438" s="2"/>
      <c r="D4438" s="2"/>
      <c r="E4438" s="2"/>
      <c r="F4438" s="14"/>
      <c r="G4438" s="2"/>
      <c r="H4438" s="2"/>
    </row>
    <row r="4439">
      <c r="A4439" s="2"/>
      <c r="B4439" s="13"/>
      <c r="C4439" s="2"/>
      <c r="D4439" s="2"/>
      <c r="E4439" s="2"/>
      <c r="F4439" s="14"/>
      <c r="G4439" s="2"/>
      <c r="H4439" s="2"/>
    </row>
    <row r="4440">
      <c r="A4440" s="2"/>
      <c r="B4440" s="13"/>
      <c r="C4440" s="2"/>
      <c r="D4440" s="2"/>
      <c r="E4440" s="2"/>
      <c r="F4440" s="14"/>
      <c r="G4440" s="2"/>
      <c r="H4440" s="2"/>
    </row>
    <row r="4441">
      <c r="A4441" s="2"/>
      <c r="B4441" s="13"/>
      <c r="C4441" s="2"/>
      <c r="D4441" s="2"/>
      <c r="E4441" s="2"/>
      <c r="F4441" s="14"/>
      <c r="G4441" s="2"/>
      <c r="H4441" s="2"/>
    </row>
    <row r="4442">
      <c r="A4442" s="2"/>
      <c r="B4442" s="13"/>
      <c r="C4442" s="2"/>
      <c r="D4442" s="2"/>
      <c r="E4442" s="2"/>
      <c r="F4442" s="14"/>
      <c r="G4442" s="2"/>
      <c r="H4442" s="2"/>
    </row>
    <row r="4443">
      <c r="A4443" s="2"/>
      <c r="B4443" s="13"/>
      <c r="C4443" s="2"/>
      <c r="D4443" s="2"/>
      <c r="E4443" s="2"/>
      <c r="F4443" s="14"/>
      <c r="G4443" s="2"/>
      <c r="H4443" s="2"/>
    </row>
    <row r="4444">
      <c r="A4444" s="2"/>
      <c r="B4444" s="13"/>
      <c r="C4444" s="2"/>
      <c r="D4444" s="2"/>
      <c r="E4444" s="2"/>
      <c r="F4444" s="14"/>
      <c r="G4444" s="2"/>
      <c r="H4444" s="2"/>
    </row>
    <row r="4445">
      <c r="A4445" s="2"/>
      <c r="B4445" s="13"/>
      <c r="C4445" s="2"/>
      <c r="D4445" s="2"/>
      <c r="E4445" s="2"/>
      <c r="F4445" s="14"/>
      <c r="G4445" s="2"/>
      <c r="H4445" s="2"/>
    </row>
    <row r="4446">
      <c r="A4446" s="2"/>
      <c r="B4446" s="13"/>
      <c r="C4446" s="2"/>
      <c r="D4446" s="2"/>
      <c r="E4446" s="2"/>
      <c r="F4446" s="14"/>
      <c r="G4446" s="2"/>
      <c r="H4446" s="2"/>
    </row>
    <row r="4447">
      <c r="A4447" s="2"/>
      <c r="B4447" s="13"/>
      <c r="C4447" s="2"/>
      <c r="D4447" s="2"/>
      <c r="E4447" s="2"/>
      <c r="F4447" s="14"/>
      <c r="G4447" s="2"/>
      <c r="H4447" s="2"/>
    </row>
    <row r="4448">
      <c r="A4448" s="2"/>
      <c r="B4448" s="13"/>
      <c r="C4448" s="2"/>
      <c r="D4448" s="2"/>
      <c r="E4448" s="2"/>
      <c r="F4448" s="14"/>
      <c r="G4448" s="2"/>
      <c r="H4448" s="2"/>
    </row>
    <row r="4449">
      <c r="A4449" s="2"/>
      <c r="B4449" s="13"/>
      <c r="C4449" s="2"/>
      <c r="D4449" s="2"/>
      <c r="E4449" s="2"/>
      <c r="F4449" s="14"/>
      <c r="G4449" s="2"/>
      <c r="H4449" s="2"/>
    </row>
    <row r="4450">
      <c r="A4450" s="2"/>
      <c r="B4450" s="13"/>
      <c r="C4450" s="2"/>
      <c r="D4450" s="2"/>
      <c r="E4450" s="2"/>
      <c r="F4450" s="14"/>
      <c r="G4450" s="2"/>
      <c r="H4450" s="2"/>
    </row>
    <row r="4451">
      <c r="A4451" s="2"/>
      <c r="B4451" s="13"/>
      <c r="C4451" s="2"/>
      <c r="D4451" s="2"/>
      <c r="E4451" s="2"/>
      <c r="F4451" s="14"/>
      <c r="G4451" s="2"/>
      <c r="H4451" s="2"/>
    </row>
    <row r="4452">
      <c r="A4452" s="2"/>
      <c r="B4452" s="13"/>
      <c r="C4452" s="2"/>
      <c r="D4452" s="2"/>
      <c r="E4452" s="2"/>
      <c r="F4452" s="14"/>
      <c r="G4452" s="2"/>
      <c r="H4452" s="2"/>
    </row>
    <row r="4453">
      <c r="A4453" s="2"/>
      <c r="B4453" s="13"/>
      <c r="C4453" s="2"/>
      <c r="D4453" s="2"/>
      <c r="E4453" s="2"/>
      <c r="F4453" s="14"/>
      <c r="G4453" s="2"/>
      <c r="H4453" s="2"/>
    </row>
    <row r="4454">
      <c r="A4454" s="2"/>
      <c r="B4454" s="13"/>
      <c r="C4454" s="2"/>
      <c r="D4454" s="2"/>
      <c r="E4454" s="2"/>
      <c r="F4454" s="14"/>
      <c r="G4454" s="2"/>
      <c r="H4454" s="2"/>
    </row>
    <row r="4455">
      <c r="A4455" s="2"/>
      <c r="B4455" s="13"/>
      <c r="C4455" s="2"/>
      <c r="D4455" s="2"/>
      <c r="E4455" s="2"/>
      <c r="F4455" s="14"/>
      <c r="G4455" s="2"/>
      <c r="H4455" s="2"/>
    </row>
    <row r="4456">
      <c r="A4456" s="2"/>
      <c r="B4456" s="13"/>
      <c r="C4456" s="2"/>
      <c r="D4456" s="2"/>
      <c r="E4456" s="2"/>
      <c r="F4456" s="14"/>
      <c r="G4456" s="2"/>
      <c r="H4456" s="2"/>
    </row>
    <row r="4457">
      <c r="A4457" s="2"/>
      <c r="B4457" s="13"/>
      <c r="C4457" s="2"/>
      <c r="D4457" s="2"/>
      <c r="E4457" s="2"/>
      <c r="F4457" s="14"/>
      <c r="G4457" s="2"/>
      <c r="H4457" s="2"/>
    </row>
    <row r="4458">
      <c r="A4458" s="2"/>
      <c r="B4458" s="13"/>
      <c r="C4458" s="2"/>
      <c r="D4458" s="2"/>
      <c r="E4458" s="2"/>
      <c r="F4458" s="14"/>
      <c r="G4458" s="2"/>
      <c r="H4458" s="2"/>
    </row>
    <row r="4459">
      <c r="A4459" s="2"/>
      <c r="B4459" s="13"/>
      <c r="C4459" s="2"/>
      <c r="D4459" s="2"/>
      <c r="E4459" s="2"/>
      <c r="F4459" s="14"/>
      <c r="G4459" s="2"/>
      <c r="H4459" s="2"/>
    </row>
    <row r="4460">
      <c r="A4460" s="2"/>
      <c r="B4460" s="13"/>
      <c r="C4460" s="2"/>
      <c r="D4460" s="2"/>
      <c r="E4460" s="2"/>
      <c r="F4460" s="14"/>
      <c r="G4460" s="2"/>
      <c r="H4460" s="2"/>
    </row>
    <row r="4461">
      <c r="A4461" s="2"/>
      <c r="B4461" s="13"/>
      <c r="C4461" s="2"/>
      <c r="D4461" s="2"/>
      <c r="E4461" s="2"/>
      <c r="F4461" s="14"/>
      <c r="G4461" s="2"/>
      <c r="H4461" s="2"/>
    </row>
    <row r="4462">
      <c r="A4462" s="2"/>
      <c r="B4462" s="13"/>
      <c r="C4462" s="2"/>
      <c r="D4462" s="2"/>
      <c r="E4462" s="2"/>
      <c r="F4462" s="14"/>
      <c r="G4462" s="2"/>
      <c r="H4462" s="2"/>
    </row>
    <row r="4463">
      <c r="A4463" s="2"/>
      <c r="B4463" s="13"/>
      <c r="C4463" s="2"/>
      <c r="D4463" s="2"/>
      <c r="E4463" s="2"/>
      <c r="F4463" s="14"/>
      <c r="G4463" s="2"/>
      <c r="H4463" s="2"/>
    </row>
    <row r="4464">
      <c r="A4464" s="2"/>
      <c r="B4464" s="13"/>
      <c r="C4464" s="2"/>
      <c r="D4464" s="2"/>
      <c r="E4464" s="2"/>
      <c r="F4464" s="14"/>
      <c r="G4464" s="2"/>
      <c r="H4464" s="2"/>
    </row>
    <row r="4465">
      <c r="A4465" s="2"/>
      <c r="B4465" s="13"/>
      <c r="C4465" s="2"/>
      <c r="D4465" s="2"/>
      <c r="E4465" s="2"/>
      <c r="F4465" s="14"/>
      <c r="G4465" s="2"/>
      <c r="H4465" s="2"/>
    </row>
    <row r="4466">
      <c r="A4466" s="2"/>
      <c r="B4466" s="13"/>
      <c r="C4466" s="2"/>
      <c r="D4466" s="2"/>
      <c r="E4466" s="2"/>
      <c r="F4466" s="14"/>
      <c r="G4466" s="2"/>
      <c r="H4466" s="2"/>
    </row>
    <row r="4467">
      <c r="A4467" s="2"/>
      <c r="B4467" s="13"/>
      <c r="C4467" s="2"/>
      <c r="D4467" s="2"/>
      <c r="E4467" s="2"/>
      <c r="F4467" s="14"/>
      <c r="G4467" s="2"/>
      <c r="H4467" s="2"/>
    </row>
    <row r="4468">
      <c r="A4468" s="2"/>
      <c r="B4468" s="13"/>
      <c r="C4468" s="2"/>
      <c r="D4468" s="2"/>
      <c r="E4468" s="2"/>
      <c r="F4468" s="14"/>
      <c r="G4468" s="2"/>
      <c r="H4468" s="2"/>
    </row>
    <row r="4469">
      <c r="A4469" s="2"/>
      <c r="B4469" s="13"/>
      <c r="C4469" s="2"/>
      <c r="D4469" s="2"/>
      <c r="E4469" s="2"/>
      <c r="F4469" s="14"/>
      <c r="G4469" s="2"/>
      <c r="H4469" s="2"/>
    </row>
    <row r="4470">
      <c r="A4470" s="2"/>
      <c r="B4470" s="13"/>
      <c r="C4470" s="2"/>
      <c r="D4470" s="2"/>
      <c r="E4470" s="2"/>
      <c r="F4470" s="14"/>
      <c r="G4470" s="2"/>
      <c r="H4470" s="2"/>
    </row>
    <row r="4471">
      <c r="A4471" s="2"/>
      <c r="B4471" s="13"/>
      <c r="C4471" s="2"/>
      <c r="D4471" s="2"/>
      <c r="E4471" s="2"/>
      <c r="F4471" s="14"/>
      <c r="G4471" s="2"/>
      <c r="H4471" s="2"/>
    </row>
    <row r="4472">
      <c r="A4472" s="2"/>
      <c r="B4472" s="13"/>
      <c r="C4472" s="2"/>
      <c r="D4472" s="2"/>
      <c r="E4472" s="2"/>
      <c r="F4472" s="14"/>
      <c r="G4472" s="2"/>
      <c r="H4472" s="2"/>
    </row>
    <row r="4473">
      <c r="A4473" s="2"/>
      <c r="B4473" s="13"/>
      <c r="C4473" s="2"/>
      <c r="D4473" s="2"/>
      <c r="E4473" s="2"/>
      <c r="F4473" s="14"/>
      <c r="G4473" s="2"/>
      <c r="H4473" s="2"/>
    </row>
    <row r="4474">
      <c r="A4474" s="2"/>
      <c r="B4474" s="13"/>
      <c r="C4474" s="2"/>
      <c r="D4474" s="2"/>
      <c r="E4474" s="2"/>
      <c r="F4474" s="14"/>
      <c r="G4474" s="2"/>
      <c r="H4474" s="2"/>
    </row>
    <row r="4475">
      <c r="A4475" s="2"/>
      <c r="B4475" s="13"/>
      <c r="C4475" s="2"/>
      <c r="D4475" s="2"/>
      <c r="E4475" s="2"/>
      <c r="F4475" s="14"/>
      <c r="G4475" s="2"/>
      <c r="H4475" s="2"/>
    </row>
    <row r="4476">
      <c r="A4476" s="2"/>
      <c r="B4476" s="13"/>
      <c r="C4476" s="2"/>
      <c r="D4476" s="2"/>
      <c r="E4476" s="2"/>
      <c r="F4476" s="14"/>
      <c r="G4476" s="2"/>
      <c r="H4476" s="2"/>
    </row>
    <row r="4477">
      <c r="A4477" s="2"/>
      <c r="B4477" s="13"/>
      <c r="C4477" s="2"/>
      <c r="D4477" s="2"/>
      <c r="E4477" s="2"/>
      <c r="F4477" s="14"/>
      <c r="G4477" s="2"/>
      <c r="H4477" s="2"/>
    </row>
    <row r="4478">
      <c r="A4478" s="2"/>
      <c r="B4478" s="13"/>
      <c r="C4478" s="2"/>
      <c r="D4478" s="2"/>
      <c r="E4478" s="2"/>
      <c r="F4478" s="14"/>
      <c r="G4478" s="2"/>
      <c r="H4478" s="2"/>
    </row>
    <row r="4479">
      <c r="A4479" s="2"/>
      <c r="B4479" s="13"/>
      <c r="C4479" s="2"/>
      <c r="D4479" s="2"/>
      <c r="E4479" s="2"/>
      <c r="F4479" s="14"/>
      <c r="G4479" s="2"/>
      <c r="H4479" s="2"/>
    </row>
    <row r="4480">
      <c r="A4480" s="2"/>
      <c r="B4480" s="13"/>
      <c r="C4480" s="2"/>
      <c r="D4480" s="2"/>
      <c r="E4480" s="2"/>
      <c r="F4480" s="14"/>
      <c r="G4480" s="2"/>
      <c r="H4480" s="2"/>
    </row>
    <row r="4481">
      <c r="A4481" s="2"/>
      <c r="B4481" s="13"/>
      <c r="C4481" s="2"/>
      <c r="D4481" s="2"/>
      <c r="E4481" s="2"/>
      <c r="F4481" s="14"/>
      <c r="G4481" s="2"/>
      <c r="H4481" s="2"/>
    </row>
    <row r="4482">
      <c r="A4482" s="2"/>
      <c r="B4482" s="13"/>
      <c r="C4482" s="2"/>
      <c r="D4482" s="2"/>
      <c r="E4482" s="2"/>
      <c r="F4482" s="14"/>
      <c r="G4482" s="2"/>
      <c r="H4482" s="2"/>
    </row>
    <row r="4483">
      <c r="A4483" s="2"/>
      <c r="B4483" s="13"/>
      <c r="C4483" s="2"/>
      <c r="D4483" s="2"/>
      <c r="E4483" s="2"/>
      <c r="F4483" s="14"/>
      <c r="G4483" s="2"/>
      <c r="H4483" s="2"/>
    </row>
    <row r="4484">
      <c r="A4484" s="2"/>
      <c r="B4484" s="13"/>
      <c r="C4484" s="2"/>
      <c r="D4484" s="2"/>
      <c r="E4484" s="2"/>
      <c r="F4484" s="14"/>
      <c r="G4484" s="2"/>
      <c r="H4484" s="2"/>
    </row>
    <row r="4485">
      <c r="A4485" s="2"/>
      <c r="B4485" s="13"/>
      <c r="C4485" s="2"/>
      <c r="D4485" s="2"/>
      <c r="E4485" s="2"/>
      <c r="F4485" s="14"/>
      <c r="G4485" s="2"/>
      <c r="H4485" s="2"/>
    </row>
    <row r="4486">
      <c r="A4486" s="2"/>
      <c r="B4486" s="13"/>
      <c r="C4486" s="2"/>
      <c r="D4486" s="2"/>
      <c r="E4486" s="2"/>
      <c r="F4486" s="14"/>
      <c r="G4486" s="2"/>
      <c r="H4486" s="2"/>
    </row>
    <row r="4487">
      <c r="A4487" s="2"/>
      <c r="B4487" s="13"/>
      <c r="C4487" s="2"/>
      <c r="D4487" s="2"/>
      <c r="E4487" s="2"/>
      <c r="F4487" s="14"/>
      <c r="G4487" s="2"/>
      <c r="H4487" s="2"/>
    </row>
    <row r="4488">
      <c r="A4488" s="2"/>
      <c r="B4488" s="13"/>
      <c r="C4488" s="2"/>
      <c r="D4488" s="2"/>
      <c r="E4488" s="2"/>
      <c r="F4488" s="14"/>
      <c r="G4488" s="2"/>
      <c r="H4488" s="2"/>
    </row>
    <row r="4489">
      <c r="A4489" s="2"/>
      <c r="B4489" s="13"/>
      <c r="C4489" s="2"/>
      <c r="D4489" s="2"/>
      <c r="E4489" s="2"/>
      <c r="F4489" s="14"/>
      <c r="G4489" s="2"/>
      <c r="H4489" s="2"/>
    </row>
    <row r="4490">
      <c r="A4490" s="2"/>
      <c r="B4490" s="13"/>
      <c r="C4490" s="2"/>
      <c r="D4490" s="2"/>
      <c r="E4490" s="2"/>
      <c r="F4490" s="14"/>
      <c r="G4490" s="2"/>
      <c r="H4490" s="2"/>
    </row>
    <row r="4491">
      <c r="A4491" s="2"/>
      <c r="B4491" s="13"/>
      <c r="C4491" s="2"/>
      <c r="D4491" s="2"/>
      <c r="E4491" s="2"/>
      <c r="F4491" s="14"/>
      <c r="G4491" s="2"/>
      <c r="H4491" s="2"/>
    </row>
    <row r="4492">
      <c r="A4492" s="2"/>
      <c r="B4492" s="13"/>
      <c r="C4492" s="2"/>
      <c r="D4492" s="2"/>
      <c r="E4492" s="2"/>
      <c r="F4492" s="14"/>
      <c r="G4492" s="2"/>
      <c r="H4492" s="2"/>
    </row>
    <row r="4493">
      <c r="A4493" s="2"/>
      <c r="B4493" s="13"/>
      <c r="C4493" s="2"/>
      <c r="D4493" s="2"/>
      <c r="E4493" s="2"/>
      <c r="F4493" s="14"/>
      <c r="G4493" s="2"/>
      <c r="H4493" s="2"/>
    </row>
    <row r="4494">
      <c r="A4494" s="2"/>
      <c r="B4494" s="13"/>
      <c r="C4494" s="2"/>
      <c r="D4494" s="2"/>
      <c r="E4494" s="2"/>
      <c r="F4494" s="14"/>
      <c r="G4494" s="2"/>
      <c r="H4494" s="2"/>
    </row>
    <row r="4495">
      <c r="A4495" s="2"/>
      <c r="B4495" s="13"/>
      <c r="C4495" s="2"/>
      <c r="D4495" s="2"/>
      <c r="E4495" s="2"/>
      <c r="F4495" s="14"/>
      <c r="G4495" s="2"/>
      <c r="H4495" s="2"/>
    </row>
    <row r="4496">
      <c r="A4496" s="2"/>
      <c r="B4496" s="13"/>
      <c r="C4496" s="2"/>
      <c r="D4496" s="2"/>
      <c r="E4496" s="2"/>
      <c r="F4496" s="14"/>
      <c r="G4496" s="2"/>
      <c r="H4496" s="2"/>
    </row>
    <row r="4497">
      <c r="A4497" s="2"/>
      <c r="B4497" s="13"/>
      <c r="C4497" s="2"/>
      <c r="D4497" s="2"/>
      <c r="E4497" s="2"/>
      <c r="F4497" s="14"/>
      <c r="G4497" s="2"/>
      <c r="H4497" s="2"/>
    </row>
    <row r="4498">
      <c r="A4498" s="2"/>
      <c r="B4498" s="13"/>
      <c r="C4498" s="2"/>
      <c r="D4498" s="2"/>
      <c r="E4498" s="2"/>
      <c r="F4498" s="14"/>
      <c r="G4498" s="2"/>
      <c r="H4498" s="2"/>
    </row>
    <row r="4499">
      <c r="A4499" s="2"/>
      <c r="B4499" s="13"/>
      <c r="C4499" s="2"/>
      <c r="D4499" s="2"/>
      <c r="E4499" s="2"/>
      <c r="F4499" s="14"/>
      <c r="G4499" s="2"/>
      <c r="H4499" s="2"/>
    </row>
    <row r="4500">
      <c r="A4500" s="2"/>
      <c r="B4500" s="13"/>
      <c r="C4500" s="2"/>
      <c r="D4500" s="2"/>
      <c r="E4500" s="2"/>
      <c r="F4500" s="14"/>
      <c r="G4500" s="2"/>
      <c r="H4500" s="2"/>
    </row>
    <row r="4501">
      <c r="A4501" s="2"/>
      <c r="B4501" s="13"/>
      <c r="C4501" s="2"/>
      <c r="D4501" s="2"/>
      <c r="E4501" s="2"/>
      <c r="F4501" s="14"/>
      <c r="G4501" s="2"/>
      <c r="H4501" s="2"/>
    </row>
    <row r="4502">
      <c r="A4502" s="2"/>
      <c r="B4502" s="13"/>
      <c r="C4502" s="2"/>
      <c r="D4502" s="2"/>
      <c r="E4502" s="2"/>
      <c r="F4502" s="14"/>
      <c r="G4502" s="2"/>
      <c r="H4502" s="2"/>
    </row>
    <row r="4503">
      <c r="A4503" s="2"/>
      <c r="B4503" s="13"/>
      <c r="C4503" s="2"/>
      <c r="D4503" s="2"/>
      <c r="E4503" s="2"/>
      <c r="F4503" s="14"/>
      <c r="G4503" s="2"/>
      <c r="H4503" s="2"/>
    </row>
    <row r="4504">
      <c r="A4504" s="2"/>
      <c r="B4504" s="13"/>
      <c r="C4504" s="2"/>
      <c r="D4504" s="2"/>
      <c r="E4504" s="2"/>
      <c r="F4504" s="14"/>
      <c r="G4504" s="2"/>
      <c r="H4504" s="2"/>
    </row>
    <row r="4505">
      <c r="A4505" s="2"/>
      <c r="B4505" s="13"/>
      <c r="C4505" s="2"/>
      <c r="D4505" s="2"/>
      <c r="E4505" s="2"/>
      <c r="F4505" s="14"/>
      <c r="G4505" s="2"/>
      <c r="H4505" s="2"/>
    </row>
    <row r="4506">
      <c r="A4506" s="2"/>
      <c r="B4506" s="13"/>
      <c r="C4506" s="2"/>
      <c r="D4506" s="2"/>
      <c r="E4506" s="2"/>
      <c r="F4506" s="14"/>
      <c r="G4506" s="2"/>
      <c r="H4506" s="2"/>
    </row>
    <row r="4507">
      <c r="A4507" s="2"/>
      <c r="B4507" s="13"/>
      <c r="C4507" s="2"/>
      <c r="D4507" s="2"/>
      <c r="E4507" s="2"/>
      <c r="F4507" s="14"/>
      <c r="G4507" s="2"/>
      <c r="H4507" s="2"/>
    </row>
    <row r="4508">
      <c r="A4508" s="2"/>
      <c r="B4508" s="13"/>
      <c r="C4508" s="2"/>
      <c r="D4508" s="2"/>
      <c r="E4508" s="2"/>
      <c r="F4508" s="14"/>
      <c r="G4508" s="2"/>
      <c r="H4508" s="2"/>
    </row>
    <row r="4509">
      <c r="A4509" s="2"/>
      <c r="B4509" s="13"/>
      <c r="C4509" s="2"/>
      <c r="D4509" s="2"/>
      <c r="E4509" s="2"/>
      <c r="F4509" s="14"/>
      <c r="G4509" s="2"/>
      <c r="H4509" s="2"/>
    </row>
    <row r="4510">
      <c r="A4510" s="2"/>
      <c r="B4510" s="13"/>
      <c r="C4510" s="2"/>
      <c r="D4510" s="2"/>
      <c r="E4510" s="2"/>
      <c r="F4510" s="14"/>
      <c r="G4510" s="2"/>
      <c r="H4510" s="2"/>
    </row>
    <row r="4511">
      <c r="A4511" s="2"/>
      <c r="B4511" s="13"/>
      <c r="C4511" s="2"/>
      <c r="D4511" s="2"/>
      <c r="E4511" s="2"/>
      <c r="F4511" s="14"/>
      <c r="G4511" s="2"/>
      <c r="H4511" s="2"/>
    </row>
    <row r="4512">
      <c r="A4512" s="2"/>
      <c r="B4512" s="13"/>
      <c r="C4512" s="2"/>
      <c r="D4512" s="2"/>
      <c r="E4512" s="2"/>
      <c r="F4512" s="14"/>
      <c r="G4512" s="2"/>
      <c r="H4512" s="2"/>
    </row>
    <row r="4513">
      <c r="A4513" s="2"/>
      <c r="B4513" s="13"/>
      <c r="C4513" s="2"/>
      <c r="D4513" s="2"/>
      <c r="E4513" s="2"/>
      <c r="F4513" s="14"/>
      <c r="G4513" s="2"/>
      <c r="H4513" s="2"/>
    </row>
    <row r="4514">
      <c r="A4514" s="2"/>
      <c r="B4514" s="13"/>
      <c r="C4514" s="2"/>
      <c r="D4514" s="2"/>
      <c r="E4514" s="2"/>
      <c r="F4514" s="14"/>
      <c r="G4514" s="2"/>
      <c r="H4514" s="2"/>
    </row>
    <row r="4515">
      <c r="A4515" s="2"/>
      <c r="B4515" s="13"/>
      <c r="C4515" s="2"/>
      <c r="D4515" s="2"/>
      <c r="E4515" s="2"/>
      <c r="F4515" s="14"/>
      <c r="G4515" s="2"/>
      <c r="H4515" s="2"/>
    </row>
    <row r="4516">
      <c r="A4516" s="2"/>
      <c r="B4516" s="13"/>
      <c r="C4516" s="2"/>
      <c r="D4516" s="2"/>
      <c r="E4516" s="2"/>
      <c r="F4516" s="14"/>
      <c r="G4516" s="2"/>
      <c r="H4516" s="2"/>
    </row>
    <row r="4517">
      <c r="A4517" s="2"/>
      <c r="B4517" s="13"/>
      <c r="C4517" s="2"/>
      <c r="D4517" s="2"/>
      <c r="E4517" s="2"/>
      <c r="F4517" s="14"/>
      <c r="G4517" s="2"/>
      <c r="H4517" s="2"/>
    </row>
    <row r="4518">
      <c r="A4518" s="2"/>
      <c r="B4518" s="13"/>
      <c r="C4518" s="2"/>
      <c r="D4518" s="2"/>
      <c r="E4518" s="2"/>
      <c r="F4518" s="14"/>
      <c r="G4518" s="2"/>
      <c r="H4518" s="2"/>
    </row>
    <row r="4519">
      <c r="A4519" s="2"/>
      <c r="B4519" s="13"/>
      <c r="C4519" s="2"/>
      <c r="D4519" s="2"/>
      <c r="E4519" s="2"/>
      <c r="F4519" s="14"/>
      <c r="G4519" s="2"/>
      <c r="H4519" s="2"/>
    </row>
    <row r="4520">
      <c r="A4520" s="2"/>
      <c r="B4520" s="13"/>
      <c r="C4520" s="2"/>
      <c r="D4520" s="2"/>
      <c r="E4520" s="2"/>
      <c r="F4520" s="14"/>
      <c r="G4520" s="2"/>
      <c r="H4520" s="2"/>
    </row>
    <row r="4521">
      <c r="A4521" s="2"/>
      <c r="B4521" s="13"/>
      <c r="C4521" s="2"/>
      <c r="D4521" s="2"/>
      <c r="E4521" s="2"/>
      <c r="F4521" s="14"/>
      <c r="G4521" s="2"/>
      <c r="H4521" s="2"/>
    </row>
    <row r="4522">
      <c r="A4522" s="2"/>
      <c r="B4522" s="13"/>
      <c r="C4522" s="2"/>
      <c r="D4522" s="2"/>
      <c r="E4522" s="2"/>
      <c r="F4522" s="14"/>
      <c r="G4522" s="2"/>
      <c r="H4522" s="2"/>
    </row>
    <row r="4523">
      <c r="A4523" s="2"/>
      <c r="B4523" s="13"/>
      <c r="C4523" s="2"/>
      <c r="D4523" s="2"/>
      <c r="E4523" s="2"/>
      <c r="F4523" s="14"/>
      <c r="G4523" s="2"/>
      <c r="H4523" s="2"/>
    </row>
    <row r="4524">
      <c r="A4524" s="2"/>
      <c r="B4524" s="13"/>
      <c r="C4524" s="2"/>
      <c r="D4524" s="2"/>
      <c r="E4524" s="2"/>
      <c r="F4524" s="14"/>
      <c r="G4524" s="2"/>
      <c r="H4524" s="2"/>
    </row>
    <row r="4525">
      <c r="A4525" s="2"/>
      <c r="B4525" s="13"/>
      <c r="C4525" s="2"/>
      <c r="D4525" s="2"/>
      <c r="E4525" s="2"/>
      <c r="F4525" s="14"/>
      <c r="G4525" s="2"/>
      <c r="H4525" s="2"/>
    </row>
    <row r="4526">
      <c r="A4526" s="2"/>
      <c r="B4526" s="13"/>
      <c r="C4526" s="2"/>
      <c r="D4526" s="2"/>
      <c r="E4526" s="2"/>
      <c r="F4526" s="14"/>
      <c r="G4526" s="2"/>
      <c r="H4526" s="2"/>
    </row>
    <row r="4527">
      <c r="A4527" s="2"/>
      <c r="B4527" s="13"/>
      <c r="C4527" s="2"/>
      <c r="D4527" s="2"/>
      <c r="E4527" s="2"/>
      <c r="F4527" s="14"/>
      <c r="G4527" s="2"/>
      <c r="H4527" s="2"/>
    </row>
    <row r="4528">
      <c r="A4528" s="2"/>
      <c r="B4528" s="13"/>
      <c r="C4528" s="2"/>
      <c r="D4528" s="2"/>
      <c r="E4528" s="2"/>
      <c r="F4528" s="14"/>
      <c r="G4528" s="2"/>
      <c r="H4528" s="2"/>
    </row>
    <row r="4529">
      <c r="A4529" s="2"/>
      <c r="B4529" s="13"/>
      <c r="C4529" s="2"/>
      <c r="D4529" s="2"/>
      <c r="E4529" s="2"/>
      <c r="F4529" s="14"/>
      <c r="G4529" s="2"/>
      <c r="H4529" s="2"/>
    </row>
    <row r="4530">
      <c r="A4530" s="2"/>
      <c r="B4530" s="13"/>
      <c r="C4530" s="2"/>
      <c r="D4530" s="2"/>
      <c r="E4530" s="2"/>
      <c r="F4530" s="14"/>
      <c r="G4530" s="2"/>
      <c r="H4530" s="2"/>
    </row>
    <row r="4531">
      <c r="A4531" s="2"/>
      <c r="B4531" s="13"/>
      <c r="C4531" s="2"/>
      <c r="D4531" s="2"/>
      <c r="E4531" s="2"/>
      <c r="F4531" s="14"/>
      <c r="G4531" s="2"/>
      <c r="H4531" s="2"/>
    </row>
    <row r="4532">
      <c r="A4532" s="2"/>
      <c r="B4532" s="13"/>
      <c r="C4532" s="2"/>
      <c r="D4532" s="2"/>
      <c r="E4532" s="2"/>
      <c r="F4532" s="14"/>
      <c r="G4532" s="2"/>
      <c r="H4532" s="2"/>
    </row>
    <row r="4533">
      <c r="A4533" s="2"/>
      <c r="B4533" s="13"/>
      <c r="C4533" s="2"/>
      <c r="D4533" s="2"/>
      <c r="E4533" s="2"/>
      <c r="F4533" s="14"/>
      <c r="G4533" s="2"/>
      <c r="H4533" s="2"/>
    </row>
    <row r="4534">
      <c r="A4534" s="2"/>
      <c r="B4534" s="13"/>
      <c r="C4534" s="2"/>
      <c r="D4534" s="2"/>
      <c r="E4534" s="2"/>
      <c r="F4534" s="14"/>
      <c r="G4534" s="2"/>
      <c r="H4534" s="2"/>
    </row>
    <row r="4535">
      <c r="A4535" s="2"/>
      <c r="B4535" s="13"/>
      <c r="C4535" s="2"/>
      <c r="D4535" s="2"/>
      <c r="E4535" s="2"/>
      <c r="F4535" s="14"/>
      <c r="G4535" s="2"/>
      <c r="H4535" s="2"/>
    </row>
    <row r="4536">
      <c r="A4536" s="2"/>
      <c r="B4536" s="13"/>
      <c r="C4536" s="2"/>
      <c r="D4536" s="2"/>
      <c r="E4536" s="2"/>
      <c r="F4536" s="14"/>
      <c r="G4536" s="2"/>
      <c r="H4536" s="2"/>
    </row>
    <row r="4537">
      <c r="A4537" s="2"/>
      <c r="B4537" s="13"/>
      <c r="C4537" s="2"/>
      <c r="D4537" s="2"/>
      <c r="E4537" s="2"/>
      <c r="F4537" s="14"/>
      <c r="G4537" s="2"/>
      <c r="H4537" s="2"/>
    </row>
    <row r="4538">
      <c r="A4538" s="2"/>
      <c r="B4538" s="13"/>
      <c r="C4538" s="2"/>
      <c r="D4538" s="2"/>
      <c r="E4538" s="2"/>
      <c r="F4538" s="14"/>
      <c r="G4538" s="2"/>
      <c r="H4538" s="2"/>
    </row>
    <row r="4539">
      <c r="A4539" s="2"/>
      <c r="B4539" s="13"/>
      <c r="C4539" s="2"/>
      <c r="D4539" s="2"/>
      <c r="E4539" s="2"/>
      <c r="F4539" s="14"/>
      <c r="G4539" s="2"/>
      <c r="H4539" s="2"/>
    </row>
    <row r="4540">
      <c r="A4540" s="2"/>
      <c r="B4540" s="13"/>
      <c r="C4540" s="2"/>
      <c r="D4540" s="2"/>
      <c r="E4540" s="2"/>
      <c r="F4540" s="14"/>
      <c r="G4540" s="2"/>
      <c r="H4540" s="2"/>
    </row>
    <row r="4541">
      <c r="A4541" s="2"/>
      <c r="B4541" s="13"/>
      <c r="C4541" s="2"/>
      <c r="D4541" s="2"/>
      <c r="E4541" s="2"/>
      <c r="F4541" s="14"/>
      <c r="G4541" s="2"/>
      <c r="H4541" s="2"/>
    </row>
    <row r="4542">
      <c r="A4542" s="2"/>
      <c r="B4542" s="13"/>
      <c r="C4542" s="2"/>
      <c r="D4542" s="2"/>
      <c r="E4542" s="2"/>
      <c r="F4542" s="14"/>
      <c r="G4542" s="2"/>
      <c r="H4542" s="2"/>
    </row>
    <row r="4543">
      <c r="A4543" s="2"/>
      <c r="B4543" s="13"/>
      <c r="C4543" s="2"/>
      <c r="D4543" s="2"/>
      <c r="E4543" s="2"/>
      <c r="F4543" s="14"/>
      <c r="G4543" s="2"/>
      <c r="H4543" s="2"/>
    </row>
    <row r="4544">
      <c r="A4544" s="2"/>
      <c r="B4544" s="13"/>
      <c r="C4544" s="2"/>
      <c r="D4544" s="2"/>
      <c r="E4544" s="2"/>
      <c r="F4544" s="14"/>
      <c r="G4544" s="2"/>
      <c r="H4544" s="2"/>
    </row>
    <row r="4545">
      <c r="A4545" s="2"/>
      <c r="B4545" s="13"/>
      <c r="C4545" s="2"/>
      <c r="D4545" s="2"/>
      <c r="E4545" s="2"/>
      <c r="F4545" s="14"/>
      <c r="G4545" s="2"/>
      <c r="H4545" s="2"/>
    </row>
    <row r="4546">
      <c r="A4546" s="2"/>
      <c r="B4546" s="13"/>
      <c r="C4546" s="2"/>
      <c r="D4546" s="2"/>
      <c r="E4546" s="2"/>
      <c r="F4546" s="14"/>
      <c r="G4546" s="2"/>
      <c r="H4546" s="2"/>
    </row>
    <row r="4547">
      <c r="A4547" s="2"/>
      <c r="B4547" s="13"/>
      <c r="C4547" s="2"/>
      <c r="D4547" s="2"/>
      <c r="E4547" s="2"/>
      <c r="F4547" s="14"/>
      <c r="G4547" s="2"/>
      <c r="H4547" s="2"/>
    </row>
    <row r="4548">
      <c r="A4548" s="2"/>
      <c r="B4548" s="13"/>
      <c r="C4548" s="2"/>
      <c r="D4548" s="2"/>
      <c r="E4548" s="2"/>
      <c r="F4548" s="14"/>
      <c r="G4548" s="2"/>
      <c r="H4548" s="2"/>
    </row>
    <row r="4549">
      <c r="A4549" s="2"/>
      <c r="B4549" s="13"/>
      <c r="C4549" s="2"/>
      <c r="D4549" s="2"/>
      <c r="E4549" s="2"/>
      <c r="F4549" s="14"/>
      <c r="G4549" s="2"/>
      <c r="H4549" s="2"/>
    </row>
    <row r="4550">
      <c r="A4550" s="2"/>
      <c r="B4550" s="13"/>
      <c r="C4550" s="2"/>
      <c r="D4550" s="2"/>
      <c r="E4550" s="2"/>
      <c r="F4550" s="14"/>
      <c r="G4550" s="2"/>
      <c r="H4550" s="2"/>
    </row>
    <row r="4551">
      <c r="A4551" s="2"/>
      <c r="B4551" s="13"/>
      <c r="C4551" s="2"/>
      <c r="D4551" s="2"/>
      <c r="E4551" s="2"/>
      <c r="F4551" s="14"/>
      <c r="G4551" s="2"/>
      <c r="H4551" s="2"/>
    </row>
    <row r="4552">
      <c r="A4552" s="2"/>
      <c r="B4552" s="13"/>
      <c r="C4552" s="2"/>
      <c r="D4552" s="2"/>
      <c r="E4552" s="2"/>
      <c r="F4552" s="14"/>
      <c r="G4552" s="2"/>
      <c r="H4552" s="2"/>
    </row>
    <row r="4553">
      <c r="A4553" s="2"/>
      <c r="B4553" s="13"/>
      <c r="C4553" s="2"/>
      <c r="D4553" s="2"/>
      <c r="E4553" s="2"/>
      <c r="F4553" s="14"/>
      <c r="G4553" s="2"/>
      <c r="H4553" s="2"/>
    </row>
    <row r="4554">
      <c r="A4554" s="2"/>
      <c r="B4554" s="13"/>
      <c r="C4554" s="2"/>
      <c r="D4554" s="2"/>
      <c r="E4554" s="2"/>
      <c r="F4554" s="14"/>
      <c r="G4554" s="2"/>
      <c r="H4554" s="2"/>
    </row>
    <row r="4555">
      <c r="A4555" s="2"/>
      <c r="B4555" s="13"/>
      <c r="C4555" s="2"/>
      <c r="D4555" s="2"/>
      <c r="E4555" s="2"/>
      <c r="F4555" s="14"/>
      <c r="G4555" s="2"/>
      <c r="H4555" s="2"/>
    </row>
    <row r="4556">
      <c r="A4556" s="2"/>
      <c r="B4556" s="13"/>
      <c r="C4556" s="2"/>
      <c r="D4556" s="2"/>
      <c r="E4556" s="2"/>
      <c r="F4556" s="14"/>
      <c r="G4556" s="2"/>
      <c r="H4556" s="2"/>
    </row>
    <row r="4557">
      <c r="A4557" s="2"/>
      <c r="B4557" s="13"/>
      <c r="C4557" s="2"/>
      <c r="D4557" s="2"/>
      <c r="E4557" s="2"/>
      <c r="F4557" s="14"/>
      <c r="G4557" s="2"/>
      <c r="H4557" s="2"/>
    </row>
    <row r="4558">
      <c r="A4558" s="2"/>
      <c r="B4558" s="13"/>
      <c r="C4558" s="2"/>
      <c r="D4558" s="2"/>
      <c r="E4558" s="2"/>
      <c r="F4558" s="14"/>
      <c r="G4558" s="2"/>
      <c r="H4558" s="2"/>
    </row>
    <row r="4559">
      <c r="A4559" s="2"/>
      <c r="B4559" s="13"/>
      <c r="C4559" s="2"/>
      <c r="D4559" s="2"/>
      <c r="E4559" s="2"/>
      <c r="F4559" s="14"/>
      <c r="G4559" s="2"/>
      <c r="H4559" s="2"/>
    </row>
    <row r="4560">
      <c r="A4560" s="2"/>
      <c r="B4560" s="13"/>
      <c r="C4560" s="2"/>
      <c r="D4560" s="2"/>
      <c r="E4560" s="2"/>
      <c r="F4560" s="14"/>
      <c r="G4560" s="2"/>
      <c r="H4560" s="2"/>
    </row>
    <row r="4561">
      <c r="A4561" s="2"/>
      <c r="B4561" s="13"/>
      <c r="C4561" s="2"/>
      <c r="D4561" s="2"/>
      <c r="E4561" s="2"/>
      <c r="F4561" s="14"/>
      <c r="G4561" s="2"/>
      <c r="H4561" s="2"/>
    </row>
    <row r="4562">
      <c r="A4562" s="2"/>
      <c r="B4562" s="13"/>
      <c r="C4562" s="2"/>
      <c r="D4562" s="2"/>
      <c r="E4562" s="2"/>
      <c r="F4562" s="14"/>
      <c r="G4562" s="2"/>
      <c r="H4562" s="2"/>
    </row>
    <row r="4563">
      <c r="A4563" s="2"/>
      <c r="B4563" s="13"/>
      <c r="C4563" s="2"/>
      <c r="D4563" s="2"/>
      <c r="E4563" s="2"/>
      <c r="F4563" s="14"/>
      <c r="G4563" s="2"/>
      <c r="H4563" s="2"/>
    </row>
    <row r="4564">
      <c r="A4564" s="2"/>
      <c r="B4564" s="13"/>
      <c r="C4564" s="2"/>
      <c r="D4564" s="2"/>
      <c r="E4564" s="2"/>
      <c r="F4564" s="14"/>
      <c r="G4564" s="2"/>
      <c r="H4564" s="2"/>
    </row>
    <row r="4565">
      <c r="A4565" s="2"/>
      <c r="B4565" s="13"/>
      <c r="C4565" s="2"/>
      <c r="D4565" s="2"/>
      <c r="E4565" s="2"/>
      <c r="F4565" s="14"/>
      <c r="G4565" s="2"/>
      <c r="H4565" s="2"/>
    </row>
    <row r="4566">
      <c r="A4566" s="2"/>
      <c r="B4566" s="13"/>
      <c r="C4566" s="2"/>
      <c r="D4566" s="2"/>
      <c r="E4566" s="2"/>
      <c r="F4566" s="14"/>
      <c r="G4566" s="2"/>
      <c r="H4566" s="2"/>
    </row>
    <row r="4567">
      <c r="A4567" s="2"/>
      <c r="B4567" s="13"/>
      <c r="C4567" s="2"/>
      <c r="D4567" s="2"/>
      <c r="E4567" s="2"/>
      <c r="F4567" s="14"/>
      <c r="G4567" s="2"/>
      <c r="H4567" s="2"/>
    </row>
    <row r="4568">
      <c r="A4568" s="2"/>
      <c r="B4568" s="13"/>
      <c r="C4568" s="2"/>
      <c r="D4568" s="2"/>
      <c r="E4568" s="2"/>
      <c r="F4568" s="14"/>
      <c r="G4568" s="2"/>
      <c r="H4568" s="2"/>
    </row>
    <row r="4569">
      <c r="A4569" s="2"/>
      <c r="B4569" s="13"/>
      <c r="C4569" s="2"/>
      <c r="D4569" s="2"/>
      <c r="E4569" s="2"/>
      <c r="F4569" s="14"/>
      <c r="G4569" s="2"/>
      <c r="H4569" s="2"/>
    </row>
    <row r="4570">
      <c r="A4570" s="2"/>
      <c r="B4570" s="13"/>
      <c r="C4570" s="2"/>
      <c r="D4570" s="2"/>
      <c r="E4570" s="2"/>
      <c r="F4570" s="14"/>
      <c r="G4570" s="2"/>
      <c r="H4570" s="2"/>
    </row>
    <row r="4571">
      <c r="A4571" s="2"/>
      <c r="B4571" s="13"/>
      <c r="C4571" s="2"/>
      <c r="D4571" s="2"/>
      <c r="E4571" s="2"/>
      <c r="F4571" s="14"/>
      <c r="G4571" s="2"/>
      <c r="H4571" s="2"/>
    </row>
    <row r="4572">
      <c r="A4572" s="2"/>
      <c r="B4572" s="13"/>
      <c r="C4572" s="2"/>
      <c r="D4572" s="2"/>
      <c r="E4572" s="2"/>
      <c r="F4572" s="14"/>
      <c r="G4572" s="2"/>
      <c r="H4572" s="2"/>
    </row>
    <row r="4573">
      <c r="A4573" s="2"/>
      <c r="B4573" s="13"/>
      <c r="C4573" s="2"/>
      <c r="D4573" s="2"/>
      <c r="E4573" s="2"/>
      <c r="F4573" s="14"/>
      <c r="G4573" s="2"/>
      <c r="H4573" s="2"/>
    </row>
    <row r="4574">
      <c r="A4574" s="2"/>
      <c r="B4574" s="13"/>
      <c r="C4574" s="2"/>
      <c r="D4574" s="2"/>
      <c r="E4574" s="2"/>
      <c r="F4574" s="14"/>
      <c r="G4574" s="2"/>
      <c r="H4574" s="2"/>
    </row>
    <row r="4575">
      <c r="A4575" s="2"/>
      <c r="B4575" s="13"/>
      <c r="C4575" s="2"/>
      <c r="D4575" s="2"/>
      <c r="E4575" s="2"/>
      <c r="F4575" s="14"/>
      <c r="G4575" s="2"/>
      <c r="H4575" s="2"/>
    </row>
    <row r="4576">
      <c r="A4576" s="2"/>
      <c r="B4576" s="13"/>
      <c r="C4576" s="2"/>
      <c r="D4576" s="2"/>
      <c r="E4576" s="2"/>
      <c r="F4576" s="14"/>
      <c r="G4576" s="2"/>
      <c r="H4576" s="2"/>
    </row>
    <row r="4577">
      <c r="A4577" s="2"/>
      <c r="B4577" s="13"/>
      <c r="C4577" s="2"/>
      <c r="D4577" s="2"/>
      <c r="E4577" s="2"/>
      <c r="F4577" s="14"/>
      <c r="G4577" s="2"/>
      <c r="H4577" s="2"/>
    </row>
    <row r="4578">
      <c r="A4578" s="2"/>
      <c r="B4578" s="13"/>
      <c r="C4578" s="2"/>
      <c r="D4578" s="2"/>
      <c r="E4578" s="2"/>
      <c r="F4578" s="14"/>
      <c r="G4578" s="2"/>
      <c r="H4578" s="2"/>
    </row>
    <row r="4579">
      <c r="A4579" s="2"/>
      <c r="B4579" s="13"/>
      <c r="C4579" s="2"/>
      <c r="D4579" s="2"/>
      <c r="E4579" s="2"/>
      <c r="F4579" s="14"/>
      <c r="G4579" s="2"/>
      <c r="H4579" s="2"/>
    </row>
    <row r="4580">
      <c r="A4580" s="2"/>
      <c r="B4580" s="13"/>
      <c r="C4580" s="2"/>
      <c r="D4580" s="2"/>
      <c r="E4580" s="2"/>
      <c r="F4580" s="14"/>
      <c r="G4580" s="2"/>
      <c r="H4580" s="2"/>
    </row>
    <row r="4581">
      <c r="A4581" s="2"/>
      <c r="B4581" s="13"/>
      <c r="C4581" s="2"/>
      <c r="D4581" s="2"/>
      <c r="E4581" s="2"/>
      <c r="F4581" s="14"/>
      <c r="G4581" s="2"/>
      <c r="H4581" s="2"/>
    </row>
    <row r="4582">
      <c r="A4582" s="2"/>
      <c r="B4582" s="13"/>
      <c r="C4582" s="2"/>
      <c r="D4582" s="2"/>
      <c r="E4582" s="2"/>
      <c r="F4582" s="14"/>
      <c r="G4582" s="2"/>
      <c r="H4582" s="2"/>
    </row>
    <row r="4583">
      <c r="A4583" s="2"/>
      <c r="B4583" s="13"/>
      <c r="C4583" s="2"/>
      <c r="D4583" s="2"/>
      <c r="E4583" s="2"/>
      <c r="F4583" s="14"/>
      <c r="G4583" s="2"/>
      <c r="H4583" s="2"/>
    </row>
    <row r="4584">
      <c r="A4584" s="2"/>
      <c r="B4584" s="13"/>
      <c r="C4584" s="2"/>
      <c r="D4584" s="2"/>
      <c r="E4584" s="2"/>
      <c r="F4584" s="14"/>
      <c r="G4584" s="2"/>
      <c r="H4584" s="2"/>
    </row>
    <row r="4585">
      <c r="A4585" s="2"/>
      <c r="B4585" s="13"/>
      <c r="C4585" s="2"/>
      <c r="D4585" s="2"/>
      <c r="E4585" s="2"/>
      <c r="F4585" s="14"/>
      <c r="G4585" s="2"/>
      <c r="H4585" s="2"/>
    </row>
    <row r="4586">
      <c r="A4586" s="2"/>
      <c r="B4586" s="13"/>
      <c r="C4586" s="2"/>
      <c r="D4586" s="2"/>
      <c r="E4586" s="2"/>
      <c r="F4586" s="14"/>
      <c r="G4586" s="2"/>
      <c r="H4586" s="2"/>
    </row>
    <row r="4587">
      <c r="A4587" s="2"/>
      <c r="B4587" s="13"/>
      <c r="C4587" s="2"/>
      <c r="D4587" s="2"/>
      <c r="E4587" s="2"/>
      <c r="F4587" s="14"/>
      <c r="G4587" s="2"/>
      <c r="H4587" s="2"/>
    </row>
    <row r="4588">
      <c r="A4588" s="2"/>
      <c r="B4588" s="13"/>
      <c r="C4588" s="2"/>
      <c r="D4588" s="2"/>
      <c r="E4588" s="2"/>
      <c r="F4588" s="14"/>
      <c r="G4588" s="2"/>
      <c r="H4588" s="2"/>
    </row>
    <row r="4589">
      <c r="A4589" s="2"/>
      <c r="B4589" s="13"/>
      <c r="C4589" s="2"/>
      <c r="D4589" s="2"/>
      <c r="E4589" s="2"/>
      <c r="F4589" s="14"/>
      <c r="G4589" s="2"/>
      <c r="H4589" s="2"/>
    </row>
    <row r="4590">
      <c r="A4590" s="2"/>
      <c r="B4590" s="13"/>
      <c r="C4590" s="2"/>
      <c r="D4590" s="2"/>
      <c r="E4590" s="2"/>
      <c r="F4590" s="14"/>
      <c r="G4590" s="2"/>
      <c r="H4590" s="2"/>
    </row>
    <row r="4591">
      <c r="A4591" s="2"/>
      <c r="B4591" s="13"/>
      <c r="C4591" s="2"/>
      <c r="D4591" s="2"/>
      <c r="E4591" s="2"/>
      <c r="F4591" s="14"/>
      <c r="G4591" s="2"/>
      <c r="H4591" s="2"/>
    </row>
    <row r="4592">
      <c r="A4592" s="2"/>
      <c r="B4592" s="13"/>
      <c r="C4592" s="2"/>
      <c r="D4592" s="2"/>
      <c r="E4592" s="2"/>
      <c r="F4592" s="14"/>
      <c r="G4592" s="2"/>
      <c r="H4592" s="2"/>
    </row>
    <row r="4593">
      <c r="A4593" s="2"/>
      <c r="B4593" s="13"/>
      <c r="C4593" s="2"/>
      <c r="D4593" s="2"/>
      <c r="E4593" s="2"/>
      <c r="F4593" s="14"/>
      <c r="G4593" s="2"/>
      <c r="H4593" s="2"/>
    </row>
    <row r="4594">
      <c r="A4594" s="2"/>
      <c r="B4594" s="13"/>
      <c r="C4594" s="2"/>
      <c r="D4594" s="2"/>
      <c r="E4594" s="2"/>
      <c r="F4594" s="14"/>
      <c r="G4594" s="2"/>
      <c r="H4594" s="2"/>
    </row>
    <row r="4595">
      <c r="A4595" s="2"/>
      <c r="B4595" s="13"/>
      <c r="C4595" s="2"/>
      <c r="D4595" s="2"/>
      <c r="E4595" s="2"/>
      <c r="F4595" s="14"/>
      <c r="G4595" s="2"/>
      <c r="H4595" s="2"/>
    </row>
    <row r="4596">
      <c r="A4596" s="2"/>
      <c r="B4596" s="13"/>
      <c r="C4596" s="2"/>
      <c r="D4596" s="2"/>
      <c r="E4596" s="2"/>
      <c r="F4596" s="14"/>
      <c r="G4596" s="2"/>
      <c r="H4596" s="2"/>
    </row>
    <row r="4597">
      <c r="A4597" s="2"/>
      <c r="B4597" s="13"/>
      <c r="C4597" s="2"/>
      <c r="D4597" s="2"/>
      <c r="E4597" s="2"/>
      <c r="F4597" s="14"/>
      <c r="G4597" s="2"/>
      <c r="H4597" s="2"/>
    </row>
    <row r="4598">
      <c r="A4598" s="2"/>
      <c r="B4598" s="13"/>
      <c r="C4598" s="2"/>
      <c r="D4598" s="2"/>
      <c r="E4598" s="2"/>
      <c r="F4598" s="14"/>
      <c r="G4598" s="2"/>
      <c r="H4598" s="2"/>
    </row>
    <row r="4599">
      <c r="A4599" s="2"/>
      <c r="B4599" s="13"/>
      <c r="C4599" s="2"/>
      <c r="D4599" s="2"/>
      <c r="E4599" s="2"/>
      <c r="F4599" s="14"/>
      <c r="G4599" s="2"/>
      <c r="H4599" s="2"/>
    </row>
    <row r="4600">
      <c r="A4600" s="2"/>
      <c r="B4600" s="13"/>
      <c r="C4600" s="2"/>
      <c r="D4600" s="2"/>
      <c r="E4600" s="2"/>
      <c r="F4600" s="14"/>
      <c r="G4600" s="2"/>
      <c r="H4600" s="2"/>
    </row>
    <row r="4601">
      <c r="A4601" s="2"/>
      <c r="B4601" s="13"/>
      <c r="C4601" s="2"/>
      <c r="D4601" s="2"/>
      <c r="E4601" s="2"/>
      <c r="F4601" s="14"/>
      <c r="G4601" s="2"/>
      <c r="H4601" s="2"/>
    </row>
    <row r="4602">
      <c r="A4602" s="2"/>
      <c r="B4602" s="13"/>
      <c r="C4602" s="2"/>
      <c r="D4602" s="2"/>
      <c r="E4602" s="2"/>
      <c r="F4602" s="14"/>
      <c r="G4602" s="2"/>
      <c r="H4602" s="2"/>
    </row>
    <row r="4603">
      <c r="A4603" s="2"/>
      <c r="B4603" s="13"/>
      <c r="C4603" s="2"/>
      <c r="D4603" s="2"/>
      <c r="E4603" s="2"/>
      <c r="F4603" s="14"/>
      <c r="G4603" s="2"/>
      <c r="H4603" s="2"/>
    </row>
    <row r="4604">
      <c r="A4604" s="2"/>
      <c r="B4604" s="13"/>
      <c r="C4604" s="2"/>
      <c r="D4604" s="2"/>
      <c r="E4604" s="2"/>
      <c r="F4604" s="14"/>
      <c r="G4604" s="2"/>
      <c r="H4604" s="2"/>
    </row>
    <row r="4605">
      <c r="A4605" s="2"/>
      <c r="B4605" s="13"/>
      <c r="C4605" s="2"/>
      <c r="D4605" s="2"/>
      <c r="E4605" s="2"/>
      <c r="F4605" s="14"/>
      <c r="G4605" s="2"/>
      <c r="H4605" s="2"/>
    </row>
    <row r="4606">
      <c r="A4606" s="2"/>
      <c r="B4606" s="13"/>
      <c r="C4606" s="2"/>
      <c r="D4606" s="2"/>
      <c r="E4606" s="2"/>
      <c r="F4606" s="14"/>
      <c r="G4606" s="2"/>
      <c r="H4606" s="2"/>
    </row>
    <row r="4607">
      <c r="A4607" s="2"/>
      <c r="B4607" s="13"/>
      <c r="C4607" s="2"/>
      <c r="D4607" s="2"/>
      <c r="E4607" s="2"/>
      <c r="F4607" s="14"/>
      <c r="G4607" s="2"/>
      <c r="H4607" s="2"/>
    </row>
    <row r="4608">
      <c r="A4608" s="2"/>
      <c r="B4608" s="13"/>
      <c r="C4608" s="2"/>
      <c r="D4608" s="2"/>
      <c r="E4608" s="2"/>
      <c r="F4608" s="14"/>
      <c r="G4608" s="2"/>
      <c r="H4608" s="2"/>
    </row>
    <row r="4609">
      <c r="A4609" s="2"/>
      <c r="B4609" s="13"/>
      <c r="C4609" s="2"/>
      <c r="D4609" s="2"/>
      <c r="E4609" s="2"/>
      <c r="F4609" s="14"/>
      <c r="G4609" s="2"/>
      <c r="H4609" s="2"/>
    </row>
    <row r="4610">
      <c r="A4610" s="2"/>
      <c r="B4610" s="13"/>
      <c r="C4610" s="2"/>
      <c r="D4610" s="2"/>
      <c r="E4610" s="2"/>
      <c r="F4610" s="14"/>
      <c r="G4610" s="2"/>
      <c r="H4610" s="2"/>
    </row>
    <row r="4611">
      <c r="A4611" s="2"/>
      <c r="B4611" s="13"/>
      <c r="C4611" s="2"/>
      <c r="D4611" s="2"/>
      <c r="E4611" s="2"/>
      <c r="F4611" s="14"/>
      <c r="G4611" s="2"/>
      <c r="H4611" s="2"/>
    </row>
    <row r="4612">
      <c r="A4612" s="2"/>
      <c r="B4612" s="13"/>
      <c r="C4612" s="2"/>
      <c r="D4612" s="2"/>
      <c r="E4612" s="2"/>
      <c r="F4612" s="14"/>
      <c r="G4612" s="2"/>
      <c r="H4612" s="2"/>
    </row>
    <row r="4613">
      <c r="A4613" s="2"/>
      <c r="B4613" s="13"/>
      <c r="C4613" s="2"/>
      <c r="D4613" s="2"/>
      <c r="E4613" s="2"/>
      <c r="F4613" s="14"/>
      <c r="G4613" s="2"/>
      <c r="H4613" s="2"/>
    </row>
    <row r="4614">
      <c r="A4614" s="2"/>
      <c r="B4614" s="13"/>
      <c r="C4614" s="2"/>
      <c r="D4614" s="2"/>
      <c r="E4614" s="2"/>
      <c r="F4614" s="14"/>
      <c r="G4614" s="2"/>
      <c r="H4614" s="2"/>
    </row>
    <row r="4615">
      <c r="A4615" s="2"/>
      <c r="B4615" s="13"/>
      <c r="C4615" s="2"/>
      <c r="D4615" s="2"/>
      <c r="E4615" s="2"/>
      <c r="F4615" s="14"/>
      <c r="G4615" s="2"/>
      <c r="H4615" s="2"/>
    </row>
    <row r="4616">
      <c r="A4616" s="2"/>
      <c r="B4616" s="13"/>
      <c r="C4616" s="2"/>
      <c r="D4616" s="2"/>
      <c r="E4616" s="2"/>
      <c r="F4616" s="14"/>
      <c r="G4616" s="2"/>
      <c r="H4616" s="2"/>
    </row>
    <row r="4617">
      <c r="A4617" s="2"/>
      <c r="B4617" s="13"/>
      <c r="C4617" s="2"/>
      <c r="D4617" s="2"/>
      <c r="E4617" s="2"/>
      <c r="F4617" s="14"/>
      <c r="G4617" s="2"/>
      <c r="H4617" s="2"/>
    </row>
    <row r="4618">
      <c r="A4618" s="2"/>
      <c r="B4618" s="13"/>
      <c r="C4618" s="2"/>
      <c r="D4618" s="2"/>
      <c r="E4618" s="2"/>
      <c r="F4618" s="14"/>
      <c r="G4618" s="2"/>
      <c r="H4618" s="2"/>
    </row>
    <row r="4619">
      <c r="A4619" s="2"/>
      <c r="B4619" s="13"/>
      <c r="C4619" s="2"/>
      <c r="D4619" s="2"/>
      <c r="E4619" s="2"/>
      <c r="F4619" s="14"/>
      <c r="G4619" s="2"/>
      <c r="H4619" s="2"/>
    </row>
    <row r="4620">
      <c r="A4620" s="2"/>
      <c r="B4620" s="13"/>
      <c r="C4620" s="2"/>
      <c r="D4620" s="2"/>
      <c r="E4620" s="2"/>
      <c r="F4620" s="14"/>
      <c r="G4620" s="2"/>
      <c r="H4620" s="2"/>
    </row>
    <row r="4621">
      <c r="A4621" s="2"/>
      <c r="B4621" s="13"/>
      <c r="C4621" s="2"/>
      <c r="D4621" s="2"/>
      <c r="E4621" s="2"/>
      <c r="F4621" s="14"/>
      <c r="G4621" s="2"/>
      <c r="H4621" s="2"/>
    </row>
    <row r="4622">
      <c r="A4622" s="2"/>
      <c r="B4622" s="13"/>
      <c r="C4622" s="2"/>
      <c r="D4622" s="2"/>
      <c r="E4622" s="2"/>
      <c r="F4622" s="14"/>
      <c r="G4622" s="2"/>
      <c r="H4622" s="2"/>
    </row>
    <row r="4623">
      <c r="A4623" s="2"/>
      <c r="B4623" s="13"/>
      <c r="C4623" s="2"/>
      <c r="D4623" s="2"/>
      <c r="E4623" s="2"/>
      <c r="F4623" s="14"/>
      <c r="G4623" s="2"/>
      <c r="H4623" s="2"/>
    </row>
    <row r="4624">
      <c r="A4624" s="2"/>
      <c r="B4624" s="13"/>
      <c r="C4624" s="2"/>
      <c r="D4624" s="2"/>
      <c r="E4624" s="2"/>
      <c r="F4624" s="14"/>
      <c r="G4624" s="2"/>
      <c r="H4624" s="2"/>
    </row>
    <row r="4625">
      <c r="A4625" s="2"/>
      <c r="B4625" s="13"/>
      <c r="C4625" s="2"/>
      <c r="D4625" s="2"/>
      <c r="E4625" s="2"/>
      <c r="F4625" s="14"/>
      <c r="G4625" s="2"/>
      <c r="H4625" s="2"/>
    </row>
    <row r="4626">
      <c r="A4626" s="2"/>
      <c r="B4626" s="13"/>
      <c r="C4626" s="2"/>
      <c r="D4626" s="2"/>
      <c r="E4626" s="2"/>
      <c r="F4626" s="14"/>
      <c r="G4626" s="2"/>
      <c r="H4626" s="2"/>
    </row>
    <row r="4627">
      <c r="A4627" s="2"/>
      <c r="B4627" s="13"/>
      <c r="C4627" s="2"/>
      <c r="D4627" s="2"/>
      <c r="E4627" s="2"/>
      <c r="F4627" s="14"/>
      <c r="G4627" s="2"/>
      <c r="H4627" s="2"/>
    </row>
    <row r="4628">
      <c r="A4628" s="2"/>
      <c r="B4628" s="13"/>
      <c r="C4628" s="2"/>
      <c r="D4628" s="2"/>
      <c r="E4628" s="2"/>
      <c r="F4628" s="14"/>
      <c r="G4628" s="2"/>
      <c r="H4628" s="2"/>
    </row>
    <row r="4629">
      <c r="A4629" s="2"/>
      <c r="B4629" s="13"/>
      <c r="C4629" s="2"/>
      <c r="D4629" s="2"/>
      <c r="E4629" s="2"/>
      <c r="F4629" s="14"/>
      <c r="G4629" s="2"/>
      <c r="H4629" s="2"/>
    </row>
    <row r="4630">
      <c r="A4630" s="2"/>
      <c r="B4630" s="13"/>
      <c r="C4630" s="2"/>
      <c r="D4630" s="2"/>
      <c r="E4630" s="2"/>
      <c r="F4630" s="14"/>
      <c r="G4630" s="2"/>
      <c r="H4630" s="2"/>
    </row>
    <row r="4631">
      <c r="A4631" s="2"/>
      <c r="B4631" s="13"/>
      <c r="C4631" s="2"/>
      <c r="D4631" s="2"/>
      <c r="E4631" s="2"/>
      <c r="F4631" s="14"/>
      <c r="G4631" s="2"/>
      <c r="H4631" s="2"/>
    </row>
    <row r="4632">
      <c r="A4632" s="2"/>
      <c r="B4632" s="13"/>
      <c r="C4632" s="2"/>
      <c r="D4632" s="2"/>
      <c r="E4632" s="2"/>
      <c r="F4632" s="14"/>
      <c r="G4632" s="2"/>
      <c r="H4632" s="2"/>
    </row>
    <row r="4633">
      <c r="A4633" s="2"/>
      <c r="B4633" s="13"/>
      <c r="C4633" s="2"/>
      <c r="D4633" s="2"/>
      <c r="E4633" s="2"/>
      <c r="F4633" s="14"/>
      <c r="G4633" s="2"/>
      <c r="H4633" s="2"/>
    </row>
    <row r="4634">
      <c r="A4634" s="2"/>
      <c r="B4634" s="13"/>
      <c r="C4634" s="2"/>
      <c r="D4634" s="2"/>
      <c r="E4634" s="2"/>
      <c r="F4634" s="14"/>
      <c r="G4634" s="2"/>
      <c r="H4634" s="2"/>
    </row>
    <row r="4635">
      <c r="A4635" s="2"/>
      <c r="B4635" s="13"/>
      <c r="C4635" s="2"/>
      <c r="D4635" s="2"/>
      <c r="E4635" s="2"/>
      <c r="F4635" s="14"/>
      <c r="G4635" s="2"/>
      <c r="H4635" s="2"/>
    </row>
    <row r="4636">
      <c r="A4636" s="2"/>
      <c r="B4636" s="13"/>
      <c r="C4636" s="2"/>
      <c r="D4636" s="2"/>
      <c r="E4636" s="2"/>
      <c r="F4636" s="14"/>
      <c r="G4636" s="2"/>
      <c r="H4636" s="2"/>
    </row>
    <row r="4637">
      <c r="A4637" s="2"/>
      <c r="B4637" s="13"/>
      <c r="C4637" s="2"/>
      <c r="D4637" s="2"/>
      <c r="E4637" s="2"/>
      <c r="F4637" s="14"/>
      <c r="G4637" s="2"/>
      <c r="H4637" s="2"/>
    </row>
    <row r="4638">
      <c r="A4638" s="2"/>
      <c r="B4638" s="13"/>
      <c r="C4638" s="2"/>
      <c r="D4638" s="2"/>
      <c r="E4638" s="2"/>
      <c r="F4638" s="14"/>
      <c r="G4638" s="2"/>
      <c r="H4638" s="2"/>
    </row>
    <row r="4639">
      <c r="A4639" s="2"/>
      <c r="B4639" s="13"/>
      <c r="C4639" s="2"/>
      <c r="D4639" s="2"/>
      <c r="E4639" s="2"/>
      <c r="F4639" s="14"/>
      <c r="G4639" s="2"/>
      <c r="H4639" s="2"/>
    </row>
    <row r="4640">
      <c r="A4640" s="2"/>
      <c r="B4640" s="13"/>
      <c r="C4640" s="2"/>
      <c r="D4640" s="2"/>
      <c r="E4640" s="2"/>
      <c r="F4640" s="14"/>
      <c r="G4640" s="2"/>
      <c r="H4640" s="2"/>
    </row>
    <row r="4641">
      <c r="A4641" s="2"/>
      <c r="B4641" s="13"/>
      <c r="C4641" s="2"/>
      <c r="D4641" s="2"/>
      <c r="E4641" s="2"/>
      <c r="F4641" s="14"/>
      <c r="G4641" s="2"/>
      <c r="H4641" s="2"/>
    </row>
    <row r="4642">
      <c r="A4642" s="2"/>
      <c r="B4642" s="13"/>
      <c r="C4642" s="2"/>
      <c r="D4642" s="2"/>
      <c r="E4642" s="2"/>
      <c r="F4642" s="14"/>
      <c r="G4642" s="2"/>
      <c r="H4642" s="2"/>
    </row>
    <row r="4643">
      <c r="A4643" s="2"/>
      <c r="B4643" s="13"/>
      <c r="C4643" s="2"/>
      <c r="D4643" s="2"/>
      <c r="E4643" s="2"/>
      <c r="F4643" s="14"/>
      <c r="G4643" s="2"/>
      <c r="H4643" s="2"/>
    </row>
    <row r="4644">
      <c r="A4644" s="2"/>
      <c r="B4644" s="13"/>
      <c r="C4644" s="2"/>
      <c r="D4644" s="2"/>
      <c r="E4644" s="2"/>
      <c r="F4644" s="14"/>
      <c r="G4644" s="2"/>
      <c r="H4644" s="2"/>
    </row>
    <row r="4645">
      <c r="A4645" s="2"/>
      <c r="B4645" s="13"/>
      <c r="C4645" s="2"/>
      <c r="D4645" s="2"/>
      <c r="E4645" s="2"/>
      <c r="F4645" s="14"/>
      <c r="G4645" s="2"/>
      <c r="H4645" s="2"/>
    </row>
    <row r="4646">
      <c r="A4646" s="2"/>
      <c r="B4646" s="13"/>
      <c r="C4646" s="2"/>
      <c r="D4646" s="2"/>
      <c r="E4646" s="2"/>
      <c r="F4646" s="14"/>
      <c r="G4646" s="2"/>
      <c r="H4646" s="2"/>
    </row>
    <row r="4647">
      <c r="A4647" s="2"/>
      <c r="B4647" s="13"/>
      <c r="C4647" s="2"/>
      <c r="D4647" s="2"/>
      <c r="E4647" s="2"/>
      <c r="F4647" s="14"/>
      <c r="G4647" s="2"/>
      <c r="H4647" s="2"/>
    </row>
    <row r="4648">
      <c r="A4648" s="2"/>
      <c r="B4648" s="13"/>
      <c r="C4648" s="2"/>
      <c r="D4648" s="2"/>
      <c r="E4648" s="2"/>
      <c r="F4648" s="14"/>
      <c r="G4648" s="2"/>
      <c r="H4648" s="2"/>
    </row>
    <row r="4649">
      <c r="A4649" s="2"/>
      <c r="B4649" s="13"/>
      <c r="C4649" s="2"/>
      <c r="D4649" s="2"/>
      <c r="E4649" s="2"/>
      <c r="F4649" s="14"/>
      <c r="G4649" s="2"/>
      <c r="H4649" s="2"/>
    </row>
    <row r="4650">
      <c r="A4650" s="2"/>
      <c r="B4650" s="13"/>
      <c r="C4650" s="2"/>
      <c r="D4650" s="2"/>
      <c r="E4650" s="2"/>
      <c r="F4650" s="14"/>
      <c r="G4650" s="2"/>
      <c r="H4650" s="2"/>
    </row>
    <row r="4651">
      <c r="A4651" s="2"/>
      <c r="B4651" s="13"/>
      <c r="C4651" s="2"/>
      <c r="D4651" s="2"/>
      <c r="E4651" s="2"/>
      <c r="F4651" s="14"/>
      <c r="G4651" s="2"/>
      <c r="H4651" s="2"/>
    </row>
    <row r="4652">
      <c r="A4652" s="2"/>
      <c r="B4652" s="13"/>
      <c r="C4652" s="2"/>
      <c r="D4652" s="2"/>
      <c r="E4652" s="2"/>
      <c r="F4652" s="14"/>
      <c r="G4652" s="2"/>
      <c r="H4652" s="2"/>
    </row>
    <row r="4653">
      <c r="A4653" s="2"/>
      <c r="B4653" s="13"/>
      <c r="C4653" s="2"/>
      <c r="D4653" s="2"/>
      <c r="E4653" s="2"/>
      <c r="F4653" s="14"/>
      <c r="G4653" s="2"/>
      <c r="H4653" s="2"/>
    </row>
    <row r="4654">
      <c r="A4654" s="2"/>
      <c r="B4654" s="13"/>
      <c r="C4654" s="2"/>
      <c r="D4654" s="2"/>
      <c r="E4654" s="2"/>
      <c r="F4654" s="14"/>
      <c r="G4654" s="2"/>
      <c r="H4654" s="2"/>
    </row>
    <row r="4655">
      <c r="A4655" s="2"/>
      <c r="B4655" s="13"/>
      <c r="C4655" s="2"/>
      <c r="D4655" s="2"/>
      <c r="E4655" s="2"/>
      <c r="F4655" s="14"/>
      <c r="G4655" s="2"/>
      <c r="H4655" s="2"/>
    </row>
    <row r="4656">
      <c r="A4656" s="2"/>
      <c r="B4656" s="13"/>
      <c r="C4656" s="2"/>
      <c r="D4656" s="2"/>
      <c r="E4656" s="2"/>
      <c r="F4656" s="14"/>
      <c r="G4656" s="2"/>
      <c r="H4656" s="2"/>
    </row>
    <row r="4657">
      <c r="A4657" s="2"/>
      <c r="B4657" s="13"/>
      <c r="C4657" s="2"/>
      <c r="D4657" s="2"/>
      <c r="E4657" s="2"/>
      <c r="F4657" s="14"/>
      <c r="G4657" s="2"/>
      <c r="H4657" s="2"/>
    </row>
    <row r="4658">
      <c r="A4658" s="2"/>
      <c r="B4658" s="13"/>
      <c r="C4658" s="2"/>
      <c r="D4658" s="2"/>
      <c r="E4658" s="2"/>
      <c r="F4658" s="14"/>
      <c r="G4658" s="2"/>
      <c r="H4658" s="2"/>
    </row>
    <row r="4659">
      <c r="A4659" s="2"/>
      <c r="B4659" s="13"/>
      <c r="C4659" s="2"/>
      <c r="D4659" s="2"/>
      <c r="E4659" s="2"/>
      <c r="F4659" s="14"/>
      <c r="G4659" s="2"/>
      <c r="H4659" s="2"/>
    </row>
    <row r="4660">
      <c r="A4660" s="2"/>
      <c r="B4660" s="13"/>
      <c r="C4660" s="2"/>
      <c r="D4660" s="2"/>
      <c r="E4660" s="2"/>
      <c r="F4660" s="14"/>
      <c r="G4660" s="2"/>
      <c r="H4660" s="2"/>
    </row>
    <row r="4661">
      <c r="A4661" s="2"/>
      <c r="B4661" s="13"/>
      <c r="C4661" s="2"/>
      <c r="D4661" s="2"/>
      <c r="E4661" s="2"/>
      <c r="F4661" s="14"/>
      <c r="G4661" s="2"/>
      <c r="H4661" s="2"/>
    </row>
    <row r="4662">
      <c r="A4662" s="2"/>
      <c r="B4662" s="13"/>
      <c r="C4662" s="2"/>
      <c r="D4662" s="2"/>
      <c r="E4662" s="2"/>
      <c r="F4662" s="14"/>
      <c r="G4662" s="2"/>
      <c r="H4662" s="2"/>
    </row>
    <row r="4663">
      <c r="A4663" s="2"/>
      <c r="B4663" s="13"/>
      <c r="C4663" s="2"/>
      <c r="D4663" s="2"/>
      <c r="E4663" s="2"/>
      <c r="F4663" s="14"/>
      <c r="G4663" s="2"/>
      <c r="H4663" s="2"/>
    </row>
    <row r="4664">
      <c r="A4664" s="2"/>
      <c r="B4664" s="13"/>
      <c r="C4664" s="2"/>
      <c r="D4664" s="2"/>
      <c r="E4664" s="2"/>
      <c r="F4664" s="14"/>
      <c r="G4664" s="2"/>
      <c r="H4664" s="2"/>
    </row>
    <row r="4665">
      <c r="A4665" s="2"/>
      <c r="B4665" s="13"/>
      <c r="C4665" s="2"/>
      <c r="D4665" s="2"/>
      <c r="E4665" s="2"/>
      <c r="F4665" s="14"/>
      <c r="G4665" s="2"/>
      <c r="H4665" s="2"/>
    </row>
    <row r="4666">
      <c r="A4666" s="2"/>
      <c r="B4666" s="13"/>
      <c r="C4666" s="2"/>
      <c r="D4666" s="2"/>
      <c r="E4666" s="2"/>
      <c r="F4666" s="14"/>
      <c r="G4666" s="2"/>
      <c r="H4666" s="2"/>
    </row>
    <row r="4667">
      <c r="A4667" s="2"/>
      <c r="B4667" s="13"/>
      <c r="C4667" s="2"/>
      <c r="D4667" s="2"/>
      <c r="E4667" s="2"/>
      <c r="F4667" s="14"/>
      <c r="G4667" s="2"/>
      <c r="H4667" s="2"/>
    </row>
    <row r="4668">
      <c r="A4668" s="2"/>
      <c r="B4668" s="13"/>
      <c r="C4668" s="2"/>
      <c r="D4668" s="2"/>
      <c r="E4668" s="2"/>
      <c r="F4668" s="14"/>
      <c r="G4668" s="2"/>
      <c r="H4668" s="2"/>
    </row>
    <row r="4669">
      <c r="A4669" s="2"/>
      <c r="B4669" s="13"/>
      <c r="C4669" s="2"/>
      <c r="D4669" s="2"/>
      <c r="E4669" s="2"/>
      <c r="F4669" s="14"/>
      <c r="G4669" s="2"/>
      <c r="H4669" s="2"/>
    </row>
    <row r="4670">
      <c r="A4670" s="2"/>
      <c r="B4670" s="13"/>
      <c r="C4670" s="2"/>
      <c r="D4670" s="2"/>
      <c r="E4670" s="2"/>
      <c r="F4670" s="14"/>
      <c r="G4670" s="2"/>
      <c r="H4670" s="2"/>
    </row>
    <row r="4671">
      <c r="A4671" s="2"/>
      <c r="B4671" s="13"/>
      <c r="C4671" s="2"/>
      <c r="D4671" s="2"/>
      <c r="E4671" s="2"/>
      <c r="F4671" s="14"/>
      <c r="G4671" s="2"/>
      <c r="H4671" s="2"/>
    </row>
    <row r="4672">
      <c r="A4672" s="2"/>
      <c r="B4672" s="13"/>
      <c r="C4672" s="2"/>
      <c r="D4672" s="2"/>
      <c r="E4672" s="2"/>
      <c r="F4672" s="14"/>
      <c r="G4672" s="2"/>
      <c r="H4672" s="2"/>
    </row>
    <row r="4673">
      <c r="A4673" s="2"/>
      <c r="B4673" s="13"/>
      <c r="C4673" s="2"/>
      <c r="D4673" s="2"/>
      <c r="E4673" s="2"/>
      <c r="F4673" s="14"/>
      <c r="G4673" s="2"/>
      <c r="H4673" s="2"/>
    </row>
    <row r="4674">
      <c r="A4674" s="2"/>
      <c r="B4674" s="13"/>
      <c r="C4674" s="2"/>
      <c r="D4674" s="2"/>
      <c r="E4674" s="2"/>
      <c r="F4674" s="14"/>
      <c r="G4674" s="2"/>
      <c r="H4674" s="2"/>
    </row>
    <row r="4675">
      <c r="A4675" s="2"/>
      <c r="B4675" s="13"/>
      <c r="C4675" s="2"/>
      <c r="D4675" s="2"/>
      <c r="E4675" s="2"/>
      <c r="F4675" s="14"/>
      <c r="G4675" s="2"/>
      <c r="H4675" s="2"/>
    </row>
    <row r="4676">
      <c r="A4676" s="2"/>
      <c r="B4676" s="13"/>
      <c r="C4676" s="2"/>
      <c r="D4676" s="2"/>
      <c r="E4676" s="2"/>
      <c r="F4676" s="14"/>
      <c r="G4676" s="2"/>
      <c r="H4676" s="2"/>
    </row>
    <row r="4677">
      <c r="A4677" s="2"/>
      <c r="B4677" s="13"/>
      <c r="C4677" s="2"/>
      <c r="D4677" s="2"/>
      <c r="E4677" s="2"/>
      <c r="F4677" s="14"/>
      <c r="G4677" s="2"/>
      <c r="H4677" s="2"/>
    </row>
    <row r="4678">
      <c r="A4678" s="2"/>
      <c r="B4678" s="13"/>
      <c r="C4678" s="2"/>
      <c r="D4678" s="2"/>
      <c r="E4678" s="2"/>
      <c r="F4678" s="14"/>
      <c r="G4678" s="2"/>
      <c r="H4678" s="2"/>
    </row>
    <row r="4679">
      <c r="A4679" s="2"/>
      <c r="B4679" s="13"/>
      <c r="C4679" s="2"/>
      <c r="D4679" s="2"/>
      <c r="E4679" s="2"/>
      <c r="F4679" s="14"/>
      <c r="G4679" s="2"/>
      <c r="H4679" s="2"/>
    </row>
    <row r="4680">
      <c r="A4680" s="2"/>
      <c r="B4680" s="13"/>
      <c r="C4680" s="2"/>
      <c r="D4680" s="2"/>
      <c r="E4680" s="2"/>
      <c r="F4680" s="14"/>
      <c r="G4680" s="2"/>
      <c r="H4680" s="2"/>
    </row>
    <row r="4681">
      <c r="A4681" s="2"/>
      <c r="B4681" s="13"/>
      <c r="C4681" s="2"/>
      <c r="D4681" s="2"/>
      <c r="E4681" s="2"/>
      <c r="F4681" s="14"/>
      <c r="G4681" s="2"/>
      <c r="H4681" s="2"/>
    </row>
    <row r="4682">
      <c r="A4682" s="2"/>
      <c r="B4682" s="13"/>
      <c r="C4682" s="2"/>
      <c r="D4682" s="2"/>
      <c r="E4682" s="2"/>
      <c r="F4682" s="14"/>
      <c r="G4682" s="2"/>
      <c r="H4682" s="2"/>
    </row>
    <row r="4683">
      <c r="A4683" s="2"/>
      <c r="B4683" s="13"/>
      <c r="C4683" s="2"/>
      <c r="D4683" s="2"/>
      <c r="E4683" s="2"/>
      <c r="F4683" s="14"/>
      <c r="G4683" s="2"/>
      <c r="H4683" s="2"/>
    </row>
    <row r="4684">
      <c r="A4684" s="2"/>
      <c r="B4684" s="13"/>
      <c r="C4684" s="2"/>
      <c r="D4684" s="2"/>
      <c r="E4684" s="2"/>
      <c r="F4684" s="14"/>
      <c r="G4684" s="2"/>
      <c r="H4684" s="2"/>
    </row>
    <row r="4685">
      <c r="A4685" s="2"/>
      <c r="B4685" s="13"/>
      <c r="C4685" s="2"/>
      <c r="D4685" s="2"/>
      <c r="E4685" s="2"/>
      <c r="F4685" s="14"/>
      <c r="G4685" s="2"/>
      <c r="H4685" s="2"/>
    </row>
    <row r="4686">
      <c r="A4686" s="2"/>
      <c r="B4686" s="13"/>
      <c r="C4686" s="2"/>
      <c r="D4686" s="2"/>
      <c r="E4686" s="2"/>
      <c r="F4686" s="14"/>
      <c r="G4686" s="2"/>
      <c r="H4686" s="2"/>
    </row>
    <row r="4687">
      <c r="A4687" s="2"/>
      <c r="B4687" s="13"/>
      <c r="C4687" s="2"/>
      <c r="D4687" s="2"/>
      <c r="E4687" s="2"/>
      <c r="F4687" s="14"/>
      <c r="G4687" s="2"/>
      <c r="H4687" s="2"/>
    </row>
    <row r="4688">
      <c r="A4688" s="2"/>
      <c r="B4688" s="13"/>
      <c r="C4688" s="2"/>
      <c r="D4688" s="2"/>
      <c r="E4688" s="2"/>
      <c r="F4688" s="14"/>
      <c r="G4688" s="2"/>
      <c r="H4688" s="2"/>
    </row>
    <row r="4689">
      <c r="A4689" s="2"/>
      <c r="B4689" s="13"/>
      <c r="C4689" s="2"/>
      <c r="D4689" s="2"/>
      <c r="E4689" s="2"/>
      <c r="F4689" s="14"/>
      <c r="G4689" s="2"/>
      <c r="H4689" s="2"/>
    </row>
    <row r="4690">
      <c r="A4690" s="2"/>
      <c r="B4690" s="13"/>
      <c r="C4690" s="2"/>
      <c r="D4690" s="2"/>
      <c r="E4690" s="2"/>
      <c r="F4690" s="14"/>
      <c r="G4690" s="2"/>
      <c r="H4690" s="2"/>
    </row>
    <row r="4691">
      <c r="A4691" s="2"/>
      <c r="B4691" s="13"/>
      <c r="C4691" s="2"/>
      <c r="D4691" s="2"/>
      <c r="E4691" s="2"/>
      <c r="F4691" s="14"/>
      <c r="G4691" s="2"/>
      <c r="H4691" s="2"/>
    </row>
    <row r="4692">
      <c r="A4692" s="2"/>
      <c r="B4692" s="13"/>
      <c r="C4692" s="2"/>
      <c r="D4692" s="2"/>
      <c r="E4692" s="2"/>
      <c r="F4692" s="14"/>
      <c r="G4692" s="2"/>
      <c r="H4692" s="2"/>
    </row>
    <row r="4693">
      <c r="A4693" s="2"/>
      <c r="B4693" s="13"/>
      <c r="C4693" s="2"/>
      <c r="D4693" s="2"/>
      <c r="E4693" s="2"/>
      <c r="F4693" s="14"/>
      <c r="G4693" s="2"/>
      <c r="H4693" s="2"/>
    </row>
    <row r="4694">
      <c r="A4694" s="2"/>
      <c r="B4694" s="13"/>
      <c r="C4694" s="2"/>
      <c r="D4694" s="2"/>
      <c r="E4694" s="2"/>
      <c r="F4694" s="14"/>
      <c r="G4694" s="2"/>
      <c r="H4694" s="2"/>
    </row>
    <row r="4695">
      <c r="A4695" s="2"/>
      <c r="B4695" s="13"/>
      <c r="C4695" s="2"/>
      <c r="D4695" s="2"/>
      <c r="E4695" s="2"/>
      <c r="F4695" s="14"/>
      <c r="G4695" s="2"/>
      <c r="H4695" s="2"/>
    </row>
    <row r="4696">
      <c r="A4696" s="2"/>
      <c r="B4696" s="13"/>
      <c r="C4696" s="2"/>
      <c r="D4696" s="2"/>
      <c r="E4696" s="2"/>
      <c r="F4696" s="14"/>
      <c r="G4696" s="2"/>
      <c r="H4696" s="2"/>
    </row>
    <row r="4697">
      <c r="A4697" s="2"/>
      <c r="B4697" s="13"/>
      <c r="C4697" s="2"/>
      <c r="D4697" s="2"/>
      <c r="E4697" s="2"/>
      <c r="F4697" s="14"/>
      <c r="G4697" s="2"/>
      <c r="H4697" s="2"/>
    </row>
    <row r="4698">
      <c r="A4698" s="2"/>
      <c r="B4698" s="13"/>
      <c r="C4698" s="2"/>
      <c r="D4698" s="2"/>
      <c r="E4698" s="2"/>
      <c r="F4698" s="14"/>
      <c r="G4698" s="2"/>
      <c r="H4698" s="2"/>
    </row>
    <row r="4699">
      <c r="A4699" s="2"/>
      <c r="B4699" s="13"/>
      <c r="C4699" s="2"/>
      <c r="D4699" s="2"/>
      <c r="E4699" s="2"/>
      <c r="F4699" s="14"/>
      <c r="G4699" s="2"/>
      <c r="H4699" s="2"/>
    </row>
    <row r="4700">
      <c r="A4700" s="2"/>
      <c r="B4700" s="13"/>
      <c r="C4700" s="2"/>
      <c r="D4700" s="2"/>
      <c r="E4700" s="2"/>
      <c r="F4700" s="14"/>
      <c r="G4700" s="2"/>
      <c r="H4700" s="2"/>
    </row>
    <row r="4701">
      <c r="A4701" s="2"/>
      <c r="B4701" s="13"/>
      <c r="C4701" s="2"/>
      <c r="D4701" s="2"/>
      <c r="E4701" s="2"/>
      <c r="F4701" s="14"/>
      <c r="G4701" s="2"/>
      <c r="H4701" s="2"/>
    </row>
    <row r="4702">
      <c r="A4702" s="2"/>
      <c r="B4702" s="13"/>
      <c r="C4702" s="2"/>
      <c r="D4702" s="2"/>
      <c r="E4702" s="2"/>
      <c r="F4702" s="14"/>
      <c r="G4702" s="2"/>
      <c r="H4702" s="2"/>
    </row>
    <row r="4703">
      <c r="A4703" s="2"/>
      <c r="B4703" s="13"/>
      <c r="C4703" s="2"/>
      <c r="D4703" s="2"/>
      <c r="E4703" s="2"/>
      <c r="F4703" s="14"/>
      <c r="G4703" s="2"/>
      <c r="H4703" s="2"/>
    </row>
    <row r="4704">
      <c r="A4704" s="2"/>
      <c r="B4704" s="13"/>
      <c r="C4704" s="2"/>
      <c r="D4704" s="2"/>
      <c r="E4704" s="2"/>
      <c r="F4704" s="14"/>
      <c r="G4704" s="2"/>
      <c r="H4704" s="2"/>
    </row>
    <row r="4705">
      <c r="A4705" s="2"/>
      <c r="B4705" s="13"/>
      <c r="C4705" s="2"/>
      <c r="D4705" s="2"/>
      <c r="E4705" s="2"/>
      <c r="F4705" s="14"/>
      <c r="G4705" s="2"/>
      <c r="H4705" s="2"/>
    </row>
    <row r="4706">
      <c r="A4706" s="2"/>
      <c r="B4706" s="13"/>
      <c r="C4706" s="2"/>
      <c r="D4706" s="2"/>
      <c r="E4706" s="2"/>
      <c r="F4706" s="14"/>
      <c r="G4706" s="2"/>
      <c r="H4706" s="2"/>
    </row>
    <row r="4707">
      <c r="A4707" s="2"/>
      <c r="B4707" s="13"/>
      <c r="C4707" s="2"/>
      <c r="D4707" s="2"/>
      <c r="E4707" s="2"/>
      <c r="F4707" s="14"/>
      <c r="G4707" s="2"/>
      <c r="H4707" s="2"/>
    </row>
    <row r="4708">
      <c r="A4708" s="2"/>
      <c r="B4708" s="13"/>
      <c r="C4708" s="2"/>
      <c r="D4708" s="2"/>
      <c r="E4708" s="2"/>
      <c r="F4708" s="14"/>
      <c r="G4708" s="2"/>
      <c r="H4708" s="2"/>
    </row>
    <row r="4709">
      <c r="A4709" s="2"/>
      <c r="B4709" s="13"/>
      <c r="C4709" s="2"/>
      <c r="D4709" s="2"/>
      <c r="E4709" s="2"/>
      <c r="F4709" s="14"/>
      <c r="G4709" s="2"/>
      <c r="H4709" s="2"/>
    </row>
    <row r="4710">
      <c r="A4710" s="2"/>
      <c r="B4710" s="13"/>
      <c r="C4710" s="2"/>
      <c r="D4710" s="2"/>
      <c r="E4710" s="2"/>
      <c r="F4710" s="14"/>
      <c r="G4710" s="2"/>
      <c r="H4710" s="2"/>
    </row>
    <row r="4711">
      <c r="A4711" s="2"/>
      <c r="B4711" s="13"/>
      <c r="C4711" s="2"/>
      <c r="D4711" s="2"/>
      <c r="E4711" s="2"/>
      <c r="F4711" s="14"/>
      <c r="G4711" s="2"/>
      <c r="H4711" s="2"/>
    </row>
    <row r="4712">
      <c r="A4712" s="2"/>
      <c r="B4712" s="13"/>
      <c r="C4712" s="2"/>
      <c r="D4712" s="2"/>
      <c r="E4712" s="2"/>
      <c r="F4712" s="14"/>
      <c r="G4712" s="2"/>
      <c r="H4712" s="2"/>
    </row>
    <row r="4713">
      <c r="A4713" s="2"/>
      <c r="B4713" s="13"/>
      <c r="C4713" s="2"/>
      <c r="D4713" s="2"/>
      <c r="E4713" s="2"/>
      <c r="F4713" s="14"/>
      <c r="G4713" s="2"/>
      <c r="H4713" s="2"/>
    </row>
    <row r="4714">
      <c r="A4714" s="2"/>
      <c r="B4714" s="13"/>
      <c r="C4714" s="2"/>
      <c r="D4714" s="2"/>
      <c r="E4714" s="2"/>
      <c r="F4714" s="14"/>
      <c r="G4714" s="2"/>
      <c r="H4714" s="2"/>
    </row>
    <row r="4715">
      <c r="A4715" s="2"/>
      <c r="B4715" s="13"/>
      <c r="C4715" s="2"/>
      <c r="D4715" s="2"/>
      <c r="E4715" s="2"/>
      <c r="F4715" s="14"/>
      <c r="G4715" s="2"/>
      <c r="H4715" s="2"/>
    </row>
    <row r="4716">
      <c r="A4716" s="2"/>
      <c r="B4716" s="13"/>
      <c r="C4716" s="2"/>
      <c r="D4716" s="2"/>
      <c r="E4716" s="2"/>
      <c r="F4716" s="14"/>
      <c r="G4716" s="2"/>
      <c r="H4716" s="2"/>
    </row>
    <row r="4717">
      <c r="A4717" s="2"/>
      <c r="B4717" s="13"/>
      <c r="C4717" s="2"/>
      <c r="D4717" s="2"/>
      <c r="E4717" s="2"/>
      <c r="F4717" s="14"/>
      <c r="G4717" s="2"/>
      <c r="H4717" s="2"/>
    </row>
    <row r="4718">
      <c r="A4718" s="2"/>
      <c r="B4718" s="13"/>
      <c r="C4718" s="2"/>
      <c r="D4718" s="2"/>
      <c r="E4718" s="2"/>
      <c r="F4718" s="14"/>
      <c r="G4718" s="2"/>
      <c r="H4718" s="2"/>
    </row>
    <row r="4719">
      <c r="A4719" s="2"/>
      <c r="B4719" s="13"/>
      <c r="C4719" s="2"/>
      <c r="D4719" s="2"/>
      <c r="E4719" s="2"/>
      <c r="F4719" s="14"/>
      <c r="G4719" s="2"/>
      <c r="H4719" s="2"/>
    </row>
    <row r="4720">
      <c r="A4720" s="2"/>
      <c r="B4720" s="13"/>
      <c r="C4720" s="2"/>
      <c r="D4720" s="2"/>
      <c r="E4720" s="2"/>
      <c r="F4720" s="14"/>
      <c r="G4720" s="2"/>
      <c r="H4720" s="2"/>
    </row>
    <row r="4721">
      <c r="A4721" s="2"/>
      <c r="B4721" s="13"/>
      <c r="C4721" s="2"/>
      <c r="D4721" s="2"/>
      <c r="E4721" s="2"/>
      <c r="F4721" s="14"/>
      <c r="G4721" s="2"/>
      <c r="H4721" s="2"/>
    </row>
    <row r="4722">
      <c r="A4722" s="2"/>
      <c r="B4722" s="13"/>
      <c r="C4722" s="2"/>
      <c r="D4722" s="2"/>
      <c r="E4722" s="2"/>
      <c r="F4722" s="14"/>
      <c r="G4722" s="2"/>
      <c r="H4722" s="2"/>
    </row>
    <row r="4723">
      <c r="A4723" s="2"/>
      <c r="B4723" s="13"/>
      <c r="C4723" s="2"/>
      <c r="D4723" s="2"/>
      <c r="E4723" s="2"/>
      <c r="F4723" s="14"/>
      <c r="G4723" s="2"/>
      <c r="H4723" s="2"/>
    </row>
    <row r="4724">
      <c r="A4724" s="2"/>
      <c r="B4724" s="13"/>
      <c r="C4724" s="2"/>
      <c r="D4724" s="2"/>
      <c r="E4724" s="2"/>
      <c r="F4724" s="14"/>
      <c r="G4724" s="2"/>
      <c r="H4724" s="2"/>
    </row>
    <row r="4725">
      <c r="A4725" s="2"/>
      <c r="B4725" s="13"/>
      <c r="C4725" s="2"/>
      <c r="D4725" s="2"/>
      <c r="E4725" s="2"/>
      <c r="F4725" s="14"/>
      <c r="G4725" s="2"/>
      <c r="H4725" s="2"/>
    </row>
    <row r="4726">
      <c r="A4726" s="2"/>
      <c r="B4726" s="13"/>
      <c r="C4726" s="2"/>
      <c r="D4726" s="2"/>
      <c r="E4726" s="2"/>
      <c r="F4726" s="14"/>
      <c r="G4726" s="2"/>
      <c r="H4726" s="2"/>
    </row>
    <row r="4727">
      <c r="A4727" s="2"/>
      <c r="B4727" s="13"/>
      <c r="C4727" s="2"/>
      <c r="D4727" s="2"/>
      <c r="E4727" s="2"/>
      <c r="F4727" s="14"/>
      <c r="G4727" s="2"/>
      <c r="H4727" s="2"/>
    </row>
    <row r="4728">
      <c r="A4728" s="2"/>
      <c r="B4728" s="13"/>
      <c r="C4728" s="2"/>
      <c r="D4728" s="2"/>
      <c r="E4728" s="2"/>
      <c r="F4728" s="14"/>
      <c r="G4728" s="2"/>
      <c r="H4728" s="2"/>
    </row>
    <row r="4729">
      <c r="A4729" s="2"/>
      <c r="B4729" s="13"/>
      <c r="C4729" s="2"/>
      <c r="D4729" s="2"/>
      <c r="E4729" s="2"/>
      <c r="F4729" s="14"/>
      <c r="G4729" s="2"/>
      <c r="H4729" s="2"/>
    </row>
    <row r="4730">
      <c r="A4730" s="2"/>
      <c r="B4730" s="13"/>
      <c r="C4730" s="2"/>
      <c r="D4730" s="2"/>
      <c r="E4730" s="2"/>
      <c r="F4730" s="14"/>
      <c r="G4730" s="2"/>
      <c r="H4730" s="2"/>
    </row>
    <row r="4731">
      <c r="A4731" s="2"/>
      <c r="B4731" s="13"/>
      <c r="C4731" s="2"/>
      <c r="D4731" s="2"/>
      <c r="E4731" s="2"/>
      <c r="F4731" s="14"/>
      <c r="G4731" s="2"/>
      <c r="H4731" s="2"/>
    </row>
    <row r="4732">
      <c r="A4732" s="2"/>
      <c r="B4732" s="13"/>
      <c r="C4732" s="2"/>
      <c r="D4732" s="2"/>
      <c r="E4732" s="2"/>
      <c r="F4732" s="14"/>
      <c r="G4732" s="2"/>
      <c r="H4732" s="2"/>
    </row>
    <row r="4733">
      <c r="A4733" s="2"/>
      <c r="B4733" s="13"/>
      <c r="C4733" s="2"/>
      <c r="D4733" s="2"/>
      <c r="E4733" s="2"/>
      <c r="F4733" s="14"/>
      <c r="G4733" s="2"/>
      <c r="H4733" s="2"/>
    </row>
    <row r="4734">
      <c r="A4734" s="2"/>
      <c r="B4734" s="13"/>
      <c r="C4734" s="2"/>
      <c r="D4734" s="2"/>
      <c r="E4734" s="2"/>
      <c r="F4734" s="14"/>
      <c r="G4734" s="2"/>
      <c r="H4734" s="2"/>
    </row>
    <row r="4735">
      <c r="A4735" s="2"/>
      <c r="B4735" s="13"/>
      <c r="C4735" s="2"/>
      <c r="D4735" s="2"/>
      <c r="E4735" s="2"/>
      <c r="F4735" s="14"/>
      <c r="G4735" s="2"/>
      <c r="H4735" s="2"/>
    </row>
    <row r="4736">
      <c r="A4736" s="2"/>
      <c r="B4736" s="13"/>
      <c r="C4736" s="2"/>
      <c r="D4736" s="2"/>
      <c r="E4736" s="2"/>
      <c r="F4736" s="14"/>
      <c r="G4736" s="2"/>
      <c r="H4736" s="2"/>
    </row>
    <row r="4737">
      <c r="A4737" s="2"/>
      <c r="B4737" s="13"/>
      <c r="C4737" s="2"/>
      <c r="D4737" s="2"/>
      <c r="E4737" s="2"/>
      <c r="F4737" s="14"/>
      <c r="G4737" s="2"/>
      <c r="H4737" s="2"/>
    </row>
    <row r="4738">
      <c r="A4738" s="2"/>
      <c r="B4738" s="13"/>
      <c r="C4738" s="2"/>
      <c r="D4738" s="2"/>
      <c r="E4738" s="2"/>
      <c r="F4738" s="14"/>
      <c r="G4738" s="2"/>
      <c r="H4738" s="2"/>
    </row>
    <row r="4739">
      <c r="A4739" s="2"/>
      <c r="B4739" s="13"/>
      <c r="C4739" s="2"/>
      <c r="D4739" s="2"/>
      <c r="E4739" s="2"/>
      <c r="F4739" s="14"/>
      <c r="G4739" s="2"/>
      <c r="H4739" s="2"/>
    </row>
    <row r="4740">
      <c r="A4740" s="2"/>
      <c r="B4740" s="13"/>
      <c r="C4740" s="2"/>
      <c r="D4740" s="2"/>
      <c r="E4740" s="2"/>
      <c r="F4740" s="14"/>
      <c r="G4740" s="2"/>
      <c r="H4740" s="2"/>
    </row>
    <row r="4741">
      <c r="A4741" s="2"/>
      <c r="B4741" s="13"/>
      <c r="C4741" s="2"/>
      <c r="D4741" s="2"/>
      <c r="E4741" s="2"/>
      <c r="F4741" s="14"/>
      <c r="G4741" s="2"/>
      <c r="H4741" s="2"/>
    </row>
    <row r="4742">
      <c r="A4742" s="2"/>
      <c r="B4742" s="13"/>
      <c r="C4742" s="2"/>
      <c r="D4742" s="2"/>
      <c r="E4742" s="2"/>
      <c r="F4742" s="14"/>
      <c r="G4742" s="2"/>
      <c r="H4742" s="2"/>
    </row>
    <row r="4743">
      <c r="A4743" s="2"/>
      <c r="B4743" s="13"/>
      <c r="C4743" s="2"/>
      <c r="D4743" s="2"/>
      <c r="E4743" s="2"/>
      <c r="F4743" s="14"/>
      <c r="G4743" s="2"/>
      <c r="H4743" s="2"/>
    </row>
    <row r="4744">
      <c r="A4744" s="2"/>
      <c r="B4744" s="13"/>
      <c r="C4744" s="2"/>
      <c r="D4744" s="2"/>
      <c r="E4744" s="2"/>
      <c r="F4744" s="14"/>
      <c r="G4744" s="2"/>
      <c r="H4744" s="2"/>
    </row>
    <row r="4745">
      <c r="A4745" s="2"/>
      <c r="B4745" s="13"/>
      <c r="C4745" s="2"/>
      <c r="D4745" s="2"/>
      <c r="E4745" s="2"/>
      <c r="F4745" s="14"/>
      <c r="G4745" s="2"/>
      <c r="H4745" s="2"/>
    </row>
    <row r="4746">
      <c r="A4746" s="2"/>
      <c r="B4746" s="13"/>
      <c r="C4746" s="2"/>
      <c r="D4746" s="2"/>
      <c r="E4746" s="2"/>
      <c r="F4746" s="14"/>
      <c r="G4746" s="2"/>
      <c r="H4746" s="2"/>
    </row>
    <row r="4747">
      <c r="A4747" s="2"/>
      <c r="B4747" s="13"/>
      <c r="C4747" s="2"/>
      <c r="D4747" s="2"/>
      <c r="E4747" s="2"/>
      <c r="F4747" s="14"/>
      <c r="G4747" s="2"/>
      <c r="H4747" s="2"/>
    </row>
    <row r="4748">
      <c r="A4748" s="2"/>
      <c r="B4748" s="13"/>
      <c r="C4748" s="2"/>
      <c r="D4748" s="2"/>
      <c r="E4748" s="2"/>
      <c r="F4748" s="14"/>
      <c r="G4748" s="2"/>
      <c r="H4748" s="2"/>
    </row>
    <row r="4749">
      <c r="A4749" s="2"/>
      <c r="B4749" s="13"/>
      <c r="C4749" s="2"/>
      <c r="D4749" s="2"/>
      <c r="E4749" s="2"/>
      <c r="F4749" s="14"/>
      <c r="G4749" s="2"/>
      <c r="H4749" s="2"/>
    </row>
    <row r="4750">
      <c r="A4750" s="2"/>
      <c r="B4750" s="13"/>
      <c r="C4750" s="2"/>
      <c r="D4750" s="2"/>
      <c r="E4750" s="2"/>
      <c r="F4750" s="14"/>
      <c r="G4750" s="2"/>
      <c r="H4750" s="2"/>
    </row>
    <row r="4751">
      <c r="A4751" s="2"/>
      <c r="B4751" s="13"/>
      <c r="C4751" s="2"/>
      <c r="D4751" s="2"/>
      <c r="E4751" s="2"/>
      <c r="F4751" s="14"/>
      <c r="G4751" s="2"/>
      <c r="H4751" s="2"/>
    </row>
    <row r="4752">
      <c r="A4752" s="2"/>
      <c r="B4752" s="13"/>
      <c r="C4752" s="2"/>
      <c r="D4752" s="2"/>
      <c r="E4752" s="2"/>
      <c r="F4752" s="14"/>
      <c r="G4752" s="2"/>
      <c r="H4752" s="2"/>
    </row>
    <row r="4753">
      <c r="A4753" s="2"/>
      <c r="B4753" s="13"/>
      <c r="C4753" s="2"/>
      <c r="D4753" s="2"/>
      <c r="E4753" s="2"/>
      <c r="F4753" s="14"/>
      <c r="G4753" s="2"/>
      <c r="H4753" s="2"/>
    </row>
    <row r="4754">
      <c r="A4754" s="2"/>
      <c r="B4754" s="13"/>
      <c r="C4754" s="2"/>
      <c r="D4754" s="2"/>
      <c r="E4754" s="2"/>
      <c r="F4754" s="14"/>
      <c r="G4754" s="2"/>
      <c r="H4754" s="2"/>
    </row>
    <row r="4755">
      <c r="A4755" s="2"/>
      <c r="B4755" s="13"/>
      <c r="C4755" s="2"/>
      <c r="D4755" s="2"/>
      <c r="E4755" s="2"/>
      <c r="F4755" s="14"/>
      <c r="G4755" s="2"/>
      <c r="H4755" s="2"/>
    </row>
    <row r="4756">
      <c r="A4756" s="2"/>
      <c r="B4756" s="13"/>
      <c r="C4756" s="2"/>
      <c r="D4756" s="2"/>
      <c r="E4756" s="2"/>
      <c r="F4756" s="14"/>
      <c r="G4756" s="2"/>
      <c r="H4756" s="2"/>
    </row>
    <row r="4757">
      <c r="A4757" s="2"/>
      <c r="B4757" s="13"/>
      <c r="C4757" s="2"/>
      <c r="D4757" s="2"/>
      <c r="E4757" s="2"/>
      <c r="F4757" s="14"/>
      <c r="G4757" s="2"/>
      <c r="H4757" s="2"/>
    </row>
    <row r="4758">
      <c r="A4758" s="2"/>
      <c r="B4758" s="13"/>
      <c r="C4758" s="2"/>
      <c r="D4758" s="2"/>
      <c r="E4758" s="2"/>
      <c r="F4758" s="14"/>
      <c r="G4758" s="2"/>
      <c r="H4758" s="2"/>
    </row>
    <row r="4759">
      <c r="A4759" s="2"/>
      <c r="B4759" s="13"/>
      <c r="C4759" s="2"/>
      <c r="D4759" s="2"/>
      <c r="E4759" s="2"/>
      <c r="F4759" s="14"/>
      <c r="G4759" s="2"/>
      <c r="H4759" s="2"/>
    </row>
    <row r="4760">
      <c r="A4760" s="2"/>
      <c r="B4760" s="13"/>
      <c r="C4760" s="2"/>
      <c r="D4760" s="2"/>
      <c r="E4760" s="2"/>
      <c r="F4760" s="14"/>
      <c r="G4760" s="2"/>
      <c r="H4760" s="2"/>
    </row>
    <row r="4761">
      <c r="A4761" s="2"/>
      <c r="B4761" s="13"/>
      <c r="C4761" s="2"/>
      <c r="D4761" s="2"/>
      <c r="E4761" s="2"/>
      <c r="F4761" s="14"/>
      <c r="G4761" s="2"/>
      <c r="H4761" s="2"/>
    </row>
    <row r="4762">
      <c r="A4762" s="2"/>
      <c r="B4762" s="13"/>
      <c r="C4762" s="2"/>
      <c r="D4762" s="2"/>
      <c r="E4762" s="2"/>
      <c r="F4762" s="14"/>
      <c r="G4762" s="2"/>
      <c r="H4762" s="2"/>
    </row>
    <row r="4763">
      <c r="A4763" s="2"/>
      <c r="B4763" s="13"/>
      <c r="C4763" s="2"/>
      <c r="D4763" s="2"/>
      <c r="E4763" s="2"/>
      <c r="F4763" s="14"/>
      <c r="G4763" s="2"/>
      <c r="H4763" s="2"/>
    </row>
    <row r="4764">
      <c r="A4764" s="2"/>
      <c r="B4764" s="13"/>
      <c r="C4764" s="2"/>
      <c r="D4764" s="2"/>
      <c r="E4764" s="2"/>
      <c r="F4764" s="14"/>
      <c r="G4764" s="2"/>
      <c r="H4764" s="2"/>
    </row>
    <row r="4765">
      <c r="A4765" s="2"/>
      <c r="B4765" s="13"/>
      <c r="C4765" s="2"/>
      <c r="D4765" s="2"/>
      <c r="E4765" s="2"/>
      <c r="F4765" s="14"/>
      <c r="G4765" s="2"/>
      <c r="H4765" s="2"/>
    </row>
    <row r="4766">
      <c r="A4766" s="2"/>
      <c r="B4766" s="13"/>
      <c r="C4766" s="2"/>
      <c r="D4766" s="2"/>
      <c r="E4766" s="2"/>
      <c r="F4766" s="14"/>
      <c r="G4766" s="2"/>
      <c r="H4766" s="2"/>
    </row>
    <row r="4767">
      <c r="A4767" s="2"/>
      <c r="B4767" s="13"/>
      <c r="C4767" s="2"/>
      <c r="D4767" s="2"/>
      <c r="E4767" s="2"/>
      <c r="F4767" s="14"/>
      <c r="G4767" s="2"/>
      <c r="H4767" s="2"/>
    </row>
    <row r="4768">
      <c r="A4768" s="2"/>
      <c r="B4768" s="13"/>
      <c r="C4768" s="2"/>
      <c r="D4768" s="2"/>
      <c r="E4768" s="2"/>
      <c r="F4768" s="14"/>
      <c r="G4768" s="2"/>
      <c r="H4768" s="2"/>
    </row>
    <row r="4769">
      <c r="A4769" s="2"/>
      <c r="B4769" s="13"/>
      <c r="C4769" s="2"/>
      <c r="D4769" s="2"/>
      <c r="E4769" s="2"/>
      <c r="F4769" s="14"/>
      <c r="G4769" s="2"/>
      <c r="H4769" s="2"/>
    </row>
    <row r="4770">
      <c r="A4770" s="2"/>
      <c r="B4770" s="13"/>
      <c r="C4770" s="2"/>
      <c r="D4770" s="2"/>
      <c r="E4770" s="2"/>
      <c r="F4770" s="14"/>
      <c r="G4770" s="2"/>
      <c r="H4770" s="2"/>
    </row>
    <row r="4771">
      <c r="A4771" s="2"/>
      <c r="B4771" s="13"/>
      <c r="C4771" s="2"/>
      <c r="D4771" s="2"/>
      <c r="E4771" s="2"/>
      <c r="F4771" s="14"/>
      <c r="G4771" s="2"/>
      <c r="H4771" s="2"/>
    </row>
    <row r="4772">
      <c r="A4772" s="2"/>
      <c r="B4772" s="13"/>
      <c r="C4772" s="2"/>
      <c r="D4772" s="2"/>
      <c r="E4772" s="2"/>
      <c r="F4772" s="14"/>
      <c r="G4772" s="2"/>
      <c r="H4772" s="2"/>
    </row>
    <row r="4773">
      <c r="A4773" s="2"/>
      <c r="B4773" s="13"/>
      <c r="C4773" s="2"/>
      <c r="D4773" s="2"/>
      <c r="E4773" s="2"/>
      <c r="F4773" s="14"/>
      <c r="G4773" s="2"/>
      <c r="H4773" s="2"/>
    </row>
    <row r="4774">
      <c r="A4774" s="2"/>
      <c r="B4774" s="13"/>
      <c r="C4774" s="2"/>
      <c r="D4774" s="2"/>
      <c r="E4774" s="2"/>
      <c r="F4774" s="14"/>
      <c r="G4774" s="2"/>
      <c r="H4774" s="2"/>
    </row>
    <row r="4775">
      <c r="A4775" s="2"/>
      <c r="B4775" s="13"/>
      <c r="C4775" s="2"/>
      <c r="D4775" s="2"/>
      <c r="E4775" s="2"/>
      <c r="F4775" s="14"/>
      <c r="G4775" s="2"/>
      <c r="H4775" s="2"/>
    </row>
    <row r="4776">
      <c r="A4776" s="2"/>
      <c r="B4776" s="13"/>
      <c r="C4776" s="2"/>
      <c r="D4776" s="2"/>
      <c r="E4776" s="2"/>
      <c r="F4776" s="14"/>
      <c r="G4776" s="2"/>
      <c r="H4776" s="2"/>
    </row>
    <row r="4777">
      <c r="A4777" s="2"/>
      <c r="B4777" s="13"/>
      <c r="C4777" s="2"/>
      <c r="D4777" s="2"/>
      <c r="E4777" s="2"/>
      <c r="F4777" s="14"/>
      <c r="G4777" s="2"/>
      <c r="H4777" s="2"/>
    </row>
    <row r="4778">
      <c r="A4778" s="2"/>
      <c r="B4778" s="13"/>
      <c r="C4778" s="2"/>
      <c r="D4778" s="2"/>
      <c r="E4778" s="2"/>
      <c r="F4778" s="14"/>
      <c r="G4778" s="2"/>
      <c r="H4778" s="2"/>
    </row>
    <row r="4779">
      <c r="A4779" s="2"/>
      <c r="B4779" s="13"/>
      <c r="C4779" s="2"/>
      <c r="D4779" s="2"/>
      <c r="E4779" s="2"/>
      <c r="F4779" s="14"/>
      <c r="G4779" s="2"/>
      <c r="H4779" s="2"/>
    </row>
    <row r="4780">
      <c r="A4780" s="2"/>
      <c r="B4780" s="13"/>
      <c r="C4780" s="2"/>
      <c r="D4780" s="2"/>
      <c r="E4780" s="2"/>
      <c r="F4780" s="14"/>
      <c r="G4780" s="2"/>
      <c r="H4780" s="2"/>
    </row>
    <row r="4781">
      <c r="A4781" s="2"/>
      <c r="B4781" s="13"/>
      <c r="C4781" s="2"/>
      <c r="D4781" s="2"/>
      <c r="E4781" s="2"/>
      <c r="F4781" s="14"/>
      <c r="G4781" s="2"/>
      <c r="H4781" s="2"/>
    </row>
    <row r="4782">
      <c r="A4782" s="2"/>
      <c r="B4782" s="13"/>
      <c r="C4782" s="2"/>
      <c r="D4782" s="2"/>
      <c r="E4782" s="2"/>
      <c r="F4782" s="14"/>
      <c r="G4782" s="2"/>
      <c r="H4782" s="2"/>
    </row>
    <row r="4783">
      <c r="A4783" s="2"/>
      <c r="B4783" s="13"/>
      <c r="C4783" s="2"/>
      <c r="D4783" s="2"/>
      <c r="E4783" s="2"/>
      <c r="F4783" s="14"/>
      <c r="G4783" s="2"/>
      <c r="H4783" s="2"/>
    </row>
    <row r="4784">
      <c r="A4784" s="2"/>
      <c r="B4784" s="13"/>
      <c r="C4784" s="2"/>
      <c r="D4784" s="2"/>
      <c r="E4784" s="2"/>
      <c r="F4784" s="14"/>
      <c r="G4784" s="2"/>
      <c r="H4784" s="2"/>
    </row>
    <row r="4785">
      <c r="A4785" s="2"/>
      <c r="B4785" s="13"/>
      <c r="C4785" s="2"/>
      <c r="D4785" s="2"/>
      <c r="E4785" s="2"/>
      <c r="F4785" s="14"/>
      <c r="G4785" s="2"/>
      <c r="H4785" s="2"/>
    </row>
    <row r="4786">
      <c r="A4786" s="2"/>
      <c r="B4786" s="13"/>
      <c r="C4786" s="2"/>
      <c r="D4786" s="2"/>
      <c r="E4786" s="2"/>
      <c r="F4786" s="14"/>
      <c r="G4786" s="2"/>
      <c r="H4786" s="2"/>
    </row>
    <row r="4787">
      <c r="A4787" s="2"/>
      <c r="B4787" s="13"/>
      <c r="C4787" s="2"/>
      <c r="D4787" s="2"/>
      <c r="E4787" s="2"/>
      <c r="F4787" s="14"/>
      <c r="G4787" s="2"/>
      <c r="H4787" s="2"/>
    </row>
    <row r="4788">
      <c r="A4788" s="2"/>
      <c r="B4788" s="13"/>
      <c r="C4788" s="2"/>
      <c r="D4788" s="2"/>
      <c r="E4788" s="2"/>
      <c r="F4788" s="14"/>
      <c r="G4788" s="2"/>
      <c r="H4788" s="2"/>
    </row>
    <row r="4789">
      <c r="A4789" s="2"/>
      <c r="B4789" s="13"/>
      <c r="C4789" s="2"/>
      <c r="D4789" s="2"/>
      <c r="E4789" s="2"/>
      <c r="F4789" s="14"/>
      <c r="G4789" s="2"/>
      <c r="H4789" s="2"/>
    </row>
    <row r="4790">
      <c r="A4790" s="2"/>
      <c r="B4790" s="13"/>
      <c r="C4790" s="2"/>
      <c r="D4790" s="2"/>
      <c r="E4790" s="2"/>
      <c r="F4790" s="14"/>
      <c r="G4790" s="2"/>
      <c r="H4790" s="2"/>
    </row>
    <row r="4791">
      <c r="A4791" s="2"/>
      <c r="B4791" s="13"/>
      <c r="C4791" s="2"/>
      <c r="D4791" s="2"/>
      <c r="E4791" s="2"/>
      <c r="F4791" s="14"/>
      <c r="G4791" s="2"/>
      <c r="H4791" s="2"/>
    </row>
    <row r="4792">
      <c r="A4792" s="2"/>
      <c r="B4792" s="13"/>
      <c r="C4792" s="2"/>
      <c r="D4792" s="2"/>
      <c r="E4792" s="2"/>
      <c r="F4792" s="14"/>
      <c r="G4792" s="2"/>
      <c r="H4792" s="2"/>
    </row>
    <row r="4793">
      <c r="A4793" s="2"/>
      <c r="B4793" s="13"/>
      <c r="C4793" s="2"/>
      <c r="D4793" s="2"/>
      <c r="E4793" s="2"/>
      <c r="F4793" s="14"/>
      <c r="G4793" s="2"/>
      <c r="H4793" s="2"/>
    </row>
    <row r="4794">
      <c r="A4794" s="2"/>
      <c r="B4794" s="13"/>
      <c r="C4794" s="2"/>
      <c r="D4794" s="2"/>
      <c r="E4794" s="2"/>
      <c r="F4794" s="14"/>
      <c r="G4794" s="2"/>
      <c r="H4794" s="2"/>
    </row>
    <row r="4795">
      <c r="A4795" s="2"/>
      <c r="B4795" s="13"/>
      <c r="C4795" s="2"/>
      <c r="D4795" s="2"/>
      <c r="E4795" s="2"/>
      <c r="F4795" s="14"/>
      <c r="G4795" s="2"/>
      <c r="H4795" s="2"/>
    </row>
    <row r="4796">
      <c r="A4796" s="2"/>
      <c r="B4796" s="13"/>
      <c r="C4796" s="2"/>
      <c r="D4796" s="2"/>
      <c r="E4796" s="2"/>
      <c r="F4796" s="14"/>
      <c r="G4796" s="2"/>
      <c r="H4796" s="2"/>
    </row>
    <row r="4797">
      <c r="A4797" s="2"/>
      <c r="B4797" s="13"/>
      <c r="C4797" s="2"/>
      <c r="D4797" s="2"/>
      <c r="E4797" s="2"/>
      <c r="F4797" s="14"/>
      <c r="G4797" s="2"/>
      <c r="H4797" s="2"/>
    </row>
    <row r="4798">
      <c r="A4798" s="2"/>
      <c r="B4798" s="13"/>
      <c r="C4798" s="2"/>
      <c r="D4798" s="2"/>
      <c r="E4798" s="2"/>
      <c r="F4798" s="14"/>
      <c r="G4798" s="2"/>
      <c r="H4798" s="2"/>
    </row>
    <row r="4799">
      <c r="A4799" s="2"/>
      <c r="B4799" s="13"/>
      <c r="C4799" s="2"/>
      <c r="D4799" s="2"/>
      <c r="E4799" s="2"/>
      <c r="F4799" s="14"/>
      <c r="G4799" s="2"/>
      <c r="H4799" s="2"/>
    </row>
    <row r="4800">
      <c r="A4800" s="2"/>
      <c r="B4800" s="13"/>
      <c r="C4800" s="2"/>
      <c r="D4800" s="2"/>
      <c r="E4800" s="2"/>
      <c r="F4800" s="14"/>
      <c r="G4800" s="2"/>
      <c r="H4800" s="2"/>
    </row>
    <row r="4801">
      <c r="A4801" s="2"/>
      <c r="B4801" s="13"/>
      <c r="C4801" s="2"/>
      <c r="D4801" s="2"/>
      <c r="E4801" s="2"/>
      <c r="F4801" s="14"/>
      <c r="G4801" s="2"/>
      <c r="H4801" s="2"/>
    </row>
    <row r="4802">
      <c r="A4802" s="2"/>
      <c r="B4802" s="13"/>
      <c r="C4802" s="2"/>
      <c r="D4802" s="2"/>
      <c r="E4802" s="2"/>
      <c r="F4802" s="14"/>
      <c r="G4802" s="2"/>
      <c r="H4802" s="2"/>
    </row>
    <row r="4803">
      <c r="A4803" s="2"/>
      <c r="B4803" s="13"/>
      <c r="C4803" s="2"/>
      <c r="D4803" s="2"/>
      <c r="E4803" s="2"/>
      <c r="F4803" s="14"/>
      <c r="G4803" s="2"/>
      <c r="H4803" s="2"/>
    </row>
    <row r="4804">
      <c r="A4804" s="2"/>
      <c r="B4804" s="13"/>
      <c r="C4804" s="2"/>
      <c r="D4804" s="2"/>
      <c r="E4804" s="2"/>
      <c r="F4804" s="14"/>
      <c r="G4804" s="2"/>
      <c r="H4804" s="2"/>
    </row>
    <row r="4805">
      <c r="A4805" s="2"/>
      <c r="B4805" s="13"/>
      <c r="C4805" s="2"/>
      <c r="D4805" s="2"/>
      <c r="E4805" s="2"/>
      <c r="F4805" s="14"/>
      <c r="G4805" s="2"/>
      <c r="H4805" s="2"/>
    </row>
    <row r="4806">
      <c r="A4806" s="2"/>
      <c r="B4806" s="13"/>
      <c r="C4806" s="2"/>
      <c r="D4806" s="2"/>
      <c r="E4806" s="2"/>
      <c r="F4806" s="14"/>
      <c r="G4806" s="2"/>
      <c r="H4806" s="2"/>
    </row>
    <row r="4807">
      <c r="A4807" s="2"/>
      <c r="B4807" s="13"/>
      <c r="C4807" s="2"/>
      <c r="D4807" s="2"/>
      <c r="E4807" s="2"/>
      <c r="F4807" s="14"/>
      <c r="G4807" s="2"/>
      <c r="H4807" s="2"/>
    </row>
    <row r="4808">
      <c r="A4808" s="2"/>
      <c r="B4808" s="13"/>
      <c r="C4808" s="2"/>
      <c r="D4808" s="2"/>
      <c r="E4808" s="2"/>
      <c r="F4808" s="14"/>
      <c r="G4808" s="2"/>
      <c r="H4808" s="2"/>
    </row>
    <row r="4809">
      <c r="A4809" s="2"/>
      <c r="B4809" s="13"/>
      <c r="C4809" s="2"/>
      <c r="D4809" s="2"/>
      <c r="E4809" s="2"/>
      <c r="F4809" s="14"/>
      <c r="G4809" s="2"/>
      <c r="H4809" s="2"/>
    </row>
    <row r="4810">
      <c r="A4810" s="2"/>
      <c r="B4810" s="13"/>
      <c r="C4810" s="2"/>
      <c r="D4810" s="2"/>
      <c r="E4810" s="2"/>
      <c r="F4810" s="14"/>
      <c r="G4810" s="2"/>
      <c r="H4810" s="2"/>
    </row>
    <row r="4811">
      <c r="A4811" s="2"/>
      <c r="B4811" s="13"/>
      <c r="C4811" s="2"/>
      <c r="D4811" s="2"/>
      <c r="E4811" s="2"/>
      <c r="F4811" s="14"/>
      <c r="G4811" s="2"/>
      <c r="H4811" s="2"/>
    </row>
    <row r="4812">
      <c r="A4812" s="2"/>
      <c r="B4812" s="13"/>
      <c r="C4812" s="2"/>
      <c r="D4812" s="2"/>
      <c r="E4812" s="2"/>
      <c r="F4812" s="14"/>
      <c r="G4812" s="2"/>
      <c r="H4812" s="2"/>
    </row>
    <row r="4813">
      <c r="A4813" s="2"/>
      <c r="B4813" s="13"/>
      <c r="C4813" s="2"/>
      <c r="D4813" s="2"/>
      <c r="E4813" s="2"/>
      <c r="F4813" s="14"/>
      <c r="G4813" s="2"/>
      <c r="H4813" s="2"/>
    </row>
    <row r="4814">
      <c r="A4814" s="2"/>
      <c r="B4814" s="13"/>
      <c r="C4814" s="2"/>
      <c r="D4814" s="2"/>
      <c r="E4814" s="2"/>
      <c r="F4814" s="14"/>
      <c r="G4814" s="2"/>
      <c r="H4814" s="2"/>
    </row>
    <row r="4815">
      <c r="A4815" s="2"/>
      <c r="B4815" s="13"/>
      <c r="C4815" s="2"/>
      <c r="D4815" s="2"/>
      <c r="E4815" s="2"/>
      <c r="F4815" s="14"/>
      <c r="G4815" s="2"/>
      <c r="H4815" s="2"/>
    </row>
    <row r="4816">
      <c r="A4816" s="2"/>
      <c r="B4816" s="13"/>
      <c r="C4816" s="2"/>
      <c r="D4816" s="2"/>
      <c r="E4816" s="2"/>
      <c r="F4816" s="14"/>
      <c r="G4816" s="2"/>
      <c r="H4816" s="2"/>
    </row>
    <row r="4817">
      <c r="A4817" s="2"/>
      <c r="B4817" s="13"/>
      <c r="C4817" s="2"/>
      <c r="D4817" s="2"/>
      <c r="E4817" s="2"/>
      <c r="F4817" s="14"/>
      <c r="G4817" s="2"/>
      <c r="H4817" s="2"/>
    </row>
    <row r="4818">
      <c r="A4818" s="2"/>
      <c r="B4818" s="13"/>
      <c r="C4818" s="2"/>
      <c r="D4818" s="2"/>
      <c r="E4818" s="2"/>
      <c r="F4818" s="14"/>
      <c r="G4818" s="2"/>
      <c r="H4818" s="2"/>
    </row>
    <row r="4819">
      <c r="A4819" s="2"/>
      <c r="B4819" s="13"/>
      <c r="C4819" s="2"/>
      <c r="D4819" s="2"/>
      <c r="E4819" s="2"/>
      <c r="F4819" s="14"/>
      <c r="G4819" s="2"/>
      <c r="H4819" s="2"/>
    </row>
    <row r="4820">
      <c r="A4820" s="2"/>
      <c r="B4820" s="13"/>
      <c r="C4820" s="2"/>
      <c r="D4820" s="2"/>
      <c r="E4820" s="2"/>
      <c r="F4820" s="14"/>
      <c r="G4820" s="2"/>
      <c r="H4820" s="2"/>
    </row>
    <row r="4821">
      <c r="A4821" s="2"/>
      <c r="B4821" s="13"/>
      <c r="C4821" s="2"/>
      <c r="D4821" s="2"/>
      <c r="E4821" s="2"/>
      <c r="F4821" s="14"/>
      <c r="G4821" s="2"/>
      <c r="H4821" s="2"/>
    </row>
    <row r="4822">
      <c r="A4822" s="2"/>
      <c r="B4822" s="13"/>
      <c r="C4822" s="2"/>
      <c r="D4822" s="2"/>
      <c r="E4822" s="2"/>
      <c r="F4822" s="14"/>
      <c r="G4822" s="2"/>
      <c r="H4822" s="2"/>
    </row>
    <row r="4823">
      <c r="A4823" s="2"/>
      <c r="B4823" s="13"/>
      <c r="C4823" s="2"/>
      <c r="D4823" s="2"/>
      <c r="E4823" s="2"/>
      <c r="F4823" s="14"/>
      <c r="G4823" s="2"/>
      <c r="H4823" s="2"/>
    </row>
    <row r="4824">
      <c r="A4824" s="2"/>
      <c r="B4824" s="13"/>
      <c r="C4824" s="2"/>
      <c r="D4824" s="2"/>
      <c r="E4824" s="2"/>
      <c r="F4824" s="14"/>
      <c r="G4824" s="2"/>
      <c r="H4824" s="2"/>
    </row>
    <row r="4825">
      <c r="A4825" s="2"/>
      <c r="B4825" s="13"/>
      <c r="C4825" s="2"/>
      <c r="D4825" s="2"/>
      <c r="E4825" s="2"/>
      <c r="F4825" s="14"/>
      <c r="G4825" s="2"/>
      <c r="H4825" s="2"/>
    </row>
    <row r="4826">
      <c r="A4826" s="2"/>
      <c r="B4826" s="13"/>
      <c r="C4826" s="2"/>
      <c r="D4826" s="2"/>
      <c r="E4826" s="2"/>
      <c r="F4826" s="14"/>
      <c r="G4826" s="2"/>
      <c r="H4826" s="2"/>
    </row>
    <row r="4827">
      <c r="A4827" s="2"/>
      <c r="B4827" s="13"/>
      <c r="C4827" s="2"/>
      <c r="D4827" s="2"/>
      <c r="E4827" s="2"/>
      <c r="F4827" s="14"/>
      <c r="G4827" s="2"/>
      <c r="H4827" s="2"/>
    </row>
    <row r="4828">
      <c r="A4828" s="2"/>
      <c r="B4828" s="13"/>
      <c r="C4828" s="2"/>
      <c r="D4828" s="2"/>
      <c r="E4828" s="2"/>
      <c r="F4828" s="14"/>
      <c r="G4828" s="2"/>
      <c r="H4828" s="2"/>
    </row>
    <row r="4829">
      <c r="A4829" s="2"/>
      <c r="B4829" s="13"/>
      <c r="C4829" s="2"/>
      <c r="D4829" s="2"/>
      <c r="E4829" s="2"/>
      <c r="F4829" s="14"/>
      <c r="G4829" s="2"/>
      <c r="H4829" s="2"/>
    </row>
    <row r="4830">
      <c r="A4830" s="2"/>
      <c r="B4830" s="13"/>
      <c r="C4830" s="2"/>
      <c r="D4830" s="2"/>
      <c r="E4830" s="2"/>
      <c r="F4830" s="14"/>
      <c r="G4830" s="2"/>
      <c r="H4830" s="2"/>
    </row>
    <row r="4831">
      <c r="A4831" s="2"/>
      <c r="B4831" s="13"/>
      <c r="C4831" s="2"/>
      <c r="D4831" s="2"/>
      <c r="E4831" s="2"/>
      <c r="F4831" s="14"/>
      <c r="G4831" s="2"/>
      <c r="H4831" s="2"/>
    </row>
    <row r="4832">
      <c r="A4832" s="2"/>
      <c r="B4832" s="13"/>
      <c r="C4832" s="2"/>
      <c r="D4832" s="2"/>
      <c r="E4832" s="2"/>
      <c r="F4832" s="14"/>
      <c r="G4832" s="2"/>
      <c r="H4832" s="2"/>
    </row>
    <row r="4833">
      <c r="A4833" s="2"/>
      <c r="B4833" s="13"/>
      <c r="C4833" s="2"/>
      <c r="D4833" s="2"/>
      <c r="E4833" s="2"/>
      <c r="F4833" s="14"/>
      <c r="G4833" s="2"/>
      <c r="H4833" s="2"/>
    </row>
    <row r="4834">
      <c r="A4834" s="2"/>
      <c r="B4834" s="13"/>
      <c r="C4834" s="2"/>
      <c r="D4834" s="2"/>
      <c r="E4834" s="2"/>
      <c r="F4834" s="14"/>
      <c r="G4834" s="2"/>
      <c r="H4834" s="2"/>
    </row>
    <row r="4835">
      <c r="A4835" s="2"/>
      <c r="B4835" s="13"/>
      <c r="C4835" s="2"/>
      <c r="D4835" s="2"/>
      <c r="E4835" s="2"/>
      <c r="F4835" s="14"/>
      <c r="G4835" s="2"/>
      <c r="H4835" s="2"/>
    </row>
    <row r="4836">
      <c r="A4836" s="2"/>
      <c r="B4836" s="13"/>
      <c r="C4836" s="2"/>
      <c r="D4836" s="2"/>
      <c r="E4836" s="2"/>
      <c r="F4836" s="14"/>
      <c r="G4836" s="2"/>
      <c r="H4836" s="2"/>
    </row>
    <row r="4837">
      <c r="A4837" s="2"/>
      <c r="B4837" s="13"/>
      <c r="C4837" s="2"/>
      <c r="D4837" s="2"/>
      <c r="E4837" s="2"/>
      <c r="F4837" s="14"/>
      <c r="G4837" s="2"/>
      <c r="H4837" s="2"/>
    </row>
    <row r="4838">
      <c r="A4838" s="2"/>
      <c r="B4838" s="13"/>
      <c r="C4838" s="2"/>
      <c r="D4838" s="2"/>
      <c r="E4838" s="2"/>
      <c r="F4838" s="14"/>
      <c r="G4838" s="2"/>
      <c r="H4838" s="2"/>
    </row>
    <row r="4839">
      <c r="A4839" s="2"/>
      <c r="B4839" s="13"/>
      <c r="C4839" s="2"/>
      <c r="D4839" s="2"/>
      <c r="E4839" s="2"/>
      <c r="F4839" s="14"/>
      <c r="G4839" s="2"/>
      <c r="H4839" s="2"/>
    </row>
    <row r="4840">
      <c r="A4840" s="2"/>
      <c r="B4840" s="13"/>
      <c r="C4840" s="2"/>
      <c r="D4840" s="2"/>
      <c r="E4840" s="2"/>
      <c r="F4840" s="14"/>
      <c r="G4840" s="2"/>
      <c r="H4840" s="2"/>
    </row>
    <row r="4841">
      <c r="A4841" s="2"/>
      <c r="B4841" s="13"/>
      <c r="C4841" s="2"/>
      <c r="D4841" s="2"/>
      <c r="E4841" s="2"/>
      <c r="F4841" s="14"/>
      <c r="G4841" s="2"/>
      <c r="H4841" s="2"/>
    </row>
    <row r="4842">
      <c r="A4842" s="2"/>
      <c r="B4842" s="13"/>
      <c r="C4842" s="2"/>
      <c r="D4842" s="2"/>
      <c r="E4842" s="2"/>
      <c r="F4842" s="14"/>
      <c r="G4842" s="2"/>
      <c r="H4842" s="2"/>
    </row>
    <row r="4843">
      <c r="A4843" s="2"/>
      <c r="B4843" s="13"/>
      <c r="C4843" s="2"/>
      <c r="D4843" s="2"/>
      <c r="E4843" s="2"/>
      <c r="F4843" s="14"/>
      <c r="G4843" s="2"/>
      <c r="H4843" s="2"/>
    </row>
    <row r="4844">
      <c r="A4844" s="2"/>
      <c r="B4844" s="13"/>
      <c r="C4844" s="2"/>
      <c r="D4844" s="2"/>
      <c r="E4844" s="2"/>
      <c r="F4844" s="14"/>
      <c r="G4844" s="2"/>
      <c r="H4844" s="2"/>
    </row>
    <row r="4845">
      <c r="A4845" s="2"/>
      <c r="B4845" s="13"/>
      <c r="C4845" s="2"/>
      <c r="D4845" s="2"/>
      <c r="E4845" s="2"/>
      <c r="F4845" s="14"/>
      <c r="G4845" s="2"/>
      <c r="H4845" s="2"/>
    </row>
    <row r="4846">
      <c r="A4846" s="2"/>
      <c r="B4846" s="13"/>
      <c r="C4846" s="2"/>
      <c r="D4846" s="2"/>
      <c r="E4846" s="2"/>
      <c r="F4846" s="14"/>
      <c r="G4846" s="2"/>
      <c r="H4846" s="2"/>
    </row>
    <row r="4847">
      <c r="A4847" s="2"/>
      <c r="B4847" s="13"/>
      <c r="C4847" s="2"/>
      <c r="D4847" s="2"/>
      <c r="E4847" s="2"/>
      <c r="F4847" s="14"/>
      <c r="G4847" s="2"/>
      <c r="H4847" s="2"/>
    </row>
    <row r="4848">
      <c r="A4848" s="2"/>
      <c r="B4848" s="13"/>
      <c r="C4848" s="2"/>
      <c r="D4848" s="2"/>
      <c r="E4848" s="2"/>
      <c r="F4848" s="14"/>
      <c r="G4848" s="2"/>
      <c r="H4848" s="2"/>
    </row>
    <row r="4849">
      <c r="A4849" s="2"/>
      <c r="B4849" s="13"/>
      <c r="C4849" s="2"/>
      <c r="D4849" s="2"/>
      <c r="E4849" s="2"/>
      <c r="F4849" s="14"/>
      <c r="G4849" s="2"/>
      <c r="H4849" s="2"/>
    </row>
    <row r="4850">
      <c r="A4850" s="2"/>
      <c r="B4850" s="13"/>
      <c r="C4850" s="2"/>
      <c r="D4850" s="2"/>
      <c r="E4850" s="2"/>
      <c r="F4850" s="14"/>
      <c r="G4850" s="2"/>
      <c r="H4850" s="2"/>
    </row>
    <row r="4851">
      <c r="A4851" s="2"/>
      <c r="B4851" s="13"/>
      <c r="C4851" s="2"/>
      <c r="D4851" s="2"/>
      <c r="E4851" s="2"/>
      <c r="F4851" s="14"/>
      <c r="G4851" s="2"/>
      <c r="H4851" s="2"/>
    </row>
    <row r="4852">
      <c r="A4852" s="2"/>
      <c r="B4852" s="13"/>
      <c r="C4852" s="2"/>
      <c r="D4852" s="2"/>
      <c r="E4852" s="2"/>
      <c r="F4852" s="14"/>
      <c r="G4852" s="2"/>
      <c r="H4852" s="2"/>
    </row>
    <row r="4853">
      <c r="A4853" s="2"/>
      <c r="B4853" s="13"/>
      <c r="C4853" s="2"/>
      <c r="D4853" s="2"/>
      <c r="E4853" s="2"/>
      <c r="F4853" s="14"/>
      <c r="G4853" s="2"/>
      <c r="H4853" s="2"/>
    </row>
    <row r="4854">
      <c r="A4854" s="2"/>
      <c r="B4854" s="13"/>
      <c r="C4854" s="2"/>
      <c r="D4854" s="2"/>
      <c r="E4854" s="2"/>
      <c r="F4854" s="14"/>
      <c r="G4854" s="2"/>
      <c r="H4854" s="2"/>
    </row>
    <row r="4855">
      <c r="A4855" s="2"/>
      <c r="B4855" s="13"/>
      <c r="C4855" s="2"/>
      <c r="D4855" s="2"/>
      <c r="E4855" s="2"/>
      <c r="F4855" s="14"/>
      <c r="G4855" s="2"/>
      <c r="H4855" s="2"/>
    </row>
    <row r="4856">
      <c r="A4856" s="2"/>
      <c r="B4856" s="13"/>
      <c r="C4856" s="2"/>
      <c r="D4856" s="2"/>
      <c r="E4856" s="2"/>
      <c r="F4856" s="14"/>
      <c r="G4856" s="2"/>
      <c r="H4856" s="2"/>
    </row>
    <row r="4857">
      <c r="A4857" s="2"/>
      <c r="B4857" s="13"/>
      <c r="C4857" s="2"/>
      <c r="D4857" s="2"/>
      <c r="E4857" s="2"/>
      <c r="F4857" s="14"/>
      <c r="G4857" s="2"/>
      <c r="H4857" s="2"/>
    </row>
    <row r="4858">
      <c r="A4858" s="2"/>
      <c r="B4858" s="13"/>
      <c r="C4858" s="2"/>
      <c r="D4858" s="2"/>
      <c r="E4858" s="2"/>
      <c r="F4858" s="14"/>
      <c r="G4858" s="2"/>
      <c r="H4858" s="2"/>
    </row>
    <row r="4859">
      <c r="A4859" s="2"/>
      <c r="B4859" s="13"/>
      <c r="C4859" s="2"/>
      <c r="D4859" s="2"/>
      <c r="E4859" s="2"/>
      <c r="F4859" s="14"/>
      <c r="G4859" s="2"/>
      <c r="H4859" s="2"/>
    </row>
    <row r="4860">
      <c r="A4860" s="2"/>
      <c r="B4860" s="13"/>
      <c r="C4860" s="2"/>
      <c r="D4860" s="2"/>
      <c r="E4860" s="2"/>
      <c r="F4860" s="14"/>
      <c r="G4860" s="2"/>
      <c r="H4860" s="2"/>
    </row>
    <row r="4861">
      <c r="A4861" s="2"/>
      <c r="B4861" s="13"/>
      <c r="C4861" s="2"/>
      <c r="D4861" s="2"/>
      <c r="E4861" s="2"/>
      <c r="F4861" s="14"/>
      <c r="G4861" s="2"/>
      <c r="H4861" s="2"/>
    </row>
    <row r="4862">
      <c r="A4862" s="2"/>
      <c r="B4862" s="13"/>
      <c r="C4862" s="2"/>
      <c r="D4862" s="2"/>
      <c r="E4862" s="2"/>
      <c r="F4862" s="14"/>
      <c r="G4862" s="2"/>
      <c r="H4862" s="2"/>
    </row>
    <row r="4863">
      <c r="A4863" s="2"/>
      <c r="B4863" s="13"/>
      <c r="C4863" s="2"/>
      <c r="D4863" s="2"/>
      <c r="E4863" s="2"/>
      <c r="F4863" s="14"/>
      <c r="G4863" s="2"/>
      <c r="H4863" s="2"/>
    </row>
    <row r="4864">
      <c r="A4864" s="2"/>
      <c r="B4864" s="13"/>
      <c r="C4864" s="2"/>
      <c r="D4864" s="2"/>
      <c r="E4864" s="2"/>
      <c r="F4864" s="14"/>
      <c r="G4864" s="2"/>
      <c r="H4864" s="2"/>
    </row>
    <row r="4865">
      <c r="A4865" s="2"/>
      <c r="B4865" s="13"/>
      <c r="C4865" s="2"/>
      <c r="D4865" s="2"/>
      <c r="E4865" s="2"/>
      <c r="F4865" s="14"/>
      <c r="G4865" s="2"/>
      <c r="H4865" s="2"/>
    </row>
    <row r="4866">
      <c r="A4866" s="2"/>
      <c r="B4866" s="13"/>
      <c r="C4866" s="2"/>
      <c r="D4866" s="2"/>
      <c r="E4866" s="2"/>
      <c r="F4866" s="14"/>
      <c r="G4866" s="2"/>
      <c r="H4866" s="2"/>
    </row>
    <row r="4867">
      <c r="A4867" s="2"/>
      <c r="B4867" s="13"/>
      <c r="C4867" s="2"/>
      <c r="D4867" s="2"/>
      <c r="E4867" s="2"/>
      <c r="F4867" s="14"/>
      <c r="G4867" s="2"/>
      <c r="H4867" s="2"/>
    </row>
    <row r="4868">
      <c r="A4868" s="2"/>
      <c r="B4868" s="13"/>
      <c r="C4868" s="2"/>
      <c r="D4868" s="2"/>
      <c r="E4868" s="2"/>
      <c r="F4868" s="14"/>
      <c r="G4868" s="2"/>
      <c r="H4868" s="2"/>
    </row>
    <row r="4869">
      <c r="A4869" s="2"/>
      <c r="B4869" s="13"/>
      <c r="C4869" s="2"/>
      <c r="D4869" s="2"/>
      <c r="E4869" s="2"/>
      <c r="F4869" s="14"/>
      <c r="G4869" s="2"/>
      <c r="H4869" s="2"/>
    </row>
    <row r="4870">
      <c r="A4870" s="2"/>
      <c r="B4870" s="13"/>
      <c r="C4870" s="2"/>
      <c r="D4870" s="2"/>
      <c r="E4870" s="2"/>
      <c r="F4870" s="14"/>
      <c r="G4870" s="2"/>
      <c r="H4870" s="2"/>
    </row>
    <row r="4871">
      <c r="A4871" s="2"/>
      <c r="B4871" s="13"/>
      <c r="C4871" s="2"/>
      <c r="D4871" s="2"/>
      <c r="E4871" s="2"/>
      <c r="F4871" s="14"/>
      <c r="G4871" s="2"/>
      <c r="H4871" s="2"/>
    </row>
    <row r="4872">
      <c r="A4872" s="2"/>
      <c r="B4872" s="13"/>
      <c r="C4872" s="2"/>
      <c r="D4872" s="2"/>
      <c r="E4872" s="2"/>
      <c r="F4872" s="14"/>
      <c r="G4872" s="2"/>
      <c r="H4872" s="2"/>
    </row>
    <row r="4873">
      <c r="A4873" s="2"/>
      <c r="B4873" s="13"/>
      <c r="C4873" s="2"/>
      <c r="D4873" s="2"/>
      <c r="E4873" s="2"/>
      <c r="F4873" s="14"/>
      <c r="G4873" s="2"/>
      <c r="H4873" s="2"/>
    </row>
    <row r="4874">
      <c r="A4874" s="2"/>
      <c r="B4874" s="13"/>
      <c r="C4874" s="2"/>
      <c r="D4874" s="2"/>
      <c r="E4874" s="2"/>
      <c r="F4874" s="14"/>
      <c r="G4874" s="2"/>
      <c r="H4874" s="2"/>
    </row>
    <row r="4875">
      <c r="A4875" s="2"/>
      <c r="B4875" s="13"/>
      <c r="C4875" s="2"/>
      <c r="D4875" s="2"/>
      <c r="E4875" s="2"/>
      <c r="F4875" s="14"/>
      <c r="G4875" s="2"/>
      <c r="H4875" s="2"/>
    </row>
    <row r="4876">
      <c r="A4876" s="2"/>
      <c r="B4876" s="13"/>
      <c r="C4876" s="2"/>
      <c r="D4876" s="2"/>
      <c r="E4876" s="2"/>
      <c r="F4876" s="14"/>
      <c r="G4876" s="2"/>
      <c r="H4876" s="2"/>
    </row>
    <row r="4877">
      <c r="A4877" s="2"/>
      <c r="B4877" s="13"/>
      <c r="C4877" s="2"/>
      <c r="D4877" s="2"/>
      <c r="E4877" s="2"/>
      <c r="F4877" s="14"/>
      <c r="G4877" s="2"/>
      <c r="H4877" s="2"/>
    </row>
    <row r="4878">
      <c r="A4878" s="2"/>
      <c r="B4878" s="13"/>
      <c r="C4878" s="2"/>
      <c r="D4878" s="2"/>
      <c r="E4878" s="2"/>
      <c r="F4878" s="14"/>
      <c r="G4878" s="2"/>
      <c r="H4878" s="2"/>
    </row>
    <row r="4879">
      <c r="A4879" s="2"/>
      <c r="B4879" s="13"/>
      <c r="C4879" s="2"/>
      <c r="D4879" s="2"/>
      <c r="E4879" s="2"/>
      <c r="F4879" s="14"/>
      <c r="G4879" s="2"/>
      <c r="H4879" s="2"/>
    </row>
    <row r="4880">
      <c r="A4880" s="2"/>
      <c r="B4880" s="13"/>
      <c r="C4880" s="2"/>
      <c r="D4880" s="2"/>
      <c r="E4880" s="2"/>
      <c r="F4880" s="14"/>
      <c r="G4880" s="2"/>
      <c r="H4880" s="2"/>
    </row>
    <row r="4881">
      <c r="A4881" s="2"/>
      <c r="B4881" s="13"/>
      <c r="C4881" s="2"/>
      <c r="D4881" s="2"/>
      <c r="E4881" s="2"/>
      <c r="F4881" s="14"/>
      <c r="G4881" s="2"/>
      <c r="H4881" s="2"/>
    </row>
    <row r="4882">
      <c r="A4882" s="2"/>
      <c r="B4882" s="13"/>
      <c r="C4882" s="2"/>
      <c r="D4882" s="2"/>
      <c r="E4882" s="2"/>
      <c r="F4882" s="14"/>
      <c r="G4882" s="2"/>
      <c r="H4882" s="2"/>
    </row>
    <row r="4883">
      <c r="A4883" s="2"/>
      <c r="B4883" s="13"/>
      <c r="C4883" s="2"/>
      <c r="D4883" s="2"/>
      <c r="E4883" s="2"/>
      <c r="F4883" s="14"/>
      <c r="G4883" s="2"/>
      <c r="H4883" s="2"/>
    </row>
    <row r="4884">
      <c r="A4884" s="2"/>
      <c r="B4884" s="13"/>
      <c r="C4884" s="2"/>
      <c r="D4884" s="2"/>
      <c r="E4884" s="2"/>
      <c r="F4884" s="14"/>
      <c r="G4884" s="2"/>
      <c r="H4884" s="2"/>
    </row>
    <row r="4885">
      <c r="A4885" s="2"/>
      <c r="B4885" s="13"/>
      <c r="C4885" s="2"/>
      <c r="D4885" s="2"/>
      <c r="E4885" s="2"/>
      <c r="F4885" s="14"/>
      <c r="G4885" s="2"/>
      <c r="H4885" s="2"/>
    </row>
    <row r="4886">
      <c r="A4886" s="2"/>
      <c r="B4886" s="13"/>
      <c r="C4886" s="2"/>
      <c r="D4886" s="2"/>
      <c r="E4886" s="2"/>
      <c r="F4886" s="14"/>
      <c r="G4886" s="2"/>
      <c r="H4886" s="2"/>
    </row>
    <row r="4887">
      <c r="A4887" s="2"/>
      <c r="B4887" s="13"/>
      <c r="C4887" s="2"/>
      <c r="D4887" s="2"/>
      <c r="E4887" s="2"/>
      <c r="F4887" s="14"/>
      <c r="G4887" s="2"/>
      <c r="H4887" s="2"/>
    </row>
    <row r="4888">
      <c r="A4888" s="2"/>
      <c r="B4888" s="13"/>
      <c r="C4888" s="2"/>
      <c r="D4888" s="2"/>
      <c r="E4888" s="2"/>
      <c r="F4888" s="14"/>
      <c r="G4888" s="2"/>
      <c r="H4888" s="2"/>
    </row>
    <row r="4889">
      <c r="A4889" s="2"/>
      <c r="B4889" s="13"/>
      <c r="C4889" s="2"/>
      <c r="D4889" s="2"/>
      <c r="E4889" s="2"/>
      <c r="F4889" s="14"/>
      <c r="G4889" s="2"/>
      <c r="H4889" s="2"/>
    </row>
    <row r="4890">
      <c r="A4890" s="2"/>
      <c r="B4890" s="13"/>
      <c r="C4890" s="2"/>
      <c r="D4890" s="2"/>
      <c r="E4890" s="2"/>
      <c r="F4890" s="14"/>
      <c r="G4890" s="2"/>
      <c r="H4890" s="2"/>
    </row>
    <row r="4891">
      <c r="A4891" s="2"/>
      <c r="B4891" s="13"/>
      <c r="C4891" s="2"/>
      <c r="D4891" s="2"/>
      <c r="E4891" s="2"/>
      <c r="F4891" s="14"/>
      <c r="G4891" s="2"/>
      <c r="H4891" s="2"/>
    </row>
    <row r="4892">
      <c r="A4892" s="2"/>
      <c r="B4892" s="13"/>
      <c r="C4892" s="2"/>
      <c r="D4892" s="2"/>
      <c r="E4892" s="2"/>
      <c r="F4892" s="14"/>
      <c r="G4892" s="2"/>
      <c r="H4892" s="2"/>
    </row>
    <row r="4893">
      <c r="A4893" s="2"/>
      <c r="B4893" s="13"/>
      <c r="C4893" s="2"/>
      <c r="D4893" s="2"/>
      <c r="E4893" s="2"/>
      <c r="F4893" s="14"/>
      <c r="G4893" s="2"/>
      <c r="H4893" s="2"/>
    </row>
    <row r="4894">
      <c r="A4894" s="2"/>
      <c r="B4894" s="13"/>
      <c r="C4894" s="2"/>
      <c r="D4894" s="2"/>
      <c r="E4894" s="2"/>
      <c r="F4894" s="14"/>
      <c r="G4894" s="2"/>
      <c r="H4894" s="2"/>
    </row>
    <row r="4895">
      <c r="A4895" s="2"/>
      <c r="B4895" s="13"/>
      <c r="C4895" s="2"/>
      <c r="D4895" s="2"/>
      <c r="E4895" s="2"/>
      <c r="F4895" s="14"/>
      <c r="G4895" s="2"/>
      <c r="H4895" s="2"/>
    </row>
    <row r="4896">
      <c r="A4896" s="2"/>
      <c r="B4896" s="13"/>
      <c r="C4896" s="2"/>
      <c r="D4896" s="2"/>
      <c r="E4896" s="2"/>
      <c r="F4896" s="14"/>
      <c r="G4896" s="2"/>
      <c r="H4896" s="2"/>
    </row>
    <row r="4897">
      <c r="A4897" s="2"/>
      <c r="B4897" s="13"/>
      <c r="C4897" s="2"/>
      <c r="D4897" s="2"/>
      <c r="E4897" s="2"/>
      <c r="F4897" s="14"/>
      <c r="G4897" s="2"/>
      <c r="H4897" s="2"/>
    </row>
    <row r="4898">
      <c r="A4898" s="2"/>
      <c r="B4898" s="13"/>
      <c r="C4898" s="2"/>
      <c r="D4898" s="2"/>
      <c r="E4898" s="2"/>
      <c r="F4898" s="14"/>
      <c r="G4898" s="2"/>
      <c r="H4898" s="2"/>
    </row>
    <row r="4899">
      <c r="A4899" s="2"/>
      <c r="B4899" s="13"/>
      <c r="C4899" s="2"/>
      <c r="D4899" s="2"/>
      <c r="E4899" s="2"/>
      <c r="F4899" s="14"/>
      <c r="G4899" s="2"/>
      <c r="H4899" s="2"/>
    </row>
    <row r="4900">
      <c r="A4900" s="2"/>
      <c r="B4900" s="13"/>
      <c r="C4900" s="2"/>
      <c r="D4900" s="2"/>
      <c r="E4900" s="2"/>
      <c r="F4900" s="14"/>
      <c r="G4900" s="2"/>
      <c r="H4900" s="2"/>
    </row>
    <row r="4901">
      <c r="A4901" s="2"/>
      <c r="B4901" s="13"/>
      <c r="C4901" s="2"/>
      <c r="D4901" s="2"/>
      <c r="E4901" s="2"/>
      <c r="F4901" s="14"/>
      <c r="G4901" s="2"/>
      <c r="H4901" s="2"/>
    </row>
    <row r="4902">
      <c r="A4902" s="2"/>
      <c r="B4902" s="13"/>
      <c r="C4902" s="2"/>
      <c r="D4902" s="2"/>
      <c r="E4902" s="2"/>
      <c r="F4902" s="14"/>
      <c r="G4902" s="2"/>
      <c r="H4902" s="2"/>
    </row>
    <row r="4903">
      <c r="A4903" s="2"/>
      <c r="B4903" s="13"/>
      <c r="C4903" s="2"/>
      <c r="D4903" s="2"/>
      <c r="E4903" s="2"/>
      <c r="F4903" s="14"/>
      <c r="G4903" s="2"/>
      <c r="H4903" s="2"/>
    </row>
    <row r="4904">
      <c r="A4904" s="2"/>
      <c r="B4904" s="13"/>
      <c r="C4904" s="2"/>
      <c r="D4904" s="2"/>
      <c r="E4904" s="2"/>
      <c r="F4904" s="14"/>
      <c r="G4904" s="2"/>
      <c r="H4904" s="2"/>
    </row>
    <row r="4905">
      <c r="A4905" s="2"/>
      <c r="B4905" s="13"/>
      <c r="C4905" s="2"/>
      <c r="D4905" s="2"/>
      <c r="E4905" s="2"/>
      <c r="F4905" s="14"/>
      <c r="G4905" s="2"/>
      <c r="H4905" s="2"/>
    </row>
    <row r="4906">
      <c r="A4906" s="2"/>
      <c r="B4906" s="13"/>
      <c r="C4906" s="2"/>
      <c r="D4906" s="2"/>
      <c r="E4906" s="2"/>
      <c r="F4906" s="14"/>
      <c r="G4906" s="2"/>
      <c r="H4906" s="2"/>
    </row>
    <row r="4907">
      <c r="A4907" s="2"/>
      <c r="B4907" s="13"/>
      <c r="C4907" s="2"/>
      <c r="D4907" s="2"/>
      <c r="E4907" s="2"/>
      <c r="F4907" s="14"/>
      <c r="G4907" s="2"/>
      <c r="H4907" s="2"/>
    </row>
    <row r="4908">
      <c r="A4908" s="2"/>
      <c r="B4908" s="13"/>
      <c r="C4908" s="2"/>
      <c r="D4908" s="2"/>
      <c r="E4908" s="2"/>
      <c r="F4908" s="14"/>
      <c r="G4908" s="2"/>
      <c r="H4908" s="2"/>
    </row>
    <row r="4909">
      <c r="A4909" s="2"/>
      <c r="B4909" s="13"/>
      <c r="C4909" s="2"/>
      <c r="D4909" s="2"/>
      <c r="E4909" s="2"/>
      <c r="F4909" s="14"/>
      <c r="G4909" s="2"/>
      <c r="H4909" s="2"/>
    </row>
    <row r="4910">
      <c r="A4910" s="2"/>
      <c r="B4910" s="13"/>
      <c r="C4910" s="2"/>
      <c r="D4910" s="2"/>
      <c r="E4910" s="2"/>
      <c r="F4910" s="14"/>
      <c r="G4910" s="2"/>
      <c r="H4910" s="2"/>
    </row>
    <row r="4911">
      <c r="A4911" s="2"/>
      <c r="B4911" s="13"/>
      <c r="C4911" s="2"/>
      <c r="D4911" s="2"/>
      <c r="E4911" s="2"/>
      <c r="F4911" s="14"/>
      <c r="G4911" s="2"/>
      <c r="H4911" s="2"/>
    </row>
    <row r="4912">
      <c r="A4912" s="2"/>
      <c r="B4912" s="13"/>
      <c r="C4912" s="2"/>
      <c r="D4912" s="2"/>
      <c r="E4912" s="2"/>
      <c r="F4912" s="14"/>
      <c r="G4912" s="2"/>
      <c r="H4912" s="2"/>
    </row>
    <row r="4913">
      <c r="A4913" s="2"/>
      <c r="B4913" s="13"/>
      <c r="C4913" s="2"/>
      <c r="D4913" s="2"/>
      <c r="E4913" s="2"/>
      <c r="F4913" s="14"/>
      <c r="G4913" s="2"/>
      <c r="H4913" s="2"/>
    </row>
    <row r="4914">
      <c r="A4914" s="2"/>
      <c r="B4914" s="13"/>
      <c r="C4914" s="2"/>
      <c r="D4914" s="2"/>
      <c r="E4914" s="2"/>
      <c r="F4914" s="14"/>
      <c r="G4914" s="2"/>
      <c r="H4914" s="2"/>
    </row>
    <row r="4915">
      <c r="A4915" s="2"/>
      <c r="B4915" s="13"/>
      <c r="C4915" s="2"/>
      <c r="D4915" s="2"/>
      <c r="E4915" s="2"/>
      <c r="F4915" s="14"/>
      <c r="G4915" s="2"/>
      <c r="H4915" s="2"/>
    </row>
    <row r="4916">
      <c r="A4916" s="2"/>
      <c r="B4916" s="13"/>
      <c r="C4916" s="2"/>
      <c r="D4916" s="2"/>
      <c r="E4916" s="2"/>
      <c r="F4916" s="14"/>
      <c r="G4916" s="2"/>
      <c r="H4916" s="2"/>
    </row>
    <row r="4917">
      <c r="A4917" s="2"/>
      <c r="B4917" s="13"/>
      <c r="C4917" s="2"/>
      <c r="D4917" s="2"/>
      <c r="E4917" s="2"/>
      <c r="F4917" s="14"/>
      <c r="G4917" s="2"/>
      <c r="H4917" s="2"/>
    </row>
    <row r="4918">
      <c r="A4918" s="2"/>
      <c r="B4918" s="13"/>
      <c r="C4918" s="2"/>
      <c r="D4918" s="2"/>
      <c r="E4918" s="2"/>
      <c r="F4918" s="14"/>
      <c r="G4918" s="2"/>
      <c r="H4918" s="2"/>
    </row>
    <row r="4919">
      <c r="A4919" s="2"/>
      <c r="B4919" s="13"/>
      <c r="C4919" s="2"/>
      <c r="D4919" s="2"/>
      <c r="E4919" s="2"/>
      <c r="F4919" s="14"/>
      <c r="G4919" s="2"/>
      <c r="H4919" s="2"/>
    </row>
    <row r="4920">
      <c r="A4920" s="2"/>
      <c r="B4920" s="13"/>
      <c r="C4920" s="2"/>
      <c r="D4920" s="2"/>
      <c r="E4920" s="2"/>
      <c r="F4920" s="14"/>
      <c r="G4920" s="2"/>
      <c r="H4920" s="2"/>
    </row>
    <row r="4921">
      <c r="A4921" s="2"/>
      <c r="B4921" s="13"/>
      <c r="C4921" s="2"/>
      <c r="D4921" s="2"/>
      <c r="E4921" s="2"/>
      <c r="F4921" s="14"/>
      <c r="G4921" s="2"/>
      <c r="H4921" s="2"/>
    </row>
    <row r="4922">
      <c r="A4922" s="2"/>
      <c r="B4922" s="13"/>
      <c r="C4922" s="2"/>
      <c r="D4922" s="2"/>
      <c r="E4922" s="2"/>
      <c r="F4922" s="14"/>
      <c r="G4922" s="2"/>
      <c r="H4922" s="2"/>
    </row>
    <row r="4923">
      <c r="A4923" s="2"/>
      <c r="B4923" s="13"/>
      <c r="C4923" s="2"/>
      <c r="D4923" s="2"/>
      <c r="E4923" s="2"/>
      <c r="F4923" s="14"/>
      <c r="G4923" s="2"/>
      <c r="H4923" s="2"/>
    </row>
    <row r="4924">
      <c r="A4924" s="2"/>
      <c r="B4924" s="13"/>
      <c r="C4924" s="2"/>
      <c r="D4924" s="2"/>
      <c r="E4924" s="2"/>
      <c r="F4924" s="14"/>
      <c r="G4924" s="2"/>
      <c r="H4924" s="2"/>
    </row>
    <row r="4925">
      <c r="A4925" s="2"/>
      <c r="B4925" s="13"/>
      <c r="C4925" s="2"/>
      <c r="D4925" s="2"/>
      <c r="E4925" s="2"/>
      <c r="F4925" s="14"/>
      <c r="G4925" s="2"/>
      <c r="H4925" s="2"/>
    </row>
    <row r="4926">
      <c r="A4926" s="2"/>
      <c r="B4926" s="13"/>
      <c r="C4926" s="2"/>
      <c r="D4926" s="2"/>
      <c r="E4926" s="2"/>
      <c r="F4926" s="14"/>
      <c r="G4926" s="2"/>
      <c r="H4926" s="2"/>
    </row>
    <row r="4927">
      <c r="A4927" s="2"/>
      <c r="B4927" s="13"/>
      <c r="C4927" s="2"/>
      <c r="D4927" s="2"/>
      <c r="E4927" s="2"/>
      <c r="F4927" s="14"/>
      <c r="G4927" s="2"/>
      <c r="H4927" s="2"/>
    </row>
    <row r="4928">
      <c r="A4928" s="2"/>
      <c r="B4928" s="13"/>
      <c r="C4928" s="2"/>
      <c r="D4928" s="2"/>
      <c r="E4928" s="2"/>
      <c r="F4928" s="14"/>
      <c r="G4928" s="2"/>
      <c r="H4928" s="2"/>
    </row>
    <row r="4929">
      <c r="A4929" s="2"/>
      <c r="B4929" s="13"/>
      <c r="C4929" s="2"/>
      <c r="D4929" s="2"/>
      <c r="E4929" s="2"/>
      <c r="F4929" s="14"/>
      <c r="G4929" s="2"/>
      <c r="H4929" s="2"/>
    </row>
    <row r="4930">
      <c r="A4930" s="2"/>
      <c r="B4930" s="13"/>
      <c r="C4930" s="2"/>
      <c r="D4930" s="2"/>
      <c r="E4930" s="2"/>
      <c r="F4930" s="14"/>
      <c r="G4930" s="2"/>
      <c r="H4930" s="2"/>
    </row>
    <row r="4931">
      <c r="A4931" s="2"/>
      <c r="B4931" s="13"/>
      <c r="C4931" s="2"/>
      <c r="D4931" s="2"/>
      <c r="E4931" s="2"/>
      <c r="F4931" s="14"/>
      <c r="G4931" s="2"/>
      <c r="H4931" s="2"/>
    </row>
    <row r="4932">
      <c r="A4932" s="2"/>
      <c r="B4932" s="13"/>
      <c r="C4932" s="2"/>
      <c r="D4932" s="2"/>
      <c r="E4932" s="2"/>
      <c r="F4932" s="14"/>
      <c r="G4932" s="2"/>
      <c r="H4932" s="2"/>
    </row>
    <row r="4933">
      <c r="A4933" s="2"/>
      <c r="B4933" s="13"/>
      <c r="C4933" s="2"/>
      <c r="D4933" s="2"/>
      <c r="E4933" s="2"/>
      <c r="F4933" s="14"/>
      <c r="G4933" s="2"/>
      <c r="H4933" s="2"/>
    </row>
    <row r="4934">
      <c r="A4934" s="2"/>
      <c r="B4934" s="13"/>
      <c r="C4934" s="2"/>
      <c r="D4934" s="2"/>
      <c r="E4934" s="2"/>
      <c r="F4934" s="14"/>
      <c r="G4934" s="2"/>
      <c r="H4934" s="2"/>
    </row>
    <row r="4935">
      <c r="A4935" s="2"/>
      <c r="B4935" s="13"/>
      <c r="C4935" s="2"/>
      <c r="D4935" s="2"/>
      <c r="E4935" s="2"/>
      <c r="F4935" s="14"/>
      <c r="G4935" s="2"/>
      <c r="H4935" s="2"/>
    </row>
    <row r="4936">
      <c r="A4936" s="2"/>
      <c r="B4936" s="13"/>
      <c r="C4936" s="2"/>
      <c r="D4936" s="2"/>
      <c r="E4936" s="2"/>
      <c r="F4936" s="14"/>
      <c r="G4936" s="2"/>
      <c r="H4936" s="2"/>
    </row>
    <row r="4937">
      <c r="A4937" s="2"/>
      <c r="B4937" s="13"/>
      <c r="C4937" s="2"/>
      <c r="D4937" s="2"/>
      <c r="E4937" s="2"/>
      <c r="F4937" s="14"/>
      <c r="G4937" s="2"/>
      <c r="H4937" s="2"/>
    </row>
    <row r="4938">
      <c r="A4938" s="2"/>
      <c r="B4938" s="13"/>
      <c r="C4938" s="2"/>
      <c r="D4938" s="2"/>
      <c r="E4938" s="2"/>
      <c r="F4938" s="14"/>
      <c r="G4938" s="2"/>
      <c r="H4938" s="2"/>
    </row>
    <row r="4939">
      <c r="A4939" s="2"/>
      <c r="B4939" s="13"/>
      <c r="C4939" s="2"/>
      <c r="D4939" s="2"/>
      <c r="E4939" s="2"/>
      <c r="F4939" s="14"/>
      <c r="G4939" s="2"/>
      <c r="H4939" s="2"/>
    </row>
    <row r="4940">
      <c r="A4940" s="2"/>
      <c r="B4940" s="13"/>
      <c r="C4940" s="2"/>
      <c r="D4940" s="2"/>
      <c r="E4940" s="2"/>
      <c r="F4940" s="14"/>
      <c r="G4940" s="2"/>
      <c r="H4940" s="2"/>
    </row>
    <row r="4941">
      <c r="A4941" s="2"/>
      <c r="B4941" s="13"/>
      <c r="C4941" s="2"/>
      <c r="D4941" s="2"/>
      <c r="E4941" s="2"/>
      <c r="F4941" s="14"/>
      <c r="G4941" s="2"/>
      <c r="H4941" s="2"/>
    </row>
    <row r="4942">
      <c r="A4942" s="2"/>
      <c r="B4942" s="13"/>
      <c r="C4942" s="2"/>
      <c r="D4942" s="2"/>
      <c r="E4942" s="2"/>
      <c r="F4942" s="14"/>
      <c r="G4942" s="2"/>
      <c r="H4942" s="2"/>
    </row>
    <row r="4943">
      <c r="A4943" s="2"/>
      <c r="B4943" s="13"/>
      <c r="C4943" s="2"/>
      <c r="D4943" s="2"/>
      <c r="E4943" s="2"/>
      <c r="F4943" s="14"/>
      <c r="G4943" s="2"/>
      <c r="H4943" s="2"/>
    </row>
    <row r="4944">
      <c r="A4944" s="2"/>
      <c r="B4944" s="13"/>
      <c r="C4944" s="2"/>
      <c r="D4944" s="2"/>
      <c r="E4944" s="2"/>
      <c r="F4944" s="14"/>
      <c r="G4944" s="2"/>
      <c r="H4944" s="2"/>
    </row>
    <row r="4945">
      <c r="A4945" s="2"/>
      <c r="B4945" s="13"/>
      <c r="C4945" s="2"/>
      <c r="D4945" s="2"/>
      <c r="E4945" s="2"/>
      <c r="F4945" s="14"/>
      <c r="G4945" s="2"/>
      <c r="H4945" s="2"/>
    </row>
    <row r="4946">
      <c r="A4946" s="2"/>
      <c r="B4946" s="13"/>
      <c r="C4946" s="2"/>
      <c r="D4946" s="2"/>
      <c r="E4946" s="2"/>
      <c r="F4946" s="14"/>
      <c r="G4946" s="2"/>
      <c r="H4946" s="2"/>
    </row>
    <row r="4947">
      <c r="A4947" s="2"/>
      <c r="B4947" s="13"/>
      <c r="C4947" s="2"/>
      <c r="D4947" s="2"/>
      <c r="E4947" s="2"/>
      <c r="F4947" s="14"/>
      <c r="G4947" s="2"/>
      <c r="H4947" s="2"/>
    </row>
    <row r="4948">
      <c r="A4948" s="2"/>
      <c r="B4948" s="13"/>
      <c r="C4948" s="2"/>
      <c r="D4948" s="2"/>
      <c r="E4948" s="2"/>
      <c r="F4948" s="14"/>
      <c r="G4948" s="2"/>
      <c r="H4948" s="2"/>
    </row>
    <row r="4949">
      <c r="A4949" s="2"/>
      <c r="B4949" s="13"/>
      <c r="C4949" s="2"/>
      <c r="D4949" s="2"/>
      <c r="E4949" s="2"/>
      <c r="F4949" s="14"/>
      <c r="G4949" s="2"/>
      <c r="H4949" s="2"/>
    </row>
    <row r="4950">
      <c r="A4950" s="2"/>
      <c r="B4950" s="13"/>
      <c r="C4950" s="2"/>
      <c r="D4950" s="2"/>
      <c r="E4950" s="2"/>
      <c r="F4950" s="14"/>
      <c r="G4950" s="2"/>
      <c r="H4950" s="2"/>
    </row>
    <row r="4951">
      <c r="A4951" s="2"/>
      <c r="B4951" s="13"/>
      <c r="C4951" s="2"/>
      <c r="D4951" s="2"/>
      <c r="E4951" s="2"/>
      <c r="F4951" s="14"/>
      <c r="G4951" s="2"/>
      <c r="H4951" s="2"/>
    </row>
    <row r="4952">
      <c r="A4952" s="2"/>
      <c r="B4952" s="13"/>
      <c r="C4952" s="2"/>
      <c r="D4952" s="2"/>
      <c r="E4952" s="2"/>
      <c r="F4952" s="14"/>
      <c r="G4952" s="2"/>
      <c r="H4952" s="2"/>
    </row>
    <row r="4953">
      <c r="A4953" s="2"/>
      <c r="B4953" s="13"/>
      <c r="C4953" s="2"/>
      <c r="D4953" s="2"/>
      <c r="E4953" s="2"/>
      <c r="F4953" s="14"/>
      <c r="G4953" s="2"/>
      <c r="H4953" s="2"/>
    </row>
    <row r="4954">
      <c r="A4954" s="2"/>
      <c r="B4954" s="13"/>
      <c r="C4954" s="2"/>
      <c r="D4954" s="2"/>
      <c r="E4954" s="2"/>
      <c r="F4954" s="14"/>
      <c r="G4954" s="2"/>
      <c r="H4954" s="2"/>
    </row>
    <row r="4955">
      <c r="A4955" s="2"/>
      <c r="B4955" s="13"/>
      <c r="C4955" s="2"/>
      <c r="D4955" s="2"/>
      <c r="E4955" s="2"/>
      <c r="F4955" s="14"/>
      <c r="G4955" s="2"/>
      <c r="H4955" s="2"/>
    </row>
    <row r="4956">
      <c r="A4956" s="2"/>
      <c r="B4956" s="13"/>
      <c r="C4956" s="2"/>
      <c r="D4956" s="2"/>
      <c r="E4956" s="2"/>
      <c r="F4956" s="14"/>
      <c r="G4956" s="2"/>
      <c r="H4956" s="2"/>
    </row>
    <row r="4957">
      <c r="A4957" s="2"/>
      <c r="B4957" s="13"/>
      <c r="C4957" s="2"/>
      <c r="D4957" s="2"/>
      <c r="E4957" s="2"/>
      <c r="F4957" s="14"/>
      <c r="G4957" s="2"/>
      <c r="H4957" s="2"/>
    </row>
    <row r="4958">
      <c r="A4958" s="2"/>
      <c r="B4958" s="13"/>
      <c r="C4958" s="2"/>
      <c r="D4958" s="2"/>
      <c r="E4958" s="2"/>
      <c r="F4958" s="14"/>
      <c r="G4958" s="2"/>
      <c r="H4958" s="2"/>
    </row>
    <row r="4959">
      <c r="A4959" s="2"/>
      <c r="B4959" s="13"/>
      <c r="C4959" s="2"/>
      <c r="D4959" s="2"/>
      <c r="E4959" s="2"/>
      <c r="F4959" s="14"/>
      <c r="G4959" s="2"/>
      <c r="H4959" s="2"/>
    </row>
    <row r="4960">
      <c r="A4960" s="2"/>
      <c r="B4960" s="13"/>
      <c r="C4960" s="2"/>
      <c r="D4960" s="2"/>
      <c r="E4960" s="2"/>
      <c r="F4960" s="14"/>
      <c r="G4960" s="2"/>
      <c r="H4960" s="2"/>
    </row>
    <row r="4961">
      <c r="A4961" s="2"/>
      <c r="B4961" s="13"/>
      <c r="C4961" s="2"/>
      <c r="D4961" s="2"/>
      <c r="E4961" s="2"/>
      <c r="F4961" s="14"/>
      <c r="G4961" s="2"/>
      <c r="H4961" s="2"/>
    </row>
    <row r="4962">
      <c r="A4962" s="2"/>
      <c r="B4962" s="13"/>
      <c r="C4962" s="2"/>
      <c r="D4962" s="2"/>
      <c r="E4962" s="2"/>
      <c r="F4962" s="14"/>
      <c r="G4962" s="2"/>
      <c r="H4962" s="2"/>
    </row>
    <row r="4963">
      <c r="A4963" s="2"/>
      <c r="B4963" s="13"/>
      <c r="C4963" s="2"/>
      <c r="D4963" s="2"/>
      <c r="E4963" s="2"/>
      <c r="F4963" s="14"/>
      <c r="G4963" s="2"/>
      <c r="H4963" s="2"/>
    </row>
    <row r="4964">
      <c r="A4964" s="2"/>
      <c r="B4964" s="13"/>
      <c r="C4964" s="2"/>
      <c r="D4964" s="2"/>
      <c r="E4964" s="2"/>
      <c r="F4964" s="14"/>
      <c r="G4964" s="2"/>
      <c r="H4964" s="2"/>
    </row>
    <row r="4965">
      <c r="A4965" s="2"/>
      <c r="B4965" s="13"/>
      <c r="C4965" s="2"/>
      <c r="D4965" s="2"/>
      <c r="E4965" s="2"/>
      <c r="F4965" s="14"/>
      <c r="G4965" s="2"/>
      <c r="H4965" s="2"/>
    </row>
    <row r="4966">
      <c r="A4966" s="2"/>
      <c r="B4966" s="13"/>
      <c r="C4966" s="2"/>
      <c r="D4966" s="2"/>
      <c r="E4966" s="2"/>
      <c r="F4966" s="14"/>
      <c r="G4966" s="2"/>
      <c r="H4966" s="2"/>
    </row>
    <row r="4967">
      <c r="A4967" s="2"/>
      <c r="B4967" s="13"/>
      <c r="C4967" s="2"/>
      <c r="D4967" s="2"/>
      <c r="E4967" s="2"/>
      <c r="F4967" s="14"/>
      <c r="G4967" s="2"/>
      <c r="H4967" s="2"/>
    </row>
    <row r="4968">
      <c r="A4968" s="2"/>
      <c r="B4968" s="13"/>
      <c r="C4968" s="2"/>
      <c r="D4968" s="2"/>
      <c r="E4968" s="2"/>
      <c r="F4968" s="14"/>
      <c r="G4968" s="2"/>
      <c r="H4968" s="2"/>
    </row>
    <row r="4969">
      <c r="A4969" s="2"/>
      <c r="B4969" s="13"/>
      <c r="C4969" s="2"/>
      <c r="D4969" s="2"/>
      <c r="E4969" s="2"/>
      <c r="F4969" s="14"/>
      <c r="G4969" s="2"/>
      <c r="H4969" s="2"/>
    </row>
    <row r="4970">
      <c r="A4970" s="2"/>
      <c r="B4970" s="13"/>
      <c r="C4970" s="2"/>
      <c r="D4970" s="2"/>
      <c r="E4970" s="2"/>
      <c r="F4970" s="14"/>
      <c r="G4970" s="2"/>
      <c r="H4970" s="2"/>
    </row>
    <row r="4971">
      <c r="A4971" s="2"/>
      <c r="B4971" s="13"/>
      <c r="C4971" s="2"/>
      <c r="D4971" s="2"/>
      <c r="E4971" s="2"/>
      <c r="F4971" s="14"/>
      <c r="G4971" s="2"/>
      <c r="H4971" s="2"/>
    </row>
    <row r="4972">
      <c r="A4972" s="2"/>
      <c r="B4972" s="13"/>
      <c r="C4972" s="2"/>
      <c r="D4972" s="2"/>
      <c r="E4972" s="2"/>
      <c r="F4972" s="14"/>
      <c r="G4972" s="2"/>
      <c r="H4972" s="2"/>
    </row>
    <row r="4973">
      <c r="A4973" s="2"/>
      <c r="B4973" s="13"/>
      <c r="C4973" s="2"/>
      <c r="D4973" s="2"/>
      <c r="E4973" s="2"/>
      <c r="F4973" s="14"/>
      <c r="G4973" s="2"/>
      <c r="H4973" s="2"/>
    </row>
    <row r="4974">
      <c r="A4974" s="2"/>
      <c r="B4974" s="13"/>
      <c r="C4974" s="2"/>
      <c r="D4974" s="2"/>
      <c r="E4974" s="2"/>
      <c r="F4974" s="14"/>
      <c r="G4974" s="2"/>
      <c r="H4974" s="2"/>
    </row>
    <row r="4975">
      <c r="A4975" s="2"/>
      <c r="B4975" s="13"/>
      <c r="C4975" s="2"/>
      <c r="D4975" s="2"/>
      <c r="E4975" s="2"/>
      <c r="F4975" s="14"/>
      <c r="G4975" s="2"/>
      <c r="H4975" s="2"/>
    </row>
    <row r="4976">
      <c r="A4976" s="2"/>
      <c r="B4976" s="13"/>
      <c r="C4976" s="2"/>
      <c r="D4976" s="2"/>
      <c r="E4976" s="2"/>
      <c r="F4976" s="14"/>
      <c r="G4976" s="2"/>
      <c r="H4976" s="2"/>
    </row>
    <row r="4977">
      <c r="A4977" s="2"/>
      <c r="B4977" s="13"/>
      <c r="C4977" s="2"/>
      <c r="D4977" s="2"/>
      <c r="E4977" s="2"/>
      <c r="F4977" s="14"/>
      <c r="G4977" s="2"/>
      <c r="H4977" s="2"/>
    </row>
    <row r="4978">
      <c r="A4978" s="2"/>
      <c r="B4978" s="13"/>
      <c r="C4978" s="2"/>
      <c r="D4978" s="2"/>
      <c r="E4978" s="2"/>
      <c r="F4978" s="14"/>
      <c r="G4978" s="2"/>
      <c r="H4978" s="2"/>
    </row>
    <row r="4979">
      <c r="A4979" s="2"/>
      <c r="B4979" s="13"/>
      <c r="C4979" s="2"/>
      <c r="D4979" s="2"/>
      <c r="E4979" s="2"/>
      <c r="F4979" s="14"/>
      <c r="G4979" s="2"/>
      <c r="H4979" s="2"/>
    </row>
    <row r="4980">
      <c r="A4980" s="2"/>
      <c r="B4980" s="13"/>
      <c r="C4980" s="2"/>
      <c r="D4980" s="2"/>
      <c r="E4980" s="2"/>
      <c r="F4980" s="14"/>
      <c r="G4980" s="2"/>
      <c r="H4980" s="2"/>
    </row>
    <row r="4981">
      <c r="A4981" s="2"/>
      <c r="B4981" s="13"/>
      <c r="C4981" s="2"/>
      <c r="D4981" s="2"/>
      <c r="E4981" s="2"/>
      <c r="F4981" s="14"/>
      <c r="G4981" s="2"/>
      <c r="H4981" s="2"/>
    </row>
    <row r="4982">
      <c r="A4982" s="2"/>
      <c r="B4982" s="13"/>
      <c r="C4982" s="2"/>
      <c r="D4982" s="2"/>
      <c r="E4982" s="2"/>
      <c r="F4982" s="14"/>
      <c r="G4982" s="2"/>
      <c r="H4982" s="2"/>
    </row>
    <row r="4983">
      <c r="A4983" s="2"/>
      <c r="B4983" s="13"/>
      <c r="C4983" s="2"/>
      <c r="D4983" s="2"/>
      <c r="E4983" s="2"/>
      <c r="F4983" s="14"/>
      <c r="G4983" s="2"/>
      <c r="H4983" s="2"/>
    </row>
    <row r="4984">
      <c r="A4984" s="2"/>
      <c r="B4984" s="13"/>
      <c r="C4984" s="2"/>
      <c r="D4984" s="2"/>
      <c r="E4984" s="2"/>
      <c r="F4984" s="14"/>
      <c r="G4984" s="2"/>
      <c r="H4984" s="2"/>
    </row>
    <row r="4985">
      <c r="A4985" s="2"/>
      <c r="B4985" s="13"/>
      <c r="C4985" s="2"/>
      <c r="D4985" s="2"/>
      <c r="E4985" s="2"/>
      <c r="F4985" s="14"/>
      <c r="G4985" s="2"/>
      <c r="H4985" s="2"/>
    </row>
    <row r="4986">
      <c r="A4986" s="2"/>
      <c r="B4986" s="13"/>
      <c r="C4986" s="2"/>
      <c r="D4986" s="2"/>
      <c r="E4986" s="2"/>
      <c r="F4986" s="14"/>
      <c r="G4986" s="2"/>
      <c r="H4986" s="2"/>
    </row>
    <row r="4987">
      <c r="A4987" s="2"/>
      <c r="B4987" s="13"/>
      <c r="C4987" s="2"/>
      <c r="D4987" s="2"/>
      <c r="E4987" s="2"/>
      <c r="F4987" s="14"/>
      <c r="G4987" s="2"/>
      <c r="H4987" s="2"/>
    </row>
    <row r="4988">
      <c r="A4988" s="2"/>
      <c r="B4988" s="13"/>
      <c r="C4988" s="2"/>
      <c r="D4988" s="2"/>
      <c r="E4988" s="2"/>
      <c r="F4988" s="14"/>
      <c r="G4988" s="2"/>
      <c r="H4988" s="2"/>
    </row>
    <row r="4989">
      <c r="A4989" s="2"/>
      <c r="B4989" s="13"/>
      <c r="C4989" s="2"/>
      <c r="D4989" s="2"/>
      <c r="E4989" s="2"/>
      <c r="F4989" s="14"/>
      <c r="G4989" s="2"/>
      <c r="H4989" s="2"/>
    </row>
    <row r="4990">
      <c r="A4990" s="2"/>
      <c r="B4990" s="13"/>
      <c r="C4990" s="2"/>
      <c r="D4990" s="2"/>
      <c r="E4990" s="2"/>
      <c r="F4990" s="14"/>
      <c r="G4990" s="2"/>
      <c r="H4990" s="2"/>
    </row>
    <row r="4991">
      <c r="A4991" s="2"/>
      <c r="B4991" s="13"/>
      <c r="C4991" s="2"/>
      <c r="D4991" s="2"/>
      <c r="E4991" s="2"/>
      <c r="F4991" s="14"/>
      <c r="G4991" s="2"/>
      <c r="H4991" s="2"/>
    </row>
    <row r="4992">
      <c r="A4992" s="2"/>
      <c r="B4992" s="13"/>
      <c r="C4992" s="2"/>
      <c r="D4992" s="2"/>
      <c r="E4992" s="2"/>
      <c r="F4992" s="14"/>
      <c r="G4992" s="2"/>
      <c r="H4992" s="2"/>
    </row>
    <row r="4993">
      <c r="A4993" s="2"/>
      <c r="B4993" s="13"/>
      <c r="C4993" s="2"/>
      <c r="D4993" s="2"/>
      <c r="E4993" s="2"/>
      <c r="F4993" s="14"/>
      <c r="G4993" s="2"/>
      <c r="H4993" s="2"/>
    </row>
    <row r="4994">
      <c r="A4994" s="2"/>
      <c r="B4994" s="13"/>
      <c r="C4994" s="2"/>
      <c r="D4994" s="2"/>
      <c r="E4994" s="2"/>
      <c r="F4994" s="14"/>
      <c r="G4994" s="2"/>
      <c r="H4994" s="2"/>
    </row>
    <row r="4995">
      <c r="A4995" s="2"/>
      <c r="B4995" s="13"/>
      <c r="C4995" s="2"/>
      <c r="D4995" s="2"/>
      <c r="E4995" s="2"/>
      <c r="F4995" s="14"/>
      <c r="G4995" s="2"/>
      <c r="H4995" s="2"/>
    </row>
    <row r="4996">
      <c r="A4996" s="2"/>
      <c r="B4996" s="13"/>
      <c r="C4996" s="2"/>
      <c r="D4996" s="2"/>
      <c r="E4996" s="2"/>
      <c r="F4996" s="14"/>
      <c r="G4996" s="2"/>
      <c r="H4996" s="2"/>
    </row>
    <row r="4997">
      <c r="A4997" s="2"/>
      <c r="B4997" s="13"/>
      <c r="C4997" s="2"/>
      <c r="D4997" s="2"/>
      <c r="E4997" s="2"/>
      <c r="F4997" s="14"/>
      <c r="G4997" s="2"/>
      <c r="H4997" s="2"/>
    </row>
    <row r="4998">
      <c r="A4998" s="2"/>
      <c r="B4998" s="13"/>
      <c r="C4998" s="2"/>
      <c r="D4998" s="2"/>
      <c r="E4998" s="2"/>
      <c r="F4998" s="14"/>
      <c r="G4998" s="2"/>
      <c r="H4998" s="2"/>
    </row>
    <row r="4999">
      <c r="A4999" s="2"/>
      <c r="B4999" s="13"/>
      <c r="C4999" s="2"/>
      <c r="D4999" s="2"/>
      <c r="E4999" s="2"/>
      <c r="F4999" s="14"/>
      <c r="G4999" s="2"/>
      <c r="H4999" s="2"/>
    </row>
    <row r="5000">
      <c r="A5000" s="2"/>
      <c r="B5000" s="13"/>
      <c r="C5000" s="2"/>
      <c r="D5000" s="2"/>
      <c r="E5000" s="2"/>
      <c r="F5000" s="14"/>
      <c r="G5000" s="2"/>
      <c r="H5000" s="2"/>
    </row>
    <row r="5001">
      <c r="A5001" s="2"/>
      <c r="B5001" s="13"/>
      <c r="C5001" s="2"/>
      <c r="D5001" s="2"/>
      <c r="E5001" s="2"/>
      <c r="F5001" s="14"/>
      <c r="G5001" s="2"/>
      <c r="H5001" s="2"/>
    </row>
    <row r="5002">
      <c r="A5002" s="2"/>
      <c r="B5002" s="13"/>
      <c r="C5002" s="2"/>
      <c r="D5002" s="2"/>
      <c r="E5002" s="2"/>
      <c r="F5002" s="14"/>
      <c r="G5002" s="2"/>
      <c r="H5002" s="2"/>
    </row>
    <row r="5003">
      <c r="A5003" s="2"/>
      <c r="B5003" s="13"/>
      <c r="C5003" s="2"/>
      <c r="D5003" s="2"/>
      <c r="E5003" s="2"/>
      <c r="F5003" s="14"/>
      <c r="G5003" s="2"/>
      <c r="H5003" s="2"/>
    </row>
    <row r="5004">
      <c r="A5004" s="2"/>
      <c r="B5004" s="13"/>
      <c r="C5004" s="2"/>
      <c r="D5004" s="2"/>
      <c r="E5004" s="2"/>
      <c r="F5004" s="14"/>
      <c r="G5004" s="2"/>
      <c r="H5004" s="2"/>
    </row>
    <row r="5005">
      <c r="A5005" s="2"/>
      <c r="B5005" s="13"/>
      <c r="C5005" s="2"/>
      <c r="D5005" s="2"/>
      <c r="E5005" s="2"/>
      <c r="F5005" s="14"/>
      <c r="G5005" s="2"/>
      <c r="H5005" s="2"/>
    </row>
    <row r="5006">
      <c r="A5006" s="2"/>
      <c r="B5006" s="13"/>
      <c r="C5006" s="2"/>
      <c r="D5006" s="2"/>
      <c r="E5006" s="2"/>
      <c r="F5006" s="14"/>
      <c r="G5006" s="2"/>
      <c r="H5006" s="2"/>
    </row>
    <row r="5007">
      <c r="A5007" s="2"/>
      <c r="B5007" s="13"/>
      <c r="C5007" s="2"/>
      <c r="D5007" s="2"/>
      <c r="E5007" s="2"/>
      <c r="F5007" s="14"/>
      <c r="G5007" s="2"/>
      <c r="H5007" s="2"/>
    </row>
    <row r="5008">
      <c r="A5008" s="2"/>
      <c r="B5008" s="13"/>
      <c r="C5008" s="2"/>
      <c r="D5008" s="2"/>
      <c r="E5008" s="2"/>
      <c r="F5008" s="14"/>
      <c r="G5008" s="2"/>
      <c r="H5008" s="2"/>
    </row>
    <row r="5009">
      <c r="A5009" s="2"/>
      <c r="B5009" s="13"/>
      <c r="C5009" s="2"/>
      <c r="D5009" s="2"/>
      <c r="E5009" s="2"/>
      <c r="F5009" s="14"/>
      <c r="G5009" s="2"/>
      <c r="H5009" s="2"/>
    </row>
    <row r="5010">
      <c r="A5010" s="2"/>
      <c r="B5010" s="13"/>
      <c r="C5010" s="2"/>
      <c r="D5010" s="2"/>
      <c r="E5010" s="2"/>
      <c r="F5010" s="14"/>
      <c r="G5010" s="2"/>
      <c r="H5010" s="2"/>
    </row>
    <row r="5011">
      <c r="A5011" s="2"/>
      <c r="B5011" s="13"/>
      <c r="C5011" s="2"/>
      <c r="D5011" s="2"/>
      <c r="E5011" s="2"/>
      <c r="F5011" s="14"/>
      <c r="G5011" s="2"/>
      <c r="H5011" s="2"/>
    </row>
    <row r="5012">
      <c r="A5012" s="2"/>
      <c r="B5012" s="13"/>
      <c r="C5012" s="2"/>
      <c r="D5012" s="2"/>
      <c r="E5012" s="2"/>
      <c r="F5012" s="14"/>
      <c r="G5012" s="2"/>
      <c r="H5012" s="2"/>
    </row>
    <row r="5013">
      <c r="A5013" s="2"/>
      <c r="B5013" s="13"/>
      <c r="C5013" s="2"/>
      <c r="D5013" s="2"/>
      <c r="E5013" s="2"/>
      <c r="F5013" s="14"/>
      <c r="G5013" s="2"/>
      <c r="H5013" s="2"/>
    </row>
    <row r="5014">
      <c r="A5014" s="2"/>
      <c r="B5014" s="13"/>
      <c r="C5014" s="2"/>
      <c r="D5014" s="2"/>
      <c r="E5014" s="2"/>
      <c r="F5014" s="14"/>
      <c r="G5014" s="2"/>
      <c r="H5014" s="2"/>
    </row>
    <row r="5015">
      <c r="A5015" s="2"/>
      <c r="B5015" s="13"/>
      <c r="C5015" s="2"/>
      <c r="D5015" s="2"/>
      <c r="E5015" s="2"/>
      <c r="F5015" s="14"/>
      <c r="G5015" s="2"/>
      <c r="H5015" s="2"/>
    </row>
    <row r="5016">
      <c r="A5016" s="2"/>
      <c r="B5016" s="13"/>
      <c r="C5016" s="2"/>
      <c r="D5016" s="2"/>
      <c r="E5016" s="2"/>
      <c r="F5016" s="14"/>
      <c r="G5016" s="2"/>
      <c r="H5016" s="2"/>
    </row>
    <row r="5017">
      <c r="A5017" s="2"/>
      <c r="B5017" s="13"/>
      <c r="C5017" s="2"/>
      <c r="D5017" s="2"/>
      <c r="E5017" s="2"/>
      <c r="F5017" s="14"/>
      <c r="G5017" s="2"/>
      <c r="H5017" s="2"/>
    </row>
    <row r="5018">
      <c r="A5018" s="2"/>
      <c r="B5018" s="13"/>
      <c r="C5018" s="2"/>
      <c r="D5018" s="2"/>
      <c r="E5018" s="2"/>
      <c r="F5018" s="14"/>
      <c r="G5018" s="2"/>
      <c r="H5018" s="2"/>
    </row>
    <row r="5019">
      <c r="A5019" s="2"/>
      <c r="B5019" s="13"/>
      <c r="C5019" s="2"/>
      <c r="D5019" s="2"/>
      <c r="E5019" s="2"/>
      <c r="F5019" s="14"/>
      <c r="G5019" s="2"/>
      <c r="H5019" s="2"/>
    </row>
    <row r="5020">
      <c r="A5020" s="2"/>
      <c r="B5020" s="13"/>
      <c r="C5020" s="2"/>
      <c r="D5020" s="2"/>
      <c r="E5020" s="2"/>
      <c r="F5020" s="14"/>
      <c r="G5020" s="2"/>
      <c r="H5020" s="2"/>
    </row>
    <row r="5021">
      <c r="A5021" s="2"/>
      <c r="B5021" s="13"/>
      <c r="C5021" s="2"/>
      <c r="D5021" s="2"/>
      <c r="E5021" s="2"/>
      <c r="F5021" s="14"/>
      <c r="G5021" s="2"/>
      <c r="H5021" s="2"/>
    </row>
    <row r="5022">
      <c r="A5022" s="2"/>
      <c r="B5022" s="13"/>
      <c r="C5022" s="2"/>
      <c r="D5022" s="2"/>
      <c r="E5022" s="2"/>
      <c r="F5022" s="14"/>
      <c r="G5022" s="2"/>
      <c r="H5022" s="2"/>
    </row>
    <row r="5023">
      <c r="A5023" s="2"/>
      <c r="B5023" s="13"/>
      <c r="C5023" s="2"/>
      <c r="D5023" s="2"/>
      <c r="E5023" s="2"/>
      <c r="F5023" s="14"/>
      <c r="G5023" s="2"/>
      <c r="H5023" s="2"/>
    </row>
    <row r="5024">
      <c r="A5024" s="2"/>
      <c r="B5024" s="13"/>
      <c r="C5024" s="2"/>
      <c r="D5024" s="2"/>
      <c r="E5024" s="2"/>
      <c r="F5024" s="14"/>
      <c r="G5024" s="2"/>
      <c r="H5024" s="2"/>
    </row>
    <row r="5025">
      <c r="A5025" s="2"/>
      <c r="B5025" s="13"/>
      <c r="C5025" s="2"/>
      <c r="D5025" s="2"/>
      <c r="E5025" s="2"/>
      <c r="F5025" s="14"/>
      <c r="G5025" s="2"/>
      <c r="H5025" s="2"/>
    </row>
    <row r="5026">
      <c r="A5026" s="2"/>
      <c r="B5026" s="13"/>
      <c r="C5026" s="2"/>
      <c r="D5026" s="2"/>
      <c r="E5026" s="2"/>
      <c r="F5026" s="14"/>
      <c r="G5026" s="2"/>
      <c r="H5026" s="2"/>
    </row>
    <row r="5027">
      <c r="A5027" s="2"/>
      <c r="B5027" s="13"/>
      <c r="C5027" s="2"/>
      <c r="D5027" s="2"/>
      <c r="E5027" s="2"/>
      <c r="F5027" s="14"/>
      <c r="G5027" s="2"/>
      <c r="H5027" s="2"/>
    </row>
    <row r="5028">
      <c r="A5028" s="2"/>
      <c r="B5028" s="13"/>
      <c r="C5028" s="2"/>
      <c r="D5028" s="2"/>
      <c r="E5028" s="2"/>
      <c r="F5028" s="14"/>
      <c r="G5028" s="2"/>
      <c r="H5028" s="2"/>
    </row>
    <row r="5029">
      <c r="A5029" s="2"/>
      <c r="B5029" s="13"/>
      <c r="C5029" s="2"/>
      <c r="D5029" s="2"/>
      <c r="E5029" s="2"/>
      <c r="F5029" s="14"/>
      <c r="G5029" s="2"/>
      <c r="H5029" s="2"/>
    </row>
    <row r="5030">
      <c r="A5030" s="2"/>
      <c r="B5030" s="13"/>
      <c r="C5030" s="2"/>
      <c r="D5030" s="2"/>
      <c r="E5030" s="2"/>
      <c r="F5030" s="14"/>
      <c r="G5030" s="2"/>
      <c r="H5030" s="2"/>
    </row>
    <row r="5031">
      <c r="A5031" s="2"/>
      <c r="B5031" s="13"/>
      <c r="C5031" s="2"/>
      <c r="D5031" s="2"/>
      <c r="E5031" s="2"/>
      <c r="F5031" s="14"/>
      <c r="G5031" s="2"/>
      <c r="H5031" s="2"/>
    </row>
    <row r="5032">
      <c r="A5032" s="2"/>
      <c r="B5032" s="13"/>
      <c r="C5032" s="2"/>
      <c r="D5032" s="2"/>
      <c r="E5032" s="2"/>
      <c r="F5032" s="14"/>
      <c r="G5032" s="2"/>
      <c r="H5032" s="2"/>
    </row>
    <row r="5033">
      <c r="A5033" s="2"/>
      <c r="B5033" s="13"/>
      <c r="C5033" s="2"/>
      <c r="D5033" s="2"/>
      <c r="E5033" s="2"/>
      <c r="F5033" s="14"/>
      <c r="G5033" s="2"/>
      <c r="H5033" s="2"/>
    </row>
    <row r="5034">
      <c r="A5034" s="2"/>
      <c r="B5034" s="13"/>
      <c r="C5034" s="2"/>
      <c r="D5034" s="2"/>
      <c r="E5034" s="2"/>
      <c r="F5034" s="14"/>
      <c r="G5034" s="2"/>
      <c r="H5034" s="2"/>
    </row>
    <row r="5035">
      <c r="A5035" s="2"/>
      <c r="B5035" s="13"/>
      <c r="C5035" s="2"/>
      <c r="D5035" s="2"/>
      <c r="E5035" s="2"/>
      <c r="F5035" s="14"/>
      <c r="G5035" s="2"/>
      <c r="H5035" s="2"/>
    </row>
    <row r="5036">
      <c r="A5036" s="2"/>
      <c r="B5036" s="13"/>
      <c r="C5036" s="2"/>
      <c r="D5036" s="2"/>
      <c r="E5036" s="2"/>
      <c r="F5036" s="14"/>
      <c r="G5036" s="2"/>
      <c r="H5036" s="2"/>
    </row>
    <row r="5037">
      <c r="A5037" s="2"/>
      <c r="B5037" s="13"/>
      <c r="C5037" s="2"/>
      <c r="D5037" s="2"/>
      <c r="E5037" s="2"/>
      <c r="F5037" s="14"/>
      <c r="G5037" s="2"/>
      <c r="H5037" s="2"/>
    </row>
    <row r="5038">
      <c r="A5038" s="2"/>
      <c r="B5038" s="13"/>
      <c r="C5038" s="2"/>
      <c r="D5038" s="2"/>
      <c r="E5038" s="2"/>
      <c r="F5038" s="14"/>
      <c r="G5038" s="2"/>
      <c r="H5038" s="2"/>
    </row>
    <row r="5039">
      <c r="A5039" s="2"/>
      <c r="B5039" s="13"/>
      <c r="C5039" s="2"/>
      <c r="D5039" s="2"/>
      <c r="E5039" s="2"/>
      <c r="F5039" s="14"/>
      <c r="G5039" s="2"/>
      <c r="H5039" s="2"/>
    </row>
    <row r="5040">
      <c r="A5040" s="2"/>
      <c r="B5040" s="13"/>
      <c r="C5040" s="2"/>
      <c r="D5040" s="2"/>
      <c r="E5040" s="2"/>
      <c r="F5040" s="14"/>
      <c r="G5040" s="2"/>
      <c r="H5040" s="2"/>
    </row>
    <row r="5041">
      <c r="A5041" s="2"/>
      <c r="B5041" s="13"/>
      <c r="C5041" s="2"/>
      <c r="D5041" s="2"/>
      <c r="E5041" s="2"/>
      <c r="F5041" s="14"/>
      <c r="G5041" s="2"/>
      <c r="H5041" s="2"/>
    </row>
    <row r="5042">
      <c r="A5042" s="2"/>
      <c r="B5042" s="13"/>
      <c r="C5042" s="2"/>
      <c r="D5042" s="2"/>
      <c r="E5042" s="2"/>
      <c r="F5042" s="14"/>
      <c r="G5042" s="2"/>
      <c r="H5042" s="2"/>
    </row>
    <row r="5043">
      <c r="A5043" s="2"/>
      <c r="B5043" s="13"/>
      <c r="C5043" s="2"/>
      <c r="D5043" s="2"/>
      <c r="E5043" s="2"/>
      <c r="F5043" s="14"/>
      <c r="G5043" s="2"/>
      <c r="H5043" s="2"/>
    </row>
    <row r="5044">
      <c r="A5044" s="2"/>
      <c r="B5044" s="13"/>
      <c r="C5044" s="2"/>
      <c r="D5044" s="2"/>
      <c r="E5044" s="2"/>
      <c r="F5044" s="14"/>
      <c r="G5044" s="2"/>
      <c r="H5044" s="2"/>
    </row>
    <row r="5045">
      <c r="A5045" s="2"/>
      <c r="B5045" s="13"/>
      <c r="C5045" s="2"/>
      <c r="D5045" s="2"/>
      <c r="E5045" s="2"/>
      <c r="F5045" s="14"/>
      <c r="G5045" s="2"/>
      <c r="H5045" s="2"/>
    </row>
    <row r="5046">
      <c r="A5046" s="2"/>
      <c r="B5046" s="13"/>
      <c r="C5046" s="2"/>
      <c r="D5046" s="2"/>
      <c r="E5046" s="2"/>
      <c r="F5046" s="14"/>
      <c r="G5046" s="2"/>
      <c r="H5046" s="2"/>
    </row>
    <row r="5047">
      <c r="A5047" s="2"/>
      <c r="B5047" s="13"/>
      <c r="C5047" s="2"/>
      <c r="D5047" s="2"/>
      <c r="E5047" s="2"/>
      <c r="F5047" s="14"/>
      <c r="G5047" s="2"/>
      <c r="H5047" s="2"/>
    </row>
    <row r="5048">
      <c r="A5048" s="2"/>
      <c r="B5048" s="13"/>
      <c r="C5048" s="2"/>
      <c r="D5048" s="2"/>
      <c r="E5048" s="2"/>
      <c r="F5048" s="14"/>
      <c r="G5048" s="2"/>
      <c r="H5048" s="2"/>
    </row>
    <row r="5049">
      <c r="A5049" s="2"/>
      <c r="B5049" s="13"/>
      <c r="C5049" s="2"/>
      <c r="D5049" s="2"/>
      <c r="E5049" s="2"/>
      <c r="F5049" s="14"/>
      <c r="G5049" s="2"/>
      <c r="H5049" s="2"/>
    </row>
    <row r="5050">
      <c r="A5050" s="2"/>
      <c r="B5050" s="13"/>
      <c r="C5050" s="2"/>
      <c r="D5050" s="2"/>
      <c r="E5050" s="2"/>
      <c r="F5050" s="14"/>
      <c r="G5050" s="2"/>
      <c r="H5050" s="2"/>
    </row>
    <row r="5051">
      <c r="A5051" s="2"/>
      <c r="B5051" s="13"/>
      <c r="C5051" s="2"/>
      <c r="D5051" s="2"/>
      <c r="E5051" s="2"/>
      <c r="F5051" s="14"/>
      <c r="G5051" s="2"/>
      <c r="H5051" s="2"/>
    </row>
    <row r="5052">
      <c r="A5052" s="2"/>
      <c r="B5052" s="13"/>
      <c r="C5052" s="2"/>
      <c r="D5052" s="2"/>
      <c r="E5052" s="2"/>
      <c r="F5052" s="14"/>
      <c r="G5052" s="2"/>
      <c r="H5052" s="2"/>
    </row>
    <row r="5053">
      <c r="A5053" s="2"/>
      <c r="B5053" s="13"/>
      <c r="C5053" s="2"/>
      <c r="D5053" s="2"/>
      <c r="E5053" s="2"/>
      <c r="F5053" s="14"/>
      <c r="G5053" s="2"/>
      <c r="H5053" s="2"/>
    </row>
    <row r="5054">
      <c r="A5054" s="2"/>
      <c r="B5054" s="13"/>
      <c r="C5054" s="2"/>
      <c r="D5054" s="2"/>
      <c r="E5054" s="2"/>
      <c r="F5054" s="14"/>
      <c r="G5054" s="2"/>
      <c r="H5054" s="2"/>
    </row>
    <row r="5055">
      <c r="A5055" s="2"/>
      <c r="B5055" s="13"/>
      <c r="C5055" s="2"/>
      <c r="D5055" s="2"/>
      <c r="E5055" s="2"/>
      <c r="F5055" s="14"/>
      <c r="G5055" s="2"/>
      <c r="H5055" s="2"/>
    </row>
    <row r="5056">
      <c r="A5056" s="2"/>
      <c r="B5056" s="13"/>
      <c r="C5056" s="2"/>
      <c r="D5056" s="2"/>
      <c r="E5056" s="2"/>
      <c r="F5056" s="14"/>
      <c r="G5056" s="2"/>
      <c r="H5056" s="2"/>
    </row>
    <row r="5057">
      <c r="A5057" s="2"/>
      <c r="B5057" s="13"/>
      <c r="C5057" s="2"/>
      <c r="D5057" s="2"/>
      <c r="E5057" s="2"/>
      <c r="F5057" s="14"/>
      <c r="G5057" s="2"/>
      <c r="H5057" s="2"/>
    </row>
    <row r="5058">
      <c r="A5058" s="2"/>
      <c r="B5058" s="13"/>
      <c r="C5058" s="2"/>
      <c r="D5058" s="2"/>
      <c r="E5058" s="2"/>
      <c r="F5058" s="14"/>
      <c r="G5058" s="2"/>
      <c r="H5058" s="2"/>
    </row>
    <row r="5059">
      <c r="A5059" s="2"/>
      <c r="B5059" s="13"/>
      <c r="C5059" s="2"/>
      <c r="D5059" s="2"/>
      <c r="E5059" s="2"/>
      <c r="F5059" s="14"/>
      <c r="G5059" s="2"/>
      <c r="H5059" s="2"/>
    </row>
    <row r="5060">
      <c r="A5060" s="2"/>
      <c r="B5060" s="13"/>
      <c r="C5060" s="2"/>
      <c r="D5060" s="2"/>
      <c r="E5060" s="2"/>
      <c r="F5060" s="14"/>
      <c r="G5060" s="2"/>
      <c r="H5060" s="2"/>
    </row>
    <row r="5061">
      <c r="A5061" s="2"/>
      <c r="B5061" s="13"/>
      <c r="C5061" s="2"/>
      <c r="D5061" s="2"/>
      <c r="E5061" s="2"/>
      <c r="F5061" s="14"/>
      <c r="G5061" s="2"/>
      <c r="H5061" s="2"/>
    </row>
    <row r="5062">
      <c r="A5062" s="2"/>
      <c r="B5062" s="13"/>
      <c r="C5062" s="2"/>
      <c r="D5062" s="2"/>
      <c r="E5062" s="2"/>
      <c r="F5062" s="14"/>
      <c r="G5062" s="2"/>
      <c r="H5062" s="2"/>
    </row>
    <row r="5063">
      <c r="A5063" s="2"/>
      <c r="B5063" s="13"/>
      <c r="C5063" s="2"/>
      <c r="D5063" s="2"/>
      <c r="E5063" s="2"/>
      <c r="F5063" s="14"/>
      <c r="G5063" s="2"/>
      <c r="H5063" s="2"/>
    </row>
    <row r="5064">
      <c r="A5064" s="2"/>
      <c r="B5064" s="13"/>
      <c r="C5064" s="2"/>
      <c r="D5064" s="2"/>
      <c r="E5064" s="2"/>
      <c r="F5064" s="14"/>
      <c r="G5064" s="2"/>
      <c r="H5064" s="2"/>
    </row>
    <row r="5065">
      <c r="A5065" s="2"/>
      <c r="B5065" s="13"/>
      <c r="C5065" s="2"/>
      <c r="D5065" s="2"/>
      <c r="E5065" s="2"/>
      <c r="F5065" s="14"/>
      <c r="G5065" s="2"/>
      <c r="H5065" s="2"/>
    </row>
    <row r="5066">
      <c r="A5066" s="2"/>
      <c r="B5066" s="13"/>
      <c r="C5066" s="2"/>
      <c r="D5066" s="2"/>
      <c r="E5066" s="2"/>
      <c r="F5066" s="14"/>
      <c r="G5066" s="2"/>
      <c r="H5066" s="2"/>
    </row>
    <row r="5067">
      <c r="A5067" s="2"/>
      <c r="B5067" s="13"/>
      <c r="C5067" s="2"/>
      <c r="D5067" s="2"/>
      <c r="E5067" s="2"/>
      <c r="F5067" s="14"/>
      <c r="G5067" s="2"/>
      <c r="H5067" s="2"/>
    </row>
    <row r="5068">
      <c r="A5068" s="2"/>
      <c r="B5068" s="13"/>
      <c r="C5068" s="2"/>
      <c r="D5068" s="2"/>
      <c r="E5068" s="2"/>
      <c r="F5068" s="14"/>
      <c r="G5068" s="2"/>
      <c r="H5068" s="2"/>
    </row>
    <row r="5069">
      <c r="A5069" s="2"/>
      <c r="B5069" s="13"/>
      <c r="C5069" s="2"/>
      <c r="D5069" s="2"/>
      <c r="E5069" s="2"/>
      <c r="F5069" s="14"/>
      <c r="G5069" s="2"/>
      <c r="H5069" s="2"/>
    </row>
    <row r="5070">
      <c r="A5070" s="2"/>
      <c r="B5070" s="13"/>
      <c r="C5070" s="2"/>
      <c r="D5070" s="2"/>
      <c r="E5070" s="2"/>
      <c r="F5070" s="14"/>
      <c r="G5070" s="2"/>
      <c r="H5070" s="2"/>
    </row>
    <row r="5071">
      <c r="A5071" s="2"/>
      <c r="B5071" s="13"/>
      <c r="C5071" s="2"/>
      <c r="D5071" s="2"/>
      <c r="E5071" s="2"/>
      <c r="F5071" s="14"/>
      <c r="G5071" s="2"/>
      <c r="H5071" s="2"/>
    </row>
    <row r="5072">
      <c r="A5072" s="2"/>
      <c r="B5072" s="13"/>
      <c r="C5072" s="2"/>
      <c r="D5072" s="2"/>
      <c r="E5072" s="2"/>
      <c r="F5072" s="14"/>
      <c r="G5072" s="2"/>
      <c r="H5072" s="2"/>
    </row>
    <row r="5073">
      <c r="A5073" s="2"/>
      <c r="B5073" s="13"/>
      <c r="C5073" s="2"/>
      <c r="D5073" s="2"/>
      <c r="E5073" s="2"/>
      <c r="F5073" s="14"/>
      <c r="G5073" s="2"/>
      <c r="H5073" s="2"/>
    </row>
    <row r="5074">
      <c r="A5074" s="2"/>
      <c r="B5074" s="13"/>
      <c r="C5074" s="2"/>
      <c r="D5074" s="2"/>
      <c r="E5074" s="2"/>
      <c r="F5074" s="14"/>
      <c r="G5074" s="2"/>
      <c r="H5074" s="2"/>
    </row>
    <row r="5075">
      <c r="A5075" s="2"/>
      <c r="B5075" s="13"/>
      <c r="C5075" s="2"/>
      <c r="D5075" s="2"/>
      <c r="E5075" s="2"/>
      <c r="F5075" s="14"/>
      <c r="G5075" s="2"/>
      <c r="H5075" s="2"/>
    </row>
    <row r="5076">
      <c r="A5076" s="2"/>
      <c r="B5076" s="13"/>
      <c r="C5076" s="2"/>
      <c r="D5076" s="2"/>
      <c r="E5076" s="2"/>
      <c r="F5076" s="14"/>
      <c r="G5076" s="2"/>
      <c r="H5076" s="2"/>
    </row>
    <row r="5077">
      <c r="A5077" s="2"/>
      <c r="B5077" s="13"/>
      <c r="C5077" s="2"/>
      <c r="D5077" s="2"/>
      <c r="E5077" s="2"/>
      <c r="F5077" s="14"/>
      <c r="G5077" s="2"/>
      <c r="H5077" s="2"/>
    </row>
    <row r="5078">
      <c r="A5078" s="2"/>
      <c r="B5078" s="13"/>
      <c r="C5078" s="2"/>
      <c r="D5078" s="2"/>
      <c r="E5078" s="2"/>
      <c r="F5078" s="14"/>
      <c r="G5078" s="2"/>
      <c r="H5078" s="2"/>
    </row>
    <row r="5079">
      <c r="A5079" s="2"/>
      <c r="B5079" s="13"/>
      <c r="C5079" s="2"/>
      <c r="D5079" s="2"/>
      <c r="E5079" s="2"/>
      <c r="F5079" s="14"/>
      <c r="G5079" s="2"/>
      <c r="H5079" s="2"/>
    </row>
    <row r="5080">
      <c r="A5080" s="2"/>
      <c r="B5080" s="13"/>
      <c r="C5080" s="2"/>
      <c r="D5080" s="2"/>
      <c r="E5080" s="2"/>
      <c r="F5080" s="14"/>
      <c r="G5080" s="2"/>
      <c r="H5080" s="2"/>
    </row>
    <row r="5081">
      <c r="A5081" s="2"/>
      <c r="B5081" s="13"/>
      <c r="C5081" s="2"/>
      <c r="D5081" s="2"/>
      <c r="E5081" s="2"/>
      <c r="F5081" s="14"/>
      <c r="G5081" s="2"/>
      <c r="H5081" s="2"/>
    </row>
    <row r="5082">
      <c r="A5082" s="2"/>
      <c r="B5082" s="13"/>
      <c r="C5082" s="2"/>
      <c r="D5082" s="2"/>
      <c r="E5082" s="2"/>
      <c r="F5082" s="14"/>
      <c r="G5082" s="2"/>
      <c r="H5082" s="2"/>
    </row>
    <row r="5083">
      <c r="A5083" s="2"/>
      <c r="B5083" s="13"/>
      <c r="C5083" s="2"/>
      <c r="D5083" s="2"/>
      <c r="E5083" s="2"/>
      <c r="F5083" s="14"/>
      <c r="G5083" s="2"/>
      <c r="H5083" s="2"/>
    </row>
    <row r="5084">
      <c r="A5084" s="2"/>
      <c r="B5084" s="13"/>
      <c r="C5084" s="2"/>
      <c r="D5084" s="2"/>
      <c r="E5084" s="2"/>
      <c r="F5084" s="14"/>
      <c r="G5084" s="2"/>
      <c r="H5084" s="2"/>
    </row>
    <row r="5085">
      <c r="A5085" s="2"/>
      <c r="B5085" s="13"/>
      <c r="C5085" s="2"/>
      <c r="D5085" s="2"/>
      <c r="E5085" s="2"/>
      <c r="F5085" s="14"/>
      <c r="G5085" s="2"/>
      <c r="H5085" s="2"/>
    </row>
    <row r="5086">
      <c r="A5086" s="2"/>
      <c r="B5086" s="13"/>
      <c r="C5086" s="2"/>
      <c r="D5086" s="2"/>
      <c r="E5086" s="2"/>
      <c r="F5086" s="14"/>
      <c r="G5086" s="2"/>
      <c r="H5086" s="2"/>
    </row>
    <row r="5087">
      <c r="A5087" s="2"/>
      <c r="B5087" s="13"/>
      <c r="C5087" s="2"/>
      <c r="D5087" s="2"/>
      <c r="E5087" s="2"/>
      <c r="F5087" s="14"/>
      <c r="G5087" s="2"/>
      <c r="H5087" s="2"/>
    </row>
    <row r="5088">
      <c r="A5088" s="2"/>
      <c r="B5088" s="13"/>
      <c r="C5088" s="2"/>
      <c r="D5088" s="2"/>
      <c r="E5088" s="2"/>
      <c r="F5088" s="14"/>
      <c r="G5088" s="2"/>
      <c r="H5088" s="2"/>
    </row>
    <row r="5089">
      <c r="A5089" s="2"/>
      <c r="B5089" s="13"/>
      <c r="C5089" s="2"/>
      <c r="D5089" s="2"/>
      <c r="E5089" s="2"/>
      <c r="F5089" s="14"/>
      <c r="G5089" s="2"/>
      <c r="H5089" s="2"/>
    </row>
    <row r="5090">
      <c r="A5090" s="2"/>
      <c r="B5090" s="13"/>
      <c r="C5090" s="2"/>
      <c r="D5090" s="2"/>
      <c r="E5090" s="2"/>
      <c r="F5090" s="14"/>
      <c r="G5090" s="2"/>
      <c r="H5090" s="2"/>
    </row>
    <row r="5091">
      <c r="A5091" s="2"/>
      <c r="B5091" s="13"/>
      <c r="C5091" s="2"/>
      <c r="D5091" s="2"/>
      <c r="E5091" s="2"/>
      <c r="F5091" s="14"/>
      <c r="G5091" s="2"/>
      <c r="H5091" s="2"/>
    </row>
    <row r="5092">
      <c r="A5092" s="2"/>
      <c r="B5092" s="13"/>
      <c r="C5092" s="2"/>
      <c r="D5092" s="2"/>
      <c r="E5092" s="2"/>
      <c r="F5092" s="14"/>
      <c r="G5092" s="2"/>
      <c r="H5092" s="2"/>
    </row>
    <row r="5093">
      <c r="A5093" s="2"/>
      <c r="B5093" s="13"/>
      <c r="C5093" s="2"/>
      <c r="D5093" s="2"/>
      <c r="E5093" s="2"/>
      <c r="F5093" s="14"/>
      <c r="G5093" s="2"/>
      <c r="H5093" s="2"/>
    </row>
    <row r="5094">
      <c r="A5094" s="2"/>
      <c r="B5094" s="13"/>
      <c r="C5094" s="2"/>
      <c r="D5094" s="2"/>
      <c r="E5094" s="2"/>
      <c r="F5094" s="14"/>
      <c r="G5094" s="2"/>
      <c r="H5094" s="2"/>
    </row>
    <row r="5095">
      <c r="A5095" s="2"/>
      <c r="B5095" s="13"/>
      <c r="C5095" s="2"/>
      <c r="D5095" s="2"/>
      <c r="E5095" s="2"/>
      <c r="F5095" s="14"/>
      <c r="G5095" s="2"/>
      <c r="H5095" s="2"/>
    </row>
    <row r="5096">
      <c r="A5096" s="2"/>
      <c r="B5096" s="13"/>
      <c r="C5096" s="2"/>
      <c r="D5096" s="2"/>
      <c r="E5096" s="2"/>
      <c r="F5096" s="14"/>
      <c r="G5096" s="2"/>
      <c r="H5096" s="2"/>
    </row>
    <row r="5097">
      <c r="A5097" s="2"/>
      <c r="B5097" s="13"/>
      <c r="C5097" s="2"/>
      <c r="D5097" s="2"/>
      <c r="E5097" s="2"/>
      <c r="F5097" s="14"/>
      <c r="G5097" s="2"/>
      <c r="H5097" s="2"/>
    </row>
    <row r="5098">
      <c r="A5098" s="2"/>
      <c r="B5098" s="13"/>
      <c r="C5098" s="2"/>
      <c r="D5098" s="2"/>
      <c r="E5098" s="2"/>
      <c r="F5098" s="14"/>
      <c r="G5098" s="2"/>
      <c r="H5098" s="2"/>
    </row>
    <row r="5099">
      <c r="A5099" s="2"/>
      <c r="B5099" s="13"/>
      <c r="C5099" s="2"/>
      <c r="D5099" s="2"/>
      <c r="E5099" s="2"/>
      <c r="F5099" s="14"/>
      <c r="G5099" s="2"/>
      <c r="H5099" s="2"/>
    </row>
    <row r="5100">
      <c r="A5100" s="2"/>
      <c r="B5100" s="13"/>
      <c r="C5100" s="2"/>
      <c r="D5100" s="2"/>
      <c r="E5100" s="2"/>
      <c r="F5100" s="14"/>
      <c r="G5100" s="2"/>
      <c r="H5100" s="2"/>
    </row>
    <row r="5101">
      <c r="A5101" s="2"/>
      <c r="B5101" s="13"/>
      <c r="C5101" s="2"/>
      <c r="D5101" s="2"/>
      <c r="E5101" s="2"/>
      <c r="F5101" s="14"/>
      <c r="G5101" s="2"/>
      <c r="H5101" s="2"/>
    </row>
    <row r="5102">
      <c r="A5102" s="2"/>
      <c r="B5102" s="13"/>
      <c r="C5102" s="2"/>
      <c r="D5102" s="2"/>
      <c r="E5102" s="2"/>
      <c r="F5102" s="14"/>
      <c r="G5102" s="2"/>
      <c r="H5102" s="2"/>
    </row>
    <row r="5103">
      <c r="A5103" s="2"/>
      <c r="B5103" s="13"/>
      <c r="C5103" s="2"/>
      <c r="D5103" s="2"/>
      <c r="E5103" s="2"/>
      <c r="F5103" s="14"/>
      <c r="G5103" s="2"/>
      <c r="H5103" s="2"/>
    </row>
    <row r="5104">
      <c r="A5104" s="2"/>
      <c r="B5104" s="13"/>
      <c r="C5104" s="2"/>
      <c r="D5104" s="2"/>
      <c r="E5104" s="2"/>
      <c r="F5104" s="14"/>
      <c r="G5104" s="2"/>
      <c r="H5104" s="2"/>
    </row>
    <row r="5105">
      <c r="A5105" s="2"/>
      <c r="B5105" s="13"/>
      <c r="C5105" s="2"/>
      <c r="D5105" s="2"/>
      <c r="E5105" s="2"/>
      <c r="F5105" s="14"/>
      <c r="G5105" s="2"/>
      <c r="H5105" s="2"/>
    </row>
    <row r="5106">
      <c r="A5106" s="2"/>
      <c r="B5106" s="13"/>
      <c r="C5106" s="2"/>
      <c r="D5106" s="2"/>
      <c r="E5106" s="2"/>
      <c r="F5106" s="14"/>
      <c r="G5106" s="2"/>
      <c r="H5106" s="2"/>
    </row>
    <row r="5107">
      <c r="A5107" s="2"/>
      <c r="B5107" s="13"/>
      <c r="C5107" s="2"/>
      <c r="D5107" s="2"/>
      <c r="E5107" s="2"/>
      <c r="F5107" s="14"/>
      <c r="G5107" s="2"/>
      <c r="H5107" s="2"/>
    </row>
    <row r="5108">
      <c r="A5108" s="2"/>
      <c r="B5108" s="13"/>
      <c r="C5108" s="2"/>
      <c r="D5108" s="2"/>
      <c r="E5108" s="2"/>
      <c r="F5108" s="14"/>
      <c r="G5108" s="2"/>
      <c r="H5108" s="2"/>
    </row>
    <row r="5109">
      <c r="A5109" s="2"/>
      <c r="B5109" s="13"/>
      <c r="C5109" s="2"/>
      <c r="D5109" s="2"/>
      <c r="E5109" s="2"/>
      <c r="F5109" s="14"/>
      <c r="G5109" s="2"/>
      <c r="H5109" s="2"/>
    </row>
    <row r="5110">
      <c r="A5110" s="2"/>
      <c r="B5110" s="13"/>
      <c r="C5110" s="2"/>
      <c r="D5110" s="2"/>
      <c r="E5110" s="2"/>
      <c r="F5110" s="14"/>
      <c r="G5110" s="2"/>
      <c r="H5110" s="2"/>
    </row>
    <row r="5111">
      <c r="A5111" s="2"/>
      <c r="B5111" s="13"/>
      <c r="C5111" s="2"/>
      <c r="D5111" s="2"/>
      <c r="E5111" s="2"/>
      <c r="F5111" s="14"/>
      <c r="G5111" s="2"/>
      <c r="H5111" s="2"/>
    </row>
    <row r="5112">
      <c r="A5112" s="2"/>
      <c r="B5112" s="13"/>
      <c r="C5112" s="2"/>
      <c r="D5112" s="2"/>
      <c r="E5112" s="2"/>
      <c r="F5112" s="14"/>
      <c r="G5112" s="2"/>
      <c r="H5112" s="2"/>
    </row>
    <row r="5113">
      <c r="A5113" s="2"/>
      <c r="B5113" s="13"/>
      <c r="C5113" s="2"/>
      <c r="D5113" s="2"/>
      <c r="E5113" s="2"/>
      <c r="F5113" s="14"/>
      <c r="G5113" s="2"/>
      <c r="H5113" s="2"/>
    </row>
    <row r="5114">
      <c r="A5114" s="2"/>
      <c r="B5114" s="13"/>
      <c r="C5114" s="2"/>
      <c r="D5114" s="2"/>
      <c r="E5114" s="2"/>
      <c r="F5114" s="14"/>
      <c r="G5114" s="2"/>
      <c r="H5114" s="2"/>
    </row>
    <row r="5115">
      <c r="A5115" s="2"/>
      <c r="B5115" s="13"/>
      <c r="C5115" s="2"/>
      <c r="D5115" s="2"/>
      <c r="E5115" s="2"/>
      <c r="F5115" s="14"/>
      <c r="G5115" s="2"/>
      <c r="H5115" s="2"/>
    </row>
    <row r="5116">
      <c r="A5116" s="2"/>
      <c r="B5116" s="13"/>
      <c r="C5116" s="2"/>
      <c r="D5116" s="2"/>
      <c r="E5116" s="2"/>
      <c r="F5116" s="14"/>
      <c r="G5116" s="2"/>
      <c r="H5116" s="2"/>
    </row>
    <row r="5117">
      <c r="A5117" s="2"/>
      <c r="B5117" s="13"/>
      <c r="C5117" s="2"/>
      <c r="D5117" s="2"/>
      <c r="E5117" s="2"/>
      <c r="F5117" s="14"/>
      <c r="G5117" s="2"/>
      <c r="H5117" s="2"/>
    </row>
    <row r="5118">
      <c r="A5118" s="2"/>
      <c r="B5118" s="13"/>
      <c r="C5118" s="2"/>
      <c r="D5118" s="2"/>
      <c r="E5118" s="2"/>
      <c r="F5118" s="14"/>
      <c r="G5118" s="2"/>
      <c r="H5118" s="2"/>
    </row>
    <row r="5119">
      <c r="A5119" s="2"/>
      <c r="B5119" s="13"/>
      <c r="C5119" s="2"/>
      <c r="D5119" s="2"/>
      <c r="E5119" s="2"/>
      <c r="F5119" s="14"/>
      <c r="G5119" s="2"/>
      <c r="H5119" s="2"/>
    </row>
    <row r="5120">
      <c r="A5120" s="2"/>
      <c r="B5120" s="13"/>
      <c r="C5120" s="2"/>
      <c r="D5120" s="2"/>
      <c r="E5120" s="2"/>
      <c r="F5120" s="14"/>
      <c r="G5120" s="2"/>
      <c r="H5120" s="2"/>
    </row>
    <row r="5121">
      <c r="A5121" s="2"/>
      <c r="B5121" s="13"/>
      <c r="C5121" s="2"/>
      <c r="D5121" s="2"/>
      <c r="E5121" s="2"/>
      <c r="F5121" s="14"/>
      <c r="G5121" s="2"/>
      <c r="H5121" s="2"/>
    </row>
    <row r="5122">
      <c r="A5122" s="2"/>
      <c r="B5122" s="13"/>
      <c r="C5122" s="2"/>
      <c r="D5122" s="2"/>
      <c r="E5122" s="2"/>
      <c r="F5122" s="14"/>
      <c r="G5122" s="2"/>
      <c r="H5122" s="2"/>
    </row>
    <row r="5123">
      <c r="A5123" s="2"/>
      <c r="B5123" s="13"/>
      <c r="C5123" s="2"/>
      <c r="D5123" s="2"/>
      <c r="E5123" s="2"/>
      <c r="F5123" s="14"/>
      <c r="G5123" s="2"/>
      <c r="H5123" s="2"/>
    </row>
    <row r="5124">
      <c r="A5124" s="2"/>
      <c r="B5124" s="13"/>
      <c r="C5124" s="2"/>
      <c r="D5124" s="2"/>
      <c r="E5124" s="2"/>
      <c r="F5124" s="14"/>
      <c r="G5124" s="2"/>
      <c r="H5124" s="2"/>
    </row>
    <row r="5125">
      <c r="A5125" s="2"/>
      <c r="B5125" s="13"/>
      <c r="C5125" s="2"/>
      <c r="D5125" s="2"/>
      <c r="E5125" s="2"/>
      <c r="F5125" s="14"/>
      <c r="G5125" s="2"/>
      <c r="H5125" s="2"/>
    </row>
    <row r="5126">
      <c r="A5126" s="2"/>
      <c r="B5126" s="13"/>
      <c r="C5126" s="2"/>
      <c r="D5126" s="2"/>
      <c r="E5126" s="2"/>
      <c r="F5126" s="14"/>
      <c r="G5126" s="2"/>
      <c r="H5126" s="2"/>
    </row>
    <row r="5127">
      <c r="A5127" s="2"/>
      <c r="B5127" s="13"/>
      <c r="C5127" s="2"/>
      <c r="D5127" s="2"/>
      <c r="E5127" s="2"/>
      <c r="F5127" s="14"/>
      <c r="G5127" s="2"/>
      <c r="H5127" s="2"/>
    </row>
    <row r="5128">
      <c r="A5128" s="2"/>
      <c r="B5128" s="13"/>
      <c r="C5128" s="2"/>
      <c r="D5128" s="2"/>
      <c r="E5128" s="2"/>
      <c r="F5128" s="14"/>
      <c r="G5128" s="2"/>
      <c r="H5128" s="2"/>
    </row>
    <row r="5129">
      <c r="A5129" s="2"/>
      <c r="B5129" s="13"/>
      <c r="C5129" s="2"/>
      <c r="D5129" s="2"/>
      <c r="E5129" s="2"/>
      <c r="F5129" s="14"/>
      <c r="G5129" s="2"/>
      <c r="H5129" s="2"/>
    </row>
    <row r="5130">
      <c r="A5130" s="2"/>
      <c r="B5130" s="13"/>
      <c r="C5130" s="2"/>
      <c r="D5130" s="2"/>
      <c r="E5130" s="2"/>
      <c r="F5130" s="14"/>
      <c r="G5130" s="2"/>
      <c r="H5130" s="2"/>
    </row>
    <row r="5131">
      <c r="A5131" s="2"/>
      <c r="B5131" s="13"/>
      <c r="C5131" s="2"/>
      <c r="D5131" s="2"/>
      <c r="E5131" s="2"/>
      <c r="F5131" s="14"/>
      <c r="G5131" s="2"/>
      <c r="H5131" s="2"/>
    </row>
    <row r="5132">
      <c r="A5132" s="2"/>
      <c r="B5132" s="13"/>
      <c r="C5132" s="2"/>
      <c r="D5132" s="2"/>
      <c r="E5132" s="2"/>
      <c r="F5132" s="14"/>
      <c r="G5132" s="2"/>
      <c r="H5132" s="2"/>
    </row>
    <row r="5133">
      <c r="A5133" s="2"/>
      <c r="B5133" s="13"/>
      <c r="C5133" s="2"/>
      <c r="D5133" s="2"/>
      <c r="E5133" s="2"/>
      <c r="F5133" s="14"/>
      <c r="G5133" s="2"/>
      <c r="H5133" s="2"/>
    </row>
    <row r="5134">
      <c r="A5134" s="2"/>
      <c r="B5134" s="13"/>
      <c r="C5134" s="2"/>
      <c r="D5134" s="2"/>
      <c r="E5134" s="2"/>
      <c r="F5134" s="14"/>
      <c r="G5134" s="2"/>
      <c r="H5134" s="2"/>
    </row>
    <row r="5135">
      <c r="A5135" s="2"/>
      <c r="B5135" s="13"/>
      <c r="C5135" s="2"/>
      <c r="D5135" s="2"/>
      <c r="E5135" s="2"/>
      <c r="F5135" s="14"/>
      <c r="G5135" s="2"/>
      <c r="H5135" s="2"/>
    </row>
    <row r="5136">
      <c r="A5136" s="2"/>
      <c r="B5136" s="13"/>
      <c r="C5136" s="2"/>
      <c r="D5136" s="2"/>
      <c r="E5136" s="2"/>
      <c r="F5136" s="14"/>
      <c r="G5136" s="2"/>
      <c r="H5136" s="2"/>
    </row>
    <row r="5137">
      <c r="A5137" s="2"/>
      <c r="B5137" s="13"/>
      <c r="C5137" s="2"/>
      <c r="D5137" s="2"/>
      <c r="E5137" s="2"/>
      <c r="F5137" s="14"/>
      <c r="G5137" s="2"/>
      <c r="H5137" s="2"/>
    </row>
    <row r="5138">
      <c r="A5138" s="2"/>
      <c r="B5138" s="13"/>
      <c r="C5138" s="2"/>
      <c r="D5138" s="2"/>
      <c r="E5138" s="2"/>
      <c r="F5138" s="14"/>
      <c r="G5138" s="2"/>
      <c r="H5138" s="2"/>
    </row>
    <row r="5139">
      <c r="A5139" s="2"/>
      <c r="B5139" s="13"/>
      <c r="C5139" s="2"/>
      <c r="D5139" s="2"/>
      <c r="E5139" s="2"/>
      <c r="F5139" s="14"/>
      <c r="G5139" s="2"/>
      <c r="H5139" s="2"/>
    </row>
    <row r="5140">
      <c r="A5140" s="2"/>
      <c r="B5140" s="13"/>
      <c r="C5140" s="2"/>
      <c r="D5140" s="2"/>
      <c r="E5140" s="2"/>
      <c r="F5140" s="14"/>
      <c r="G5140" s="2"/>
      <c r="H5140" s="2"/>
    </row>
    <row r="5141">
      <c r="A5141" s="2"/>
      <c r="B5141" s="13"/>
      <c r="C5141" s="2"/>
      <c r="D5141" s="2"/>
      <c r="E5141" s="2"/>
      <c r="F5141" s="14"/>
      <c r="G5141" s="2"/>
      <c r="H5141" s="2"/>
    </row>
    <row r="5142">
      <c r="A5142" s="2"/>
      <c r="B5142" s="13"/>
      <c r="C5142" s="2"/>
      <c r="D5142" s="2"/>
      <c r="E5142" s="2"/>
      <c r="F5142" s="14"/>
      <c r="G5142" s="2"/>
      <c r="H5142" s="2"/>
    </row>
    <row r="5143">
      <c r="A5143" s="2"/>
      <c r="B5143" s="13"/>
      <c r="C5143" s="2"/>
      <c r="D5143" s="2"/>
      <c r="E5143" s="2"/>
      <c r="F5143" s="14"/>
      <c r="G5143" s="2"/>
      <c r="H5143" s="2"/>
    </row>
    <row r="5144">
      <c r="A5144" s="2"/>
      <c r="B5144" s="13"/>
      <c r="C5144" s="2"/>
      <c r="D5144" s="2"/>
      <c r="E5144" s="2"/>
      <c r="F5144" s="14"/>
      <c r="G5144" s="2"/>
      <c r="H5144" s="2"/>
    </row>
    <row r="5145">
      <c r="A5145" s="2"/>
      <c r="B5145" s="13"/>
      <c r="C5145" s="2"/>
      <c r="D5145" s="2"/>
      <c r="E5145" s="2"/>
      <c r="F5145" s="14"/>
      <c r="G5145" s="2"/>
      <c r="H5145" s="2"/>
    </row>
    <row r="5146">
      <c r="A5146" s="2"/>
      <c r="B5146" s="13"/>
      <c r="C5146" s="2"/>
      <c r="D5146" s="2"/>
      <c r="E5146" s="2"/>
      <c r="F5146" s="14"/>
      <c r="G5146" s="2"/>
      <c r="H5146" s="2"/>
    </row>
    <row r="5147">
      <c r="A5147" s="2"/>
      <c r="B5147" s="13"/>
      <c r="C5147" s="2"/>
      <c r="D5147" s="2"/>
      <c r="E5147" s="2"/>
      <c r="F5147" s="14"/>
      <c r="G5147" s="2"/>
      <c r="H5147" s="2"/>
    </row>
    <row r="5148">
      <c r="A5148" s="2"/>
      <c r="B5148" s="13"/>
      <c r="C5148" s="2"/>
      <c r="D5148" s="2"/>
      <c r="E5148" s="2"/>
      <c r="F5148" s="14"/>
      <c r="G5148" s="2"/>
      <c r="H5148" s="2"/>
    </row>
    <row r="5149">
      <c r="A5149" s="2"/>
      <c r="B5149" s="13"/>
      <c r="C5149" s="2"/>
      <c r="D5149" s="2"/>
      <c r="E5149" s="2"/>
      <c r="F5149" s="14"/>
      <c r="G5149" s="2"/>
      <c r="H5149" s="2"/>
    </row>
    <row r="5150">
      <c r="A5150" s="2"/>
      <c r="B5150" s="13"/>
      <c r="C5150" s="2"/>
      <c r="D5150" s="2"/>
      <c r="E5150" s="2"/>
      <c r="F5150" s="14"/>
      <c r="G5150" s="2"/>
      <c r="H5150" s="2"/>
    </row>
    <row r="5151">
      <c r="A5151" s="2"/>
      <c r="B5151" s="13"/>
      <c r="C5151" s="2"/>
      <c r="D5151" s="2"/>
      <c r="E5151" s="2"/>
      <c r="F5151" s="14"/>
      <c r="G5151" s="2"/>
      <c r="H5151" s="2"/>
    </row>
    <row r="5152">
      <c r="A5152" s="2"/>
      <c r="B5152" s="13"/>
      <c r="C5152" s="2"/>
      <c r="D5152" s="2"/>
      <c r="E5152" s="2"/>
      <c r="F5152" s="14"/>
      <c r="G5152" s="2"/>
      <c r="H5152" s="2"/>
    </row>
    <row r="5153">
      <c r="A5153" s="2"/>
      <c r="B5153" s="13"/>
      <c r="C5153" s="2"/>
      <c r="D5153" s="2"/>
      <c r="E5153" s="2"/>
      <c r="F5153" s="14"/>
      <c r="G5153" s="2"/>
      <c r="H5153" s="2"/>
    </row>
    <row r="5154">
      <c r="A5154" s="2"/>
      <c r="B5154" s="13"/>
      <c r="C5154" s="2"/>
      <c r="D5154" s="2"/>
      <c r="E5154" s="2"/>
      <c r="F5154" s="14"/>
      <c r="G5154" s="2"/>
      <c r="H5154" s="2"/>
    </row>
    <row r="5155">
      <c r="A5155" s="2"/>
      <c r="B5155" s="13"/>
      <c r="C5155" s="2"/>
      <c r="D5155" s="2"/>
      <c r="E5155" s="2"/>
      <c r="F5155" s="14"/>
      <c r="G5155" s="2"/>
      <c r="H5155" s="2"/>
    </row>
    <row r="5156">
      <c r="A5156" s="2"/>
      <c r="B5156" s="13"/>
      <c r="C5156" s="2"/>
      <c r="D5156" s="2"/>
      <c r="E5156" s="2"/>
      <c r="F5156" s="14"/>
      <c r="G5156" s="2"/>
      <c r="H5156" s="2"/>
    </row>
    <row r="5157">
      <c r="A5157" s="2"/>
      <c r="B5157" s="13"/>
      <c r="C5157" s="2"/>
      <c r="D5157" s="2"/>
      <c r="E5157" s="2"/>
      <c r="F5157" s="14"/>
      <c r="G5157" s="2"/>
      <c r="H5157" s="2"/>
    </row>
    <row r="5158">
      <c r="A5158" s="2"/>
      <c r="B5158" s="13"/>
      <c r="C5158" s="2"/>
      <c r="D5158" s="2"/>
      <c r="E5158" s="2"/>
      <c r="F5158" s="14"/>
      <c r="G5158" s="2"/>
      <c r="H5158" s="2"/>
    </row>
    <row r="5159">
      <c r="A5159" s="2"/>
      <c r="B5159" s="13"/>
      <c r="C5159" s="2"/>
      <c r="D5159" s="2"/>
      <c r="E5159" s="2"/>
      <c r="F5159" s="14"/>
      <c r="G5159" s="2"/>
      <c r="H5159" s="2"/>
    </row>
    <row r="5160">
      <c r="A5160" s="2"/>
      <c r="B5160" s="13"/>
      <c r="C5160" s="2"/>
      <c r="D5160" s="2"/>
      <c r="E5160" s="2"/>
      <c r="F5160" s="14"/>
      <c r="G5160" s="2"/>
      <c r="H5160" s="2"/>
    </row>
    <row r="5161">
      <c r="A5161" s="2"/>
      <c r="B5161" s="13"/>
      <c r="C5161" s="2"/>
      <c r="D5161" s="2"/>
      <c r="E5161" s="2"/>
      <c r="F5161" s="14"/>
      <c r="G5161" s="2"/>
      <c r="H5161" s="2"/>
    </row>
    <row r="5162">
      <c r="A5162" s="2"/>
      <c r="B5162" s="13"/>
      <c r="C5162" s="2"/>
      <c r="D5162" s="2"/>
      <c r="E5162" s="2"/>
      <c r="F5162" s="14"/>
      <c r="G5162" s="2"/>
      <c r="H5162" s="2"/>
    </row>
    <row r="5163">
      <c r="A5163" s="2"/>
      <c r="B5163" s="13"/>
      <c r="C5163" s="2"/>
      <c r="D5163" s="2"/>
      <c r="E5163" s="2"/>
      <c r="F5163" s="14"/>
      <c r="G5163" s="2"/>
      <c r="H5163" s="2"/>
    </row>
    <row r="5164">
      <c r="A5164" s="2"/>
      <c r="B5164" s="13"/>
      <c r="C5164" s="2"/>
      <c r="D5164" s="2"/>
      <c r="E5164" s="2"/>
      <c r="F5164" s="14"/>
      <c r="G5164" s="2"/>
      <c r="H5164" s="2"/>
    </row>
    <row r="5165">
      <c r="A5165" s="2"/>
      <c r="B5165" s="13"/>
      <c r="C5165" s="2"/>
      <c r="D5165" s="2"/>
      <c r="E5165" s="2"/>
      <c r="F5165" s="14"/>
      <c r="G5165" s="2"/>
      <c r="H5165" s="2"/>
    </row>
    <row r="5166">
      <c r="A5166" s="2"/>
      <c r="B5166" s="13"/>
      <c r="C5166" s="2"/>
      <c r="D5166" s="2"/>
      <c r="E5166" s="2"/>
      <c r="F5166" s="14"/>
      <c r="G5166" s="2"/>
      <c r="H5166" s="2"/>
    </row>
    <row r="5167">
      <c r="A5167" s="2"/>
      <c r="B5167" s="13"/>
      <c r="C5167" s="2"/>
      <c r="D5167" s="2"/>
      <c r="E5167" s="2"/>
      <c r="F5167" s="14"/>
      <c r="G5167" s="2"/>
      <c r="H5167" s="2"/>
    </row>
    <row r="5168">
      <c r="A5168" s="2"/>
      <c r="B5168" s="13"/>
      <c r="C5168" s="2"/>
      <c r="D5168" s="2"/>
      <c r="E5168" s="2"/>
      <c r="F5168" s="14"/>
      <c r="G5168" s="2"/>
      <c r="H5168" s="2"/>
    </row>
    <row r="5169">
      <c r="A5169" s="2"/>
      <c r="B5169" s="13"/>
      <c r="C5169" s="2"/>
      <c r="D5169" s="2"/>
      <c r="E5169" s="2"/>
      <c r="F5169" s="14"/>
      <c r="G5169" s="2"/>
      <c r="H5169" s="2"/>
    </row>
    <row r="5170">
      <c r="A5170" s="2"/>
      <c r="B5170" s="13"/>
      <c r="C5170" s="2"/>
      <c r="D5170" s="2"/>
      <c r="E5170" s="2"/>
      <c r="F5170" s="14"/>
      <c r="G5170" s="2"/>
      <c r="H5170" s="2"/>
    </row>
    <row r="5171">
      <c r="A5171" s="2"/>
      <c r="B5171" s="13"/>
      <c r="C5171" s="2"/>
      <c r="D5171" s="2"/>
      <c r="E5171" s="2"/>
      <c r="F5171" s="14"/>
      <c r="G5171" s="2"/>
      <c r="H5171" s="2"/>
    </row>
    <row r="5172">
      <c r="A5172" s="2"/>
      <c r="B5172" s="13"/>
      <c r="C5172" s="2"/>
      <c r="D5172" s="2"/>
      <c r="E5172" s="2"/>
      <c r="F5172" s="14"/>
      <c r="G5172" s="2"/>
      <c r="H5172" s="2"/>
    </row>
    <row r="5173">
      <c r="A5173" s="2"/>
      <c r="B5173" s="13"/>
      <c r="C5173" s="2"/>
      <c r="D5173" s="2"/>
      <c r="E5173" s="2"/>
      <c r="F5173" s="14"/>
      <c r="G5173" s="2"/>
      <c r="H5173" s="2"/>
    </row>
    <row r="5174">
      <c r="A5174" s="2"/>
      <c r="B5174" s="13"/>
      <c r="C5174" s="2"/>
      <c r="D5174" s="2"/>
      <c r="E5174" s="2"/>
      <c r="F5174" s="14"/>
      <c r="G5174" s="2"/>
      <c r="H5174" s="2"/>
    </row>
    <row r="5175">
      <c r="A5175" s="2"/>
      <c r="B5175" s="13"/>
      <c r="C5175" s="2"/>
      <c r="D5175" s="2"/>
      <c r="E5175" s="2"/>
      <c r="F5175" s="14"/>
      <c r="G5175" s="2"/>
      <c r="H5175" s="2"/>
    </row>
    <row r="5176">
      <c r="A5176" s="2"/>
      <c r="B5176" s="13"/>
      <c r="C5176" s="2"/>
      <c r="D5176" s="2"/>
      <c r="E5176" s="2"/>
      <c r="F5176" s="14"/>
      <c r="G5176" s="2"/>
      <c r="H5176" s="2"/>
    </row>
    <row r="5177">
      <c r="A5177" s="2"/>
      <c r="B5177" s="13"/>
      <c r="C5177" s="2"/>
      <c r="D5177" s="2"/>
      <c r="E5177" s="2"/>
      <c r="F5177" s="14"/>
      <c r="G5177" s="2"/>
      <c r="H5177" s="2"/>
    </row>
    <row r="5178">
      <c r="A5178" s="2"/>
      <c r="B5178" s="13"/>
      <c r="C5178" s="2"/>
      <c r="D5178" s="2"/>
      <c r="E5178" s="2"/>
      <c r="F5178" s="14"/>
      <c r="G5178" s="2"/>
      <c r="H5178" s="2"/>
    </row>
    <row r="5179">
      <c r="A5179" s="2"/>
      <c r="B5179" s="13"/>
      <c r="C5179" s="2"/>
      <c r="D5179" s="2"/>
      <c r="E5179" s="2"/>
      <c r="F5179" s="14"/>
      <c r="G5179" s="2"/>
      <c r="H5179" s="2"/>
    </row>
    <row r="5180">
      <c r="A5180" s="2"/>
      <c r="B5180" s="13"/>
      <c r="C5180" s="2"/>
      <c r="D5180" s="2"/>
      <c r="E5180" s="2"/>
      <c r="F5180" s="14"/>
      <c r="G5180" s="2"/>
      <c r="H5180" s="2"/>
    </row>
    <row r="5181">
      <c r="A5181" s="2"/>
      <c r="B5181" s="13"/>
      <c r="C5181" s="2"/>
      <c r="D5181" s="2"/>
      <c r="E5181" s="2"/>
      <c r="F5181" s="14"/>
      <c r="G5181" s="2"/>
      <c r="H5181" s="2"/>
    </row>
    <row r="5182">
      <c r="A5182" s="2"/>
      <c r="B5182" s="13"/>
      <c r="C5182" s="2"/>
      <c r="D5182" s="2"/>
      <c r="E5182" s="2"/>
      <c r="F5182" s="14"/>
      <c r="G5182" s="2"/>
      <c r="H5182" s="2"/>
    </row>
    <row r="5183">
      <c r="A5183" s="2"/>
      <c r="B5183" s="13"/>
      <c r="C5183" s="2"/>
      <c r="D5183" s="2"/>
      <c r="E5183" s="2"/>
      <c r="F5183" s="14"/>
      <c r="G5183" s="2"/>
      <c r="H5183" s="2"/>
    </row>
    <row r="5184">
      <c r="A5184" s="2"/>
      <c r="B5184" s="13"/>
      <c r="C5184" s="2"/>
      <c r="D5184" s="2"/>
      <c r="E5184" s="2"/>
      <c r="F5184" s="14"/>
      <c r="G5184" s="2"/>
      <c r="H5184" s="2"/>
    </row>
    <row r="5185">
      <c r="A5185" s="2"/>
      <c r="B5185" s="13"/>
      <c r="C5185" s="2"/>
      <c r="D5185" s="2"/>
      <c r="E5185" s="2"/>
      <c r="F5185" s="14"/>
      <c r="G5185" s="2"/>
      <c r="H5185" s="2"/>
    </row>
    <row r="5186">
      <c r="A5186" s="2"/>
      <c r="B5186" s="13"/>
      <c r="C5186" s="2"/>
      <c r="D5186" s="2"/>
      <c r="E5186" s="2"/>
      <c r="F5186" s="14"/>
      <c r="G5186" s="2"/>
      <c r="H5186" s="2"/>
    </row>
    <row r="5187">
      <c r="A5187" s="2"/>
      <c r="B5187" s="13"/>
      <c r="C5187" s="2"/>
      <c r="D5187" s="2"/>
      <c r="E5187" s="2"/>
      <c r="F5187" s="14"/>
      <c r="G5187" s="2"/>
      <c r="H5187" s="2"/>
    </row>
    <row r="5188">
      <c r="A5188" s="2"/>
      <c r="B5188" s="13"/>
      <c r="C5188" s="2"/>
      <c r="D5188" s="2"/>
      <c r="E5188" s="2"/>
      <c r="F5188" s="14"/>
      <c r="G5188" s="2"/>
      <c r="H5188" s="2"/>
    </row>
    <row r="5189">
      <c r="A5189" s="2"/>
      <c r="B5189" s="13"/>
      <c r="C5189" s="2"/>
      <c r="D5189" s="2"/>
      <c r="E5189" s="2"/>
      <c r="F5189" s="14"/>
      <c r="G5189" s="2"/>
      <c r="H5189" s="2"/>
    </row>
    <row r="5190">
      <c r="A5190" s="2"/>
      <c r="B5190" s="13"/>
      <c r="C5190" s="2"/>
      <c r="D5190" s="2"/>
      <c r="E5190" s="2"/>
      <c r="F5190" s="14"/>
      <c r="G5190" s="2"/>
      <c r="H5190" s="2"/>
    </row>
    <row r="5191">
      <c r="A5191" s="2"/>
      <c r="B5191" s="13"/>
      <c r="C5191" s="2"/>
      <c r="D5191" s="2"/>
      <c r="E5191" s="2"/>
      <c r="F5191" s="14"/>
      <c r="G5191" s="2"/>
      <c r="H5191" s="2"/>
    </row>
    <row r="5192">
      <c r="A5192" s="2"/>
      <c r="B5192" s="13"/>
      <c r="C5192" s="2"/>
      <c r="D5192" s="2"/>
      <c r="E5192" s="2"/>
      <c r="F5192" s="14"/>
      <c r="G5192" s="2"/>
      <c r="H5192" s="2"/>
    </row>
    <row r="5193">
      <c r="A5193" s="2"/>
      <c r="B5193" s="13"/>
      <c r="C5193" s="2"/>
      <c r="D5193" s="2"/>
      <c r="E5193" s="2"/>
      <c r="F5193" s="14"/>
      <c r="G5193" s="2"/>
      <c r="H5193" s="2"/>
    </row>
    <row r="5194">
      <c r="A5194" s="2"/>
      <c r="B5194" s="13"/>
      <c r="C5194" s="2"/>
      <c r="D5194" s="2"/>
      <c r="E5194" s="2"/>
      <c r="F5194" s="14"/>
      <c r="G5194" s="2"/>
      <c r="H5194" s="2"/>
    </row>
    <row r="5195">
      <c r="A5195" s="2"/>
      <c r="B5195" s="13"/>
      <c r="C5195" s="2"/>
      <c r="D5195" s="2"/>
      <c r="E5195" s="2"/>
      <c r="F5195" s="14"/>
      <c r="G5195" s="2"/>
      <c r="H5195" s="2"/>
    </row>
    <row r="5196">
      <c r="A5196" s="2"/>
      <c r="B5196" s="13"/>
      <c r="C5196" s="2"/>
      <c r="D5196" s="2"/>
      <c r="E5196" s="2"/>
      <c r="F5196" s="14"/>
      <c r="G5196" s="2"/>
      <c r="H5196" s="2"/>
    </row>
    <row r="5197">
      <c r="A5197" s="2"/>
      <c r="B5197" s="13"/>
      <c r="C5197" s="2"/>
      <c r="D5197" s="2"/>
      <c r="E5197" s="2"/>
      <c r="F5197" s="14"/>
      <c r="G5197" s="2"/>
      <c r="H5197" s="2"/>
    </row>
    <row r="5198">
      <c r="A5198" s="2"/>
      <c r="B5198" s="13"/>
      <c r="C5198" s="2"/>
      <c r="D5198" s="2"/>
      <c r="E5198" s="2"/>
      <c r="F5198" s="14"/>
      <c r="G5198" s="2"/>
      <c r="H5198" s="2"/>
    </row>
    <row r="5199">
      <c r="A5199" s="2"/>
      <c r="B5199" s="13"/>
      <c r="C5199" s="2"/>
      <c r="D5199" s="2"/>
      <c r="E5199" s="2"/>
      <c r="F5199" s="14"/>
      <c r="G5199" s="2"/>
      <c r="H5199" s="2"/>
    </row>
    <row r="5200">
      <c r="A5200" s="2"/>
      <c r="B5200" s="13"/>
      <c r="C5200" s="2"/>
      <c r="D5200" s="2"/>
      <c r="E5200" s="2"/>
      <c r="F5200" s="14"/>
      <c r="G5200" s="2"/>
      <c r="H5200" s="2"/>
    </row>
    <row r="5201">
      <c r="A5201" s="2"/>
      <c r="B5201" s="13"/>
      <c r="C5201" s="2"/>
      <c r="D5201" s="2"/>
      <c r="E5201" s="2"/>
      <c r="F5201" s="14"/>
      <c r="G5201" s="2"/>
      <c r="H5201" s="2"/>
    </row>
    <row r="5202">
      <c r="A5202" s="2"/>
      <c r="B5202" s="13"/>
      <c r="C5202" s="2"/>
      <c r="D5202" s="2"/>
      <c r="E5202" s="2"/>
      <c r="F5202" s="14"/>
      <c r="G5202" s="2"/>
      <c r="H5202" s="2"/>
    </row>
    <row r="5203">
      <c r="A5203" s="2"/>
      <c r="B5203" s="13"/>
      <c r="C5203" s="2"/>
      <c r="D5203" s="2"/>
      <c r="E5203" s="2"/>
      <c r="F5203" s="14"/>
      <c r="G5203" s="2"/>
      <c r="H5203" s="2"/>
    </row>
    <row r="5204">
      <c r="A5204" s="2"/>
      <c r="B5204" s="13"/>
      <c r="C5204" s="2"/>
      <c r="D5204" s="2"/>
      <c r="E5204" s="2"/>
      <c r="F5204" s="14"/>
      <c r="G5204" s="2"/>
      <c r="H5204" s="2"/>
    </row>
    <row r="5205">
      <c r="A5205" s="2"/>
      <c r="B5205" s="13"/>
      <c r="C5205" s="2"/>
      <c r="D5205" s="2"/>
      <c r="E5205" s="2"/>
      <c r="F5205" s="14"/>
      <c r="G5205" s="2"/>
      <c r="H5205" s="2"/>
    </row>
    <row r="5206">
      <c r="A5206" s="2"/>
      <c r="B5206" s="13"/>
      <c r="C5206" s="2"/>
      <c r="D5206" s="2"/>
      <c r="E5206" s="2"/>
      <c r="F5206" s="14"/>
      <c r="G5206" s="2"/>
      <c r="H5206" s="2"/>
    </row>
    <row r="5207">
      <c r="A5207" s="2"/>
      <c r="B5207" s="13"/>
      <c r="C5207" s="2"/>
      <c r="D5207" s="2"/>
      <c r="E5207" s="2"/>
      <c r="F5207" s="14"/>
      <c r="G5207" s="2"/>
      <c r="H5207" s="2"/>
    </row>
    <row r="5208">
      <c r="A5208" s="2"/>
      <c r="B5208" s="13"/>
      <c r="C5208" s="2"/>
      <c r="D5208" s="2"/>
      <c r="E5208" s="2"/>
      <c r="F5208" s="14"/>
      <c r="G5208" s="2"/>
      <c r="H5208" s="2"/>
    </row>
    <row r="5209">
      <c r="A5209" s="2"/>
      <c r="B5209" s="13"/>
      <c r="C5209" s="2"/>
      <c r="D5209" s="2"/>
      <c r="E5209" s="2"/>
      <c r="F5209" s="14"/>
      <c r="G5209" s="2"/>
      <c r="H5209" s="2"/>
    </row>
    <row r="5210">
      <c r="A5210" s="2"/>
      <c r="B5210" s="13"/>
      <c r="C5210" s="2"/>
      <c r="D5210" s="2"/>
      <c r="E5210" s="2"/>
      <c r="F5210" s="14"/>
      <c r="G5210" s="2"/>
      <c r="H5210" s="2"/>
    </row>
    <row r="5211">
      <c r="A5211" s="2"/>
      <c r="B5211" s="13"/>
      <c r="C5211" s="2"/>
      <c r="D5211" s="2"/>
      <c r="E5211" s="2"/>
      <c r="F5211" s="14"/>
      <c r="G5211" s="2"/>
      <c r="H5211" s="2"/>
    </row>
    <row r="5212">
      <c r="A5212" s="2"/>
      <c r="B5212" s="13"/>
      <c r="C5212" s="2"/>
      <c r="D5212" s="2"/>
      <c r="E5212" s="2"/>
      <c r="F5212" s="14"/>
      <c r="G5212" s="2"/>
      <c r="H5212" s="2"/>
    </row>
    <row r="5213">
      <c r="A5213" s="2"/>
      <c r="B5213" s="13"/>
      <c r="C5213" s="2"/>
      <c r="D5213" s="2"/>
      <c r="E5213" s="2"/>
      <c r="F5213" s="14"/>
      <c r="G5213" s="2"/>
      <c r="H5213" s="2"/>
    </row>
    <row r="5214">
      <c r="A5214" s="2"/>
      <c r="B5214" s="13"/>
      <c r="C5214" s="2"/>
      <c r="D5214" s="2"/>
      <c r="E5214" s="2"/>
      <c r="F5214" s="14"/>
      <c r="G5214" s="2"/>
      <c r="H5214" s="2"/>
    </row>
    <row r="5215">
      <c r="A5215" s="2"/>
      <c r="B5215" s="13"/>
      <c r="C5215" s="2"/>
      <c r="D5215" s="2"/>
      <c r="E5215" s="2"/>
      <c r="F5215" s="14"/>
      <c r="G5215" s="2"/>
      <c r="H5215" s="2"/>
    </row>
    <row r="5216">
      <c r="A5216" s="2"/>
      <c r="B5216" s="13"/>
      <c r="C5216" s="2"/>
      <c r="D5216" s="2"/>
      <c r="E5216" s="2"/>
      <c r="F5216" s="14"/>
      <c r="G5216" s="2"/>
      <c r="H5216" s="2"/>
    </row>
    <row r="5217">
      <c r="A5217" s="2"/>
      <c r="B5217" s="13"/>
      <c r="C5217" s="2"/>
      <c r="D5217" s="2"/>
      <c r="E5217" s="2"/>
      <c r="F5217" s="14"/>
      <c r="G5217" s="2"/>
      <c r="H5217" s="2"/>
    </row>
    <row r="5218">
      <c r="A5218" s="2"/>
      <c r="B5218" s="13"/>
      <c r="C5218" s="2"/>
      <c r="D5218" s="2"/>
      <c r="E5218" s="2"/>
      <c r="F5218" s="14"/>
      <c r="G5218" s="2"/>
      <c r="H5218" s="2"/>
    </row>
    <row r="5219">
      <c r="A5219" s="2"/>
      <c r="B5219" s="13"/>
      <c r="C5219" s="2"/>
      <c r="D5219" s="2"/>
      <c r="E5219" s="2"/>
      <c r="F5219" s="14"/>
      <c r="G5219" s="2"/>
      <c r="H5219" s="2"/>
    </row>
    <row r="5220">
      <c r="A5220" s="2"/>
      <c r="B5220" s="13"/>
      <c r="C5220" s="2"/>
      <c r="D5220" s="2"/>
      <c r="E5220" s="2"/>
      <c r="F5220" s="14"/>
      <c r="G5220" s="2"/>
      <c r="H5220" s="2"/>
    </row>
    <row r="5221">
      <c r="A5221" s="2"/>
      <c r="B5221" s="13"/>
      <c r="C5221" s="2"/>
      <c r="D5221" s="2"/>
      <c r="E5221" s="2"/>
      <c r="F5221" s="14"/>
      <c r="G5221" s="2"/>
      <c r="H5221" s="2"/>
    </row>
    <row r="5222">
      <c r="A5222" s="2"/>
      <c r="B5222" s="13"/>
      <c r="C5222" s="2"/>
      <c r="D5222" s="2"/>
      <c r="E5222" s="2"/>
      <c r="F5222" s="14"/>
      <c r="G5222" s="2"/>
      <c r="H5222" s="2"/>
    </row>
    <row r="5223">
      <c r="A5223" s="2"/>
      <c r="B5223" s="13"/>
      <c r="C5223" s="2"/>
      <c r="D5223" s="2"/>
      <c r="E5223" s="2"/>
      <c r="F5223" s="14"/>
      <c r="G5223" s="2"/>
      <c r="H5223" s="2"/>
    </row>
    <row r="5224">
      <c r="A5224" s="2"/>
      <c r="B5224" s="13"/>
      <c r="C5224" s="2"/>
      <c r="D5224" s="2"/>
      <c r="E5224" s="2"/>
      <c r="F5224" s="14"/>
      <c r="G5224" s="2"/>
      <c r="H5224" s="2"/>
    </row>
    <row r="5225">
      <c r="A5225" s="2"/>
      <c r="B5225" s="13"/>
      <c r="C5225" s="2"/>
      <c r="D5225" s="2"/>
      <c r="E5225" s="2"/>
      <c r="F5225" s="14"/>
      <c r="G5225" s="2"/>
      <c r="H5225" s="2"/>
    </row>
    <row r="5226">
      <c r="A5226" s="2"/>
      <c r="B5226" s="13"/>
      <c r="C5226" s="2"/>
      <c r="D5226" s="2"/>
      <c r="E5226" s="2"/>
      <c r="F5226" s="14"/>
      <c r="G5226" s="2"/>
      <c r="H5226" s="2"/>
    </row>
    <row r="5227">
      <c r="A5227" s="2"/>
      <c r="B5227" s="13"/>
      <c r="C5227" s="2"/>
      <c r="D5227" s="2"/>
      <c r="E5227" s="2"/>
      <c r="F5227" s="14"/>
      <c r="G5227" s="2"/>
      <c r="H5227" s="2"/>
    </row>
    <row r="5228">
      <c r="A5228" s="2"/>
      <c r="B5228" s="13"/>
      <c r="C5228" s="2"/>
      <c r="D5228" s="2"/>
      <c r="E5228" s="2"/>
      <c r="F5228" s="14"/>
      <c r="G5228" s="2"/>
      <c r="H5228" s="2"/>
    </row>
    <row r="5229">
      <c r="A5229" s="2"/>
      <c r="B5229" s="13"/>
      <c r="C5229" s="2"/>
      <c r="D5229" s="2"/>
      <c r="E5229" s="2"/>
      <c r="F5229" s="14"/>
      <c r="G5229" s="2"/>
      <c r="H5229" s="2"/>
    </row>
    <row r="5230">
      <c r="A5230" s="2"/>
      <c r="B5230" s="13"/>
      <c r="C5230" s="2"/>
      <c r="D5230" s="2"/>
      <c r="E5230" s="2"/>
      <c r="F5230" s="14"/>
      <c r="G5230" s="2"/>
      <c r="H5230" s="2"/>
    </row>
    <row r="5231">
      <c r="A5231" s="2"/>
      <c r="B5231" s="13"/>
      <c r="C5231" s="2"/>
      <c r="D5231" s="2"/>
      <c r="E5231" s="2"/>
      <c r="F5231" s="14"/>
      <c r="G5231" s="2"/>
      <c r="H5231" s="2"/>
    </row>
    <row r="5232">
      <c r="A5232" s="2"/>
      <c r="B5232" s="13"/>
      <c r="C5232" s="2"/>
      <c r="D5232" s="2"/>
      <c r="E5232" s="2"/>
      <c r="F5232" s="14"/>
      <c r="G5232" s="2"/>
      <c r="H5232" s="2"/>
    </row>
    <row r="5233">
      <c r="A5233" s="2"/>
      <c r="B5233" s="13"/>
      <c r="C5233" s="2"/>
      <c r="D5233" s="2"/>
      <c r="E5233" s="2"/>
      <c r="F5233" s="14"/>
      <c r="G5233" s="2"/>
      <c r="H5233" s="2"/>
    </row>
    <row r="5234">
      <c r="A5234" s="2"/>
      <c r="B5234" s="13"/>
      <c r="C5234" s="2"/>
      <c r="D5234" s="2"/>
      <c r="E5234" s="2"/>
      <c r="F5234" s="14"/>
      <c r="G5234" s="2"/>
      <c r="H5234" s="2"/>
    </row>
    <row r="5235">
      <c r="A5235" s="2"/>
      <c r="B5235" s="13"/>
      <c r="C5235" s="2"/>
      <c r="D5235" s="2"/>
      <c r="E5235" s="2"/>
      <c r="F5235" s="14"/>
      <c r="G5235" s="2"/>
      <c r="H5235" s="2"/>
    </row>
    <row r="5236">
      <c r="A5236" s="2"/>
      <c r="B5236" s="13"/>
      <c r="C5236" s="2"/>
      <c r="D5236" s="2"/>
      <c r="E5236" s="2"/>
      <c r="F5236" s="14"/>
      <c r="G5236" s="2"/>
      <c r="H5236" s="2"/>
    </row>
    <row r="5237">
      <c r="A5237" s="2"/>
      <c r="B5237" s="13"/>
      <c r="C5237" s="2"/>
      <c r="D5237" s="2"/>
      <c r="E5237" s="2"/>
      <c r="F5237" s="14"/>
      <c r="G5237" s="2"/>
      <c r="H5237" s="2"/>
    </row>
    <row r="5238">
      <c r="A5238" s="2"/>
      <c r="B5238" s="13"/>
      <c r="C5238" s="2"/>
      <c r="D5238" s="2"/>
      <c r="E5238" s="2"/>
      <c r="F5238" s="14"/>
      <c r="G5238" s="2"/>
      <c r="H5238" s="2"/>
    </row>
    <row r="5239">
      <c r="A5239" s="2"/>
      <c r="B5239" s="13"/>
      <c r="C5239" s="2"/>
      <c r="D5239" s="2"/>
      <c r="E5239" s="2"/>
      <c r="F5239" s="14"/>
      <c r="G5239" s="2"/>
      <c r="H5239" s="2"/>
    </row>
    <row r="5240">
      <c r="A5240" s="2"/>
      <c r="B5240" s="13"/>
      <c r="C5240" s="2"/>
      <c r="D5240" s="2"/>
      <c r="E5240" s="2"/>
      <c r="F5240" s="14"/>
      <c r="G5240" s="2"/>
      <c r="H5240" s="2"/>
    </row>
    <row r="5241">
      <c r="A5241" s="2"/>
      <c r="B5241" s="13"/>
      <c r="C5241" s="2"/>
      <c r="D5241" s="2"/>
      <c r="E5241" s="2"/>
      <c r="F5241" s="14"/>
      <c r="G5241" s="2"/>
      <c r="H5241" s="2"/>
    </row>
    <row r="5242">
      <c r="A5242" s="2"/>
      <c r="B5242" s="13"/>
      <c r="C5242" s="2"/>
      <c r="D5242" s="2"/>
      <c r="E5242" s="2"/>
      <c r="F5242" s="14"/>
      <c r="G5242" s="2"/>
      <c r="H5242" s="2"/>
    </row>
    <row r="5243">
      <c r="A5243" s="2"/>
      <c r="B5243" s="13"/>
      <c r="C5243" s="2"/>
      <c r="D5243" s="2"/>
      <c r="E5243" s="2"/>
      <c r="F5243" s="14"/>
      <c r="G5243" s="2"/>
      <c r="H5243" s="2"/>
    </row>
    <row r="5244">
      <c r="A5244" s="2"/>
      <c r="B5244" s="13"/>
      <c r="C5244" s="2"/>
      <c r="D5244" s="2"/>
      <c r="E5244" s="2"/>
      <c r="F5244" s="14"/>
      <c r="G5244" s="2"/>
      <c r="H5244" s="2"/>
    </row>
    <row r="5245">
      <c r="A5245" s="2"/>
      <c r="B5245" s="13"/>
      <c r="C5245" s="2"/>
      <c r="D5245" s="2"/>
      <c r="E5245" s="2"/>
      <c r="F5245" s="14"/>
      <c r="G5245" s="2"/>
      <c r="H5245" s="2"/>
    </row>
    <row r="5246">
      <c r="A5246" s="2"/>
      <c r="B5246" s="13"/>
      <c r="C5246" s="2"/>
      <c r="D5246" s="2"/>
      <c r="E5246" s="2"/>
      <c r="F5246" s="14"/>
      <c r="G5246" s="2"/>
      <c r="H5246" s="2"/>
    </row>
    <row r="5247">
      <c r="A5247" s="2"/>
      <c r="B5247" s="13"/>
      <c r="C5247" s="2"/>
      <c r="D5247" s="2"/>
      <c r="E5247" s="2"/>
      <c r="F5247" s="14"/>
      <c r="G5247" s="2"/>
      <c r="H5247" s="2"/>
    </row>
    <row r="5248">
      <c r="A5248" s="2"/>
      <c r="B5248" s="13"/>
      <c r="C5248" s="2"/>
      <c r="D5248" s="2"/>
      <c r="E5248" s="2"/>
      <c r="F5248" s="14"/>
      <c r="G5248" s="2"/>
      <c r="H5248" s="2"/>
    </row>
    <row r="5249">
      <c r="A5249" s="2"/>
      <c r="B5249" s="13"/>
      <c r="C5249" s="2"/>
      <c r="D5249" s="2"/>
      <c r="E5249" s="2"/>
      <c r="F5249" s="14"/>
      <c r="G5249" s="2"/>
      <c r="H5249" s="2"/>
    </row>
    <row r="5250">
      <c r="A5250" s="2"/>
      <c r="B5250" s="13"/>
      <c r="C5250" s="2"/>
      <c r="D5250" s="2"/>
      <c r="E5250" s="2"/>
      <c r="F5250" s="14"/>
      <c r="G5250" s="2"/>
      <c r="H5250" s="2"/>
    </row>
    <row r="5251">
      <c r="A5251" s="2"/>
      <c r="B5251" s="13"/>
      <c r="C5251" s="2"/>
      <c r="D5251" s="2"/>
      <c r="E5251" s="2"/>
      <c r="F5251" s="14"/>
      <c r="G5251" s="2"/>
      <c r="H5251" s="2"/>
    </row>
    <row r="5252">
      <c r="A5252" s="2"/>
      <c r="B5252" s="13"/>
      <c r="C5252" s="2"/>
      <c r="D5252" s="2"/>
      <c r="E5252" s="2"/>
      <c r="F5252" s="14"/>
      <c r="G5252" s="2"/>
      <c r="H5252" s="2"/>
    </row>
    <row r="5253">
      <c r="A5253" s="2"/>
      <c r="B5253" s="13"/>
      <c r="C5253" s="2"/>
      <c r="D5253" s="2"/>
      <c r="E5253" s="2"/>
      <c r="F5253" s="14"/>
      <c r="G5253" s="2"/>
      <c r="H5253" s="2"/>
    </row>
    <row r="5254">
      <c r="A5254" s="2"/>
      <c r="B5254" s="13"/>
      <c r="C5254" s="2"/>
      <c r="D5254" s="2"/>
      <c r="E5254" s="2"/>
      <c r="F5254" s="14"/>
      <c r="G5254" s="2"/>
      <c r="H5254" s="2"/>
    </row>
    <row r="5255">
      <c r="A5255" s="2"/>
      <c r="B5255" s="13"/>
      <c r="C5255" s="2"/>
      <c r="D5255" s="2"/>
      <c r="E5255" s="2"/>
      <c r="F5255" s="14"/>
      <c r="G5255" s="2"/>
      <c r="H5255" s="2"/>
    </row>
    <row r="5256">
      <c r="A5256" s="2"/>
      <c r="B5256" s="13"/>
      <c r="C5256" s="2"/>
      <c r="D5256" s="2"/>
      <c r="E5256" s="2"/>
      <c r="F5256" s="14"/>
      <c r="G5256" s="2"/>
      <c r="H5256" s="2"/>
    </row>
    <row r="5257">
      <c r="A5257" s="2"/>
      <c r="B5257" s="13"/>
      <c r="C5257" s="2"/>
      <c r="D5257" s="2"/>
      <c r="E5257" s="2"/>
      <c r="F5257" s="14"/>
      <c r="G5257" s="2"/>
      <c r="H5257" s="2"/>
    </row>
    <row r="5258">
      <c r="A5258" s="2"/>
      <c r="B5258" s="13"/>
      <c r="C5258" s="2"/>
      <c r="D5258" s="2"/>
      <c r="E5258" s="2"/>
      <c r="F5258" s="14"/>
      <c r="G5258" s="2"/>
      <c r="H5258" s="2"/>
    </row>
    <row r="5259">
      <c r="A5259" s="2"/>
      <c r="B5259" s="13"/>
      <c r="C5259" s="2"/>
      <c r="D5259" s="2"/>
      <c r="E5259" s="2"/>
      <c r="F5259" s="14"/>
      <c r="G5259" s="2"/>
      <c r="H5259" s="2"/>
    </row>
    <row r="5260">
      <c r="A5260" s="2"/>
      <c r="B5260" s="13"/>
      <c r="C5260" s="2"/>
      <c r="D5260" s="2"/>
      <c r="E5260" s="2"/>
      <c r="F5260" s="14"/>
      <c r="G5260" s="2"/>
      <c r="H5260" s="2"/>
    </row>
    <row r="5261">
      <c r="A5261" s="2"/>
      <c r="B5261" s="13"/>
      <c r="C5261" s="2"/>
      <c r="D5261" s="2"/>
      <c r="E5261" s="2"/>
      <c r="F5261" s="14"/>
      <c r="G5261" s="2"/>
      <c r="H5261" s="2"/>
    </row>
    <row r="5262">
      <c r="A5262" s="2"/>
      <c r="B5262" s="13"/>
      <c r="C5262" s="2"/>
      <c r="D5262" s="2"/>
      <c r="E5262" s="2"/>
      <c r="F5262" s="14"/>
      <c r="G5262" s="2"/>
      <c r="H5262" s="2"/>
    </row>
    <row r="5263">
      <c r="A5263" s="2"/>
      <c r="B5263" s="13"/>
      <c r="C5263" s="2"/>
      <c r="D5263" s="2"/>
      <c r="E5263" s="2"/>
      <c r="F5263" s="14"/>
      <c r="G5263" s="2"/>
      <c r="H5263" s="2"/>
    </row>
    <row r="5264">
      <c r="A5264" s="2"/>
      <c r="B5264" s="13"/>
      <c r="C5264" s="2"/>
      <c r="D5264" s="2"/>
      <c r="E5264" s="2"/>
      <c r="F5264" s="14"/>
      <c r="G5264" s="2"/>
      <c r="H5264" s="2"/>
    </row>
    <row r="5265">
      <c r="A5265" s="2"/>
      <c r="B5265" s="13"/>
      <c r="C5265" s="2"/>
      <c r="D5265" s="2"/>
      <c r="E5265" s="2"/>
      <c r="F5265" s="14"/>
      <c r="G5265" s="2"/>
      <c r="H5265" s="2"/>
    </row>
    <row r="5266">
      <c r="A5266" s="2"/>
      <c r="B5266" s="13"/>
      <c r="C5266" s="2"/>
      <c r="D5266" s="2"/>
      <c r="E5266" s="2"/>
      <c r="F5266" s="14"/>
      <c r="G5266" s="2"/>
      <c r="H5266" s="2"/>
    </row>
    <row r="5267">
      <c r="A5267" s="2"/>
      <c r="B5267" s="13"/>
      <c r="C5267" s="2"/>
      <c r="D5267" s="2"/>
      <c r="E5267" s="2"/>
      <c r="F5267" s="14"/>
      <c r="G5267" s="2"/>
      <c r="H5267" s="2"/>
    </row>
    <row r="5268">
      <c r="A5268" s="2"/>
      <c r="B5268" s="13"/>
      <c r="C5268" s="2"/>
      <c r="D5268" s="2"/>
      <c r="E5268" s="2"/>
      <c r="F5268" s="14"/>
      <c r="G5268" s="2"/>
      <c r="H5268" s="2"/>
    </row>
    <row r="5269">
      <c r="A5269" s="2"/>
      <c r="B5269" s="13"/>
      <c r="C5269" s="2"/>
      <c r="D5269" s="2"/>
      <c r="E5269" s="2"/>
      <c r="F5269" s="14"/>
      <c r="G5269" s="2"/>
      <c r="H5269" s="2"/>
    </row>
    <row r="5270">
      <c r="A5270" s="2"/>
      <c r="B5270" s="13"/>
      <c r="C5270" s="2"/>
      <c r="D5270" s="2"/>
      <c r="E5270" s="2"/>
      <c r="F5270" s="14"/>
      <c r="G5270" s="2"/>
      <c r="H5270" s="2"/>
    </row>
    <row r="5271">
      <c r="A5271" s="2"/>
      <c r="B5271" s="13"/>
      <c r="C5271" s="2"/>
      <c r="D5271" s="2"/>
      <c r="E5271" s="2"/>
      <c r="F5271" s="14"/>
      <c r="G5271" s="2"/>
      <c r="H5271" s="2"/>
    </row>
    <row r="5272">
      <c r="A5272" s="2"/>
      <c r="B5272" s="13"/>
      <c r="C5272" s="2"/>
      <c r="D5272" s="2"/>
      <c r="E5272" s="2"/>
      <c r="F5272" s="14"/>
      <c r="G5272" s="2"/>
      <c r="H5272" s="2"/>
    </row>
    <row r="5273">
      <c r="A5273" s="2"/>
      <c r="B5273" s="13"/>
      <c r="C5273" s="2"/>
      <c r="D5273" s="2"/>
      <c r="E5273" s="2"/>
      <c r="F5273" s="14"/>
      <c r="G5273" s="2"/>
      <c r="H5273" s="2"/>
    </row>
    <row r="5274">
      <c r="A5274" s="2"/>
      <c r="B5274" s="13"/>
      <c r="C5274" s="2"/>
      <c r="D5274" s="2"/>
      <c r="E5274" s="2"/>
      <c r="F5274" s="14"/>
      <c r="G5274" s="2"/>
      <c r="H5274" s="2"/>
    </row>
    <row r="5275">
      <c r="A5275" s="2"/>
      <c r="B5275" s="13"/>
      <c r="C5275" s="2"/>
      <c r="D5275" s="2"/>
      <c r="E5275" s="2"/>
      <c r="F5275" s="14"/>
      <c r="G5275" s="2"/>
      <c r="H5275" s="2"/>
    </row>
    <row r="5276">
      <c r="A5276" s="2"/>
      <c r="B5276" s="13"/>
      <c r="C5276" s="2"/>
      <c r="D5276" s="2"/>
      <c r="E5276" s="2"/>
      <c r="F5276" s="14"/>
      <c r="G5276" s="2"/>
      <c r="H5276" s="2"/>
    </row>
    <row r="5277">
      <c r="A5277" s="2"/>
      <c r="B5277" s="13"/>
      <c r="C5277" s="2"/>
      <c r="D5277" s="2"/>
      <c r="E5277" s="2"/>
      <c r="F5277" s="14"/>
      <c r="G5277" s="2"/>
      <c r="H5277" s="2"/>
    </row>
    <row r="5278">
      <c r="A5278" s="2"/>
      <c r="B5278" s="13"/>
      <c r="C5278" s="2"/>
      <c r="D5278" s="2"/>
      <c r="E5278" s="2"/>
      <c r="F5278" s="14"/>
      <c r="G5278" s="2"/>
      <c r="H5278" s="2"/>
    </row>
    <row r="5279">
      <c r="A5279" s="2"/>
      <c r="B5279" s="13"/>
      <c r="C5279" s="2"/>
      <c r="D5279" s="2"/>
      <c r="E5279" s="2"/>
      <c r="F5279" s="14"/>
      <c r="G5279" s="2"/>
      <c r="H5279" s="2"/>
    </row>
    <row r="5280">
      <c r="A5280" s="2"/>
      <c r="B5280" s="13"/>
      <c r="C5280" s="2"/>
      <c r="D5280" s="2"/>
      <c r="E5280" s="2"/>
      <c r="F5280" s="14"/>
      <c r="G5280" s="2"/>
      <c r="H5280" s="2"/>
    </row>
    <row r="5281">
      <c r="A5281" s="2"/>
      <c r="B5281" s="13"/>
      <c r="C5281" s="2"/>
      <c r="D5281" s="2"/>
      <c r="E5281" s="2"/>
      <c r="F5281" s="14"/>
      <c r="G5281" s="2"/>
      <c r="H5281" s="2"/>
    </row>
    <row r="5282">
      <c r="A5282" s="2"/>
      <c r="B5282" s="13"/>
      <c r="C5282" s="2"/>
      <c r="D5282" s="2"/>
      <c r="E5282" s="2"/>
      <c r="F5282" s="14"/>
      <c r="G5282" s="2"/>
      <c r="H5282" s="2"/>
    </row>
    <row r="5283">
      <c r="A5283" s="2"/>
      <c r="B5283" s="13"/>
      <c r="C5283" s="2"/>
      <c r="D5283" s="2"/>
      <c r="E5283" s="2"/>
      <c r="F5283" s="14"/>
      <c r="G5283" s="2"/>
      <c r="H5283" s="2"/>
    </row>
    <row r="5284">
      <c r="A5284" s="2"/>
      <c r="B5284" s="13"/>
      <c r="C5284" s="2"/>
      <c r="D5284" s="2"/>
      <c r="E5284" s="2"/>
      <c r="F5284" s="14"/>
      <c r="G5284" s="2"/>
      <c r="H5284" s="2"/>
    </row>
    <row r="5285">
      <c r="A5285" s="2"/>
      <c r="B5285" s="13"/>
      <c r="C5285" s="2"/>
      <c r="D5285" s="2"/>
      <c r="E5285" s="2"/>
      <c r="F5285" s="14"/>
      <c r="G5285" s="2"/>
      <c r="H5285" s="2"/>
    </row>
    <row r="5286">
      <c r="A5286" s="2"/>
      <c r="B5286" s="13"/>
      <c r="C5286" s="2"/>
      <c r="D5286" s="2"/>
      <c r="E5286" s="2"/>
      <c r="F5286" s="14"/>
      <c r="G5286" s="2"/>
      <c r="H5286" s="2"/>
    </row>
    <row r="5287">
      <c r="A5287" s="2"/>
      <c r="B5287" s="13"/>
      <c r="C5287" s="2"/>
      <c r="D5287" s="2"/>
      <c r="E5287" s="2"/>
      <c r="F5287" s="14"/>
      <c r="G5287" s="2"/>
      <c r="H5287" s="2"/>
    </row>
    <row r="5288">
      <c r="A5288" s="2"/>
      <c r="B5288" s="13"/>
      <c r="C5288" s="2"/>
      <c r="D5288" s="2"/>
      <c r="E5288" s="2"/>
      <c r="F5288" s="14"/>
      <c r="G5288" s="2"/>
      <c r="H5288" s="2"/>
    </row>
    <row r="5289">
      <c r="A5289" s="2"/>
      <c r="B5289" s="13"/>
      <c r="C5289" s="2"/>
      <c r="D5289" s="2"/>
      <c r="E5289" s="2"/>
      <c r="F5289" s="14"/>
      <c r="G5289" s="2"/>
      <c r="H5289" s="2"/>
    </row>
    <row r="5290">
      <c r="A5290" s="2"/>
      <c r="B5290" s="13"/>
      <c r="C5290" s="2"/>
      <c r="D5290" s="2"/>
      <c r="E5290" s="2"/>
      <c r="F5290" s="14"/>
      <c r="G5290" s="2"/>
      <c r="H5290" s="2"/>
    </row>
    <row r="5291">
      <c r="A5291" s="2"/>
      <c r="B5291" s="13"/>
      <c r="C5291" s="2"/>
      <c r="D5291" s="2"/>
      <c r="E5291" s="2"/>
      <c r="F5291" s="14"/>
      <c r="G5291" s="2"/>
      <c r="H5291" s="2"/>
    </row>
    <row r="5292">
      <c r="A5292" s="2"/>
      <c r="B5292" s="13"/>
      <c r="C5292" s="2"/>
      <c r="D5292" s="2"/>
      <c r="E5292" s="2"/>
      <c r="F5292" s="14"/>
      <c r="G5292" s="2"/>
      <c r="H5292" s="2"/>
    </row>
    <row r="5293">
      <c r="A5293" s="2"/>
      <c r="B5293" s="13"/>
      <c r="C5293" s="2"/>
      <c r="D5293" s="2"/>
      <c r="E5293" s="2"/>
      <c r="F5293" s="14"/>
      <c r="G5293" s="2"/>
      <c r="H5293" s="2"/>
    </row>
    <row r="5294">
      <c r="A5294" s="2"/>
      <c r="B5294" s="13"/>
      <c r="C5294" s="2"/>
      <c r="D5294" s="2"/>
      <c r="E5294" s="2"/>
      <c r="F5294" s="14"/>
      <c r="G5294" s="2"/>
      <c r="H5294" s="2"/>
    </row>
    <row r="5295">
      <c r="A5295" s="2"/>
      <c r="B5295" s="13"/>
      <c r="C5295" s="2"/>
      <c r="D5295" s="2"/>
      <c r="E5295" s="2"/>
      <c r="F5295" s="14"/>
      <c r="G5295" s="2"/>
      <c r="H5295" s="2"/>
    </row>
    <row r="5296">
      <c r="A5296" s="2"/>
      <c r="B5296" s="13"/>
      <c r="C5296" s="2"/>
      <c r="D5296" s="2"/>
      <c r="E5296" s="2"/>
      <c r="F5296" s="14"/>
      <c r="G5296" s="2"/>
      <c r="H5296" s="2"/>
    </row>
    <row r="5297">
      <c r="A5297" s="2"/>
      <c r="B5297" s="13"/>
      <c r="C5297" s="2"/>
      <c r="D5297" s="2"/>
      <c r="E5297" s="2"/>
      <c r="F5297" s="14"/>
      <c r="G5297" s="2"/>
      <c r="H5297" s="2"/>
    </row>
    <row r="5298">
      <c r="A5298" s="2"/>
      <c r="B5298" s="13"/>
      <c r="C5298" s="2"/>
      <c r="D5298" s="2"/>
      <c r="E5298" s="2"/>
      <c r="F5298" s="14"/>
      <c r="G5298" s="2"/>
      <c r="H5298" s="2"/>
    </row>
    <row r="5299">
      <c r="A5299" s="2"/>
      <c r="B5299" s="13"/>
      <c r="C5299" s="2"/>
      <c r="D5299" s="2"/>
      <c r="E5299" s="2"/>
      <c r="F5299" s="14"/>
      <c r="G5299" s="2"/>
      <c r="H5299" s="2"/>
    </row>
    <row r="5300">
      <c r="A5300" s="2"/>
      <c r="B5300" s="13"/>
      <c r="C5300" s="2"/>
      <c r="D5300" s="2"/>
      <c r="E5300" s="2"/>
      <c r="F5300" s="14"/>
      <c r="G5300" s="2"/>
      <c r="H5300" s="2"/>
    </row>
    <row r="5301">
      <c r="A5301" s="2"/>
      <c r="B5301" s="13"/>
      <c r="C5301" s="2"/>
      <c r="D5301" s="2"/>
      <c r="E5301" s="2"/>
      <c r="F5301" s="14"/>
      <c r="G5301" s="2"/>
      <c r="H5301" s="2"/>
    </row>
    <row r="5302">
      <c r="A5302" s="2"/>
      <c r="B5302" s="13"/>
      <c r="C5302" s="2"/>
      <c r="D5302" s="2"/>
      <c r="E5302" s="2"/>
      <c r="F5302" s="14"/>
      <c r="G5302" s="2"/>
      <c r="H5302" s="2"/>
    </row>
    <row r="5303">
      <c r="A5303" s="2"/>
      <c r="B5303" s="13"/>
      <c r="C5303" s="2"/>
      <c r="D5303" s="2"/>
      <c r="E5303" s="2"/>
      <c r="F5303" s="14"/>
      <c r="G5303" s="2"/>
      <c r="H5303" s="2"/>
    </row>
    <row r="5304">
      <c r="A5304" s="2"/>
      <c r="B5304" s="13"/>
      <c r="C5304" s="2"/>
      <c r="D5304" s="2"/>
      <c r="E5304" s="2"/>
      <c r="F5304" s="14"/>
      <c r="G5304" s="2"/>
      <c r="H5304" s="2"/>
    </row>
    <row r="5305">
      <c r="A5305" s="2"/>
      <c r="B5305" s="13"/>
      <c r="C5305" s="2"/>
      <c r="D5305" s="2"/>
      <c r="E5305" s="2"/>
      <c r="F5305" s="14"/>
      <c r="G5305" s="2"/>
      <c r="H5305" s="2"/>
    </row>
    <row r="5306">
      <c r="A5306" s="2"/>
      <c r="B5306" s="13"/>
      <c r="C5306" s="2"/>
      <c r="D5306" s="2"/>
      <c r="E5306" s="2"/>
      <c r="F5306" s="14"/>
      <c r="G5306" s="2"/>
      <c r="H5306" s="2"/>
    </row>
    <row r="5307">
      <c r="A5307" s="2"/>
      <c r="B5307" s="13"/>
      <c r="C5307" s="2"/>
      <c r="D5307" s="2"/>
      <c r="E5307" s="2"/>
      <c r="F5307" s="14"/>
      <c r="G5307" s="2"/>
      <c r="H5307" s="2"/>
    </row>
    <row r="5308">
      <c r="A5308" s="2"/>
      <c r="B5308" s="13"/>
      <c r="C5308" s="2"/>
      <c r="D5308" s="2"/>
      <c r="E5308" s="2"/>
      <c r="F5308" s="14"/>
      <c r="G5308" s="2"/>
      <c r="H5308" s="2"/>
    </row>
    <row r="5309">
      <c r="A5309" s="2"/>
      <c r="B5309" s="13"/>
      <c r="C5309" s="2"/>
      <c r="D5309" s="2"/>
      <c r="E5309" s="2"/>
      <c r="F5309" s="14"/>
      <c r="G5309" s="2"/>
      <c r="H5309" s="2"/>
    </row>
    <row r="5310">
      <c r="A5310" s="2"/>
      <c r="B5310" s="13"/>
      <c r="C5310" s="2"/>
      <c r="D5310" s="2"/>
      <c r="E5310" s="2"/>
      <c r="F5310" s="14"/>
      <c r="G5310" s="2"/>
      <c r="H5310" s="2"/>
    </row>
    <row r="5311">
      <c r="A5311" s="2"/>
      <c r="B5311" s="13"/>
      <c r="C5311" s="2"/>
      <c r="D5311" s="2"/>
      <c r="E5311" s="2"/>
      <c r="F5311" s="14"/>
      <c r="G5311" s="2"/>
      <c r="H5311" s="2"/>
    </row>
    <row r="5312">
      <c r="A5312" s="2"/>
      <c r="B5312" s="13"/>
      <c r="C5312" s="2"/>
      <c r="D5312" s="2"/>
      <c r="E5312" s="2"/>
      <c r="F5312" s="14"/>
      <c r="G5312" s="2"/>
      <c r="H5312" s="2"/>
    </row>
    <row r="5313">
      <c r="A5313" s="2"/>
      <c r="B5313" s="13"/>
      <c r="C5313" s="2"/>
      <c r="D5313" s="2"/>
      <c r="E5313" s="2"/>
      <c r="F5313" s="14"/>
      <c r="G5313" s="2"/>
      <c r="H5313" s="2"/>
    </row>
    <row r="5314">
      <c r="A5314" s="2"/>
      <c r="B5314" s="13"/>
      <c r="C5314" s="2"/>
      <c r="D5314" s="2"/>
      <c r="E5314" s="2"/>
      <c r="F5314" s="14"/>
      <c r="G5314" s="2"/>
      <c r="H5314" s="2"/>
    </row>
    <row r="5315">
      <c r="A5315" s="2"/>
      <c r="B5315" s="13"/>
      <c r="C5315" s="2"/>
      <c r="D5315" s="2"/>
      <c r="E5315" s="2"/>
      <c r="F5315" s="14"/>
      <c r="G5315" s="2"/>
      <c r="H5315" s="2"/>
    </row>
    <row r="5316">
      <c r="A5316" s="2"/>
      <c r="B5316" s="13"/>
      <c r="C5316" s="2"/>
      <c r="D5316" s="2"/>
      <c r="E5316" s="2"/>
      <c r="F5316" s="14"/>
      <c r="G5316" s="2"/>
      <c r="H5316" s="2"/>
    </row>
    <row r="5317">
      <c r="A5317" s="2"/>
      <c r="B5317" s="13"/>
      <c r="C5317" s="2"/>
      <c r="D5317" s="2"/>
      <c r="E5317" s="2"/>
      <c r="F5317" s="14"/>
      <c r="G5317" s="2"/>
      <c r="H5317" s="2"/>
    </row>
    <row r="5318">
      <c r="A5318" s="2"/>
      <c r="B5318" s="13"/>
      <c r="C5318" s="2"/>
      <c r="D5318" s="2"/>
      <c r="E5318" s="2"/>
      <c r="F5318" s="14"/>
      <c r="G5318" s="2"/>
      <c r="H5318" s="2"/>
    </row>
    <row r="5319">
      <c r="A5319" s="2"/>
      <c r="B5319" s="13"/>
      <c r="C5319" s="2"/>
      <c r="D5319" s="2"/>
      <c r="E5319" s="2"/>
      <c r="F5319" s="14"/>
      <c r="G5319" s="2"/>
      <c r="H5319" s="2"/>
    </row>
    <row r="5320">
      <c r="A5320" s="2"/>
      <c r="B5320" s="13"/>
      <c r="C5320" s="2"/>
      <c r="D5320" s="2"/>
      <c r="E5320" s="2"/>
      <c r="F5320" s="14"/>
      <c r="G5320" s="2"/>
      <c r="H5320" s="2"/>
    </row>
    <row r="5321">
      <c r="A5321" s="2"/>
      <c r="B5321" s="13"/>
      <c r="C5321" s="2"/>
      <c r="D5321" s="2"/>
      <c r="E5321" s="2"/>
      <c r="F5321" s="14"/>
      <c r="G5321" s="2"/>
      <c r="H5321" s="2"/>
    </row>
    <row r="5322">
      <c r="A5322" s="2"/>
      <c r="B5322" s="13"/>
      <c r="C5322" s="2"/>
      <c r="D5322" s="2"/>
      <c r="E5322" s="2"/>
      <c r="F5322" s="14"/>
      <c r="G5322" s="2"/>
      <c r="H5322" s="2"/>
    </row>
    <row r="5323">
      <c r="A5323" s="2"/>
      <c r="B5323" s="13"/>
      <c r="C5323" s="2"/>
      <c r="D5323" s="2"/>
      <c r="E5323" s="2"/>
      <c r="F5323" s="14"/>
      <c r="G5323" s="2"/>
      <c r="H5323" s="2"/>
    </row>
    <row r="5324">
      <c r="A5324" s="2"/>
      <c r="B5324" s="13"/>
      <c r="C5324" s="2"/>
      <c r="D5324" s="2"/>
      <c r="E5324" s="2"/>
      <c r="F5324" s="14"/>
      <c r="G5324" s="2"/>
      <c r="H5324" s="2"/>
    </row>
    <row r="5325">
      <c r="A5325" s="2"/>
      <c r="B5325" s="13"/>
      <c r="C5325" s="2"/>
      <c r="D5325" s="2"/>
      <c r="E5325" s="2"/>
      <c r="F5325" s="14"/>
      <c r="G5325" s="2"/>
      <c r="H5325" s="2"/>
    </row>
    <row r="5326">
      <c r="A5326" s="2"/>
      <c r="B5326" s="13"/>
      <c r="C5326" s="2"/>
      <c r="D5326" s="2"/>
      <c r="E5326" s="2"/>
      <c r="F5326" s="14"/>
      <c r="G5326" s="2"/>
      <c r="H5326" s="2"/>
    </row>
    <row r="5327">
      <c r="A5327" s="2"/>
      <c r="B5327" s="13"/>
      <c r="C5327" s="2"/>
      <c r="D5327" s="2"/>
      <c r="E5327" s="2"/>
      <c r="F5327" s="14"/>
      <c r="G5327" s="2"/>
      <c r="H5327" s="2"/>
    </row>
    <row r="5328">
      <c r="A5328" s="2"/>
      <c r="B5328" s="13"/>
      <c r="C5328" s="2"/>
      <c r="D5328" s="2"/>
      <c r="E5328" s="2"/>
      <c r="F5328" s="14"/>
      <c r="G5328" s="2"/>
      <c r="H5328" s="2"/>
    </row>
    <row r="5329">
      <c r="A5329" s="2"/>
      <c r="B5329" s="13"/>
      <c r="C5329" s="2"/>
      <c r="D5329" s="2"/>
      <c r="E5329" s="2"/>
      <c r="F5329" s="14"/>
      <c r="G5329" s="2"/>
      <c r="H5329" s="2"/>
    </row>
    <row r="5330">
      <c r="A5330" s="2"/>
      <c r="B5330" s="13"/>
      <c r="C5330" s="2"/>
      <c r="D5330" s="2"/>
      <c r="E5330" s="2"/>
      <c r="F5330" s="14"/>
      <c r="G5330" s="2"/>
      <c r="H5330" s="2"/>
    </row>
    <row r="5331">
      <c r="A5331" s="2"/>
      <c r="B5331" s="13"/>
      <c r="C5331" s="2"/>
      <c r="D5331" s="2"/>
      <c r="E5331" s="2"/>
      <c r="F5331" s="14"/>
      <c r="G5331" s="2"/>
      <c r="H5331" s="2"/>
    </row>
    <row r="5332">
      <c r="A5332" s="2"/>
      <c r="B5332" s="13"/>
      <c r="C5332" s="2"/>
      <c r="D5332" s="2"/>
      <c r="E5332" s="2"/>
      <c r="F5332" s="14"/>
      <c r="G5332" s="2"/>
      <c r="H5332" s="2"/>
    </row>
    <row r="5333">
      <c r="A5333" s="2"/>
      <c r="B5333" s="13"/>
      <c r="C5333" s="2"/>
      <c r="D5333" s="2"/>
      <c r="E5333" s="2"/>
      <c r="F5333" s="14"/>
      <c r="G5333" s="2"/>
      <c r="H5333" s="2"/>
    </row>
    <row r="5334">
      <c r="A5334" s="2"/>
      <c r="B5334" s="13"/>
      <c r="C5334" s="2"/>
      <c r="D5334" s="2"/>
      <c r="E5334" s="2"/>
      <c r="F5334" s="14"/>
      <c r="G5334" s="2"/>
      <c r="H5334" s="2"/>
    </row>
    <row r="5335">
      <c r="A5335" s="2"/>
      <c r="B5335" s="13"/>
      <c r="C5335" s="2"/>
      <c r="D5335" s="2"/>
      <c r="E5335" s="2"/>
      <c r="F5335" s="14"/>
      <c r="G5335" s="2"/>
      <c r="H5335" s="2"/>
    </row>
    <row r="5336">
      <c r="A5336" s="2"/>
      <c r="B5336" s="13"/>
      <c r="C5336" s="2"/>
      <c r="D5336" s="2"/>
      <c r="E5336" s="2"/>
      <c r="F5336" s="14"/>
      <c r="G5336" s="2"/>
      <c r="H5336" s="2"/>
    </row>
    <row r="5337">
      <c r="A5337" s="2"/>
      <c r="B5337" s="13"/>
      <c r="C5337" s="2"/>
      <c r="D5337" s="2"/>
      <c r="E5337" s="2"/>
      <c r="F5337" s="14"/>
      <c r="G5337" s="2"/>
      <c r="H5337" s="2"/>
    </row>
    <row r="5338">
      <c r="A5338" s="2"/>
      <c r="B5338" s="13"/>
      <c r="C5338" s="2"/>
      <c r="D5338" s="2"/>
      <c r="E5338" s="2"/>
      <c r="F5338" s="14"/>
      <c r="G5338" s="2"/>
      <c r="H5338" s="2"/>
    </row>
    <row r="5339">
      <c r="A5339" s="2"/>
      <c r="B5339" s="13"/>
      <c r="C5339" s="2"/>
      <c r="D5339" s="2"/>
      <c r="E5339" s="2"/>
      <c r="F5339" s="14"/>
      <c r="G5339" s="2"/>
      <c r="H5339" s="2"/>
    </row>
    <row r="5340">
      <c r="A5340" s="2"/>
      <c r="B5340" s="13"/>
      <c r="C5340" s="2"/>
      <c r="D5340" s="2"/>
      <c r="E5340" s="2"/>
      <c r="F5340" s="14"/>
      <c r="G5340" s="2"/>
      <c r="H5340" s="2"/>
    </row>
    <row r="5341">
      <c r="A5341" s="2"/>
      <c r="B5341" s="13"/>
      <c r="C5341" s="2"/>
      <c r="D5341" s="2"/>
      <c r="E5341" s="2"/>
      <c r="F5341" s="14"/>
      <c r="G5341" s="2"/>
      <c r="H5341" s="2"/>
    </row>
    <row r="5342">
      <c r="A5342" s="2"/>
      <c r="B5342" s="13"/>
      <c r="C5342" s="2"/>
      <c r="D5342" s="2"/>
      <c r="E5342" s="2"/>
      <c r="F5342" s="14"/>
      <c r="G5342" s="2"/>
      <c r="H5342" s="2"/>
    </row>
    <row r="5343">
      <c r="A5343" s="2"/>
      <c r="B5343" s="13"/>
      <c r="C5343" s="2"/>
      <c r="D5343" s="2"/>
      <c r="E5343" s="2"/>
      <c r="F5343" s="14"/>
      <c r="G5343" s="2"/>
      <c r="H5343" s="2"/>
    </row>
    <row r="5344">
      <c r="A5344" s="2"/>
      <c r="B5344" s="13"/>
      <c r="C5344" s="2"/>
      <c r="D5344" s="2"/>
      <c r="E5344" s="2"/>
      <c r="F5344" s="14"/>
      <c r="G5344" s="2"/>
      <c r="H5344" s="2"/>
    </row>
    <row r="5345">
      <c r="A5345" s="2"/>
      <c r="B5345" s="13"/>
      <c r="C5345" s="2"/>
      <c r="D5345" s="2"/>
      <c r="E5345" s="2"/>
      <c r="F5345" s="14"/>
      <c r="G5345" s="2"/>
      <c r="H5345" s="2"/>
    </row>
    <row r="5346">
      <c r="A5346" s="2"/>
      <c r="B5346" s="13"/>
      <c r="C5346" s="2"/>
      <c r="D5346" s="2"/>
      <c r="E5346" s="2"/>
      <c r="F5346" s="14"/>
      <c r="G5346" s="2"/>
      <c r="H5346" s="2"/>
    </row>
    <row r="5347">
      <c r="A5347" s="2"/>
      <c r="B5347" s="13"/>
      <c r="C5347" s="2"/>
      <c r="D5347" s="2"/>
      <c r="E5347" s="2"/>
      <c r="F5347" s="14"/>
      <c r="G5347" s="2"/>
      <c r="H5347" s="2"/>
    </row>
    <row r="5348">
      <c r="A5348" s="2"/>
      <c r="B5348" s="13"/>
      <c r="C5348" s="2"/>
      <c r="D5348" s="2"/>
      <c r="E5348" s="2"/>
      <c r="F5348" s="14"/>
      <c r="G5348" s="2"/>
      <c r="H5348" s="2"/>
    </row>
    <row r="5349">
      <c r="A5349" s="2"/>
      <c r="B5349" s="13"/>
      <c r="C5349" s="2"/>
      <c r="D5349" s="2"/>
      <c r="E5349" s="2"/>
      <c r="F5349" s="14"/>
      <c r="G5349" s="2"/>
      <c r="H5349" s="2"/>
    </row>
    <row r="5350">
      <c r="A5350" s="2"/>
      <c r="B5350" s="13"/>
      <c r="C5350" s="2"/>
      <c r="D5350" s="2"/>
      <c r="E5350" s="2"/>
      <c r="F5350" s="14"/>
      <c r="G5350" s="2"/>
      <c r="H5350" s="2"/>
    </row>
    <row r="5351">
      <c r="A5351" s="2"/>
      <c r="B5351" s="13"/>
      <c r="C5351" s="2"/>
      <c r="D5351" s="2"/>
      <c r="E5351" s="2"/>
      <c r="F5351" s="14"/>
      <c r="G5351" s="2"/>
      <c r="H5351" s="2"/>
    </row>
    <row r="5352">
      <c r="A5352" s="2"/>
      <c r="B5352" s="13"/>
      <c r="C5352" s="2"/>
      <c r="D5352" s="2"/>
      <c r="E5352" s="2"/>
      <c r="F5352" s="14"/>
      <c r="G5352" s="2"/>
      <c r="H5352" s="2"/>
    </row>
    <row r="5353">
      <c r="A5353" s="2"/>
      <c r="B5353" s="13"/>
      <c r="C5353" s="2"/>
      <c r="D5353" s="2"/>
      <c r="E5353" s="2"/>
      <c r="F5353" s="14"/>
      <c r="G5353" s="2"/>
      <c r="H5353" s="2"/>
    </row>
    <row r="5354">
      <c r="A5354" s="2"/>
      <c r="B5354" s="13"/>
      <c r="C5354" s="2"/>
      <c r="D5354" s="2"/>
      <c r="E5354" s="2"/>
      <c r="F5354" s="14"/>
      <c r="G5354" s="2"/>
      <c r="H5354" s="2"/>
    </row>
    <row r="5355">
      <c r="A5355" s="2"/>
      <c r="B5355" s="13"/>
      <c r="C5355" s="2"/>
      <c r="D5355" s="2"/>
      <c r="E5355" s="2"/>
      <c r="F5355" s="14"/>
      <c r="G5355" s="2"/>
      <c r="H5355" s="2"/>
    </row>
    <row r="5356">
      <c r="A5356" s="2"/>
      <c r="B5356" s="13"/>
      <c r="C5356" s="2"/>
      <c r="D5356" s="2"/>
      <c r="E5356" s="2"/>
      <c r="F5356" s="14"/>
      <c r="G5356" s="2"/>
      <c r="H5356" s="2"/>
    </row>
    <row r="5357">
      <c r="A5357" s="2"/>
      <c r="B5357" s="13"/>
      <c r="C5357" s="2"/>
      <c r="D5357" s="2"/>
      <c r="E5357" s="2"/>
      <c r="F5357" s="14"/>
      <c r="G5357" s="2"/>
      <c r="H5357" s="2"/>
    </row>
    <row r="5358">
      <c r="A5358" s="2"/>
      <c r="B5358" s="13"/>
      <c r="C5358" s="2"/>
      <c r="D5358" s="2"/>
      <c r="E5358" s="2"/>
      <c r="F5358" s="14"/>
      <c r="G5358" s="2"/>
      <c r="H5358" s="2"/>
    </row>
    <row r="5359">
      <c r="A5359" s="2"/>
      <c r="B5359" s="13"/>
      <c r="C5359" s="2"/>
      <c r="D5359" s="2"/>
      <c r="E5359" s="2"/>
      <c r="F5359" s="14"/>
      <c r="G5359" s="2"/>
      <c r="H5359" s="2"/>
    </row>
    <row r="5360">
      <c r="A5360" s="2"/>
      <c r="B5360" s="13"/>
      <c r="C5360" s="2"/>
      <c r="D5360" s="2"/>
      <c r="E5360" s="2"/>
      <c r="F5360" s="14"/>
      <c r="G5360" s="2"/>
      <c r="H5360" s="2"/>
    </row>
    <row r="5361">
      <c r="A5361" s="2"/>
      <c r="B5361" s="13"/>
      <c r="C5361" s="2"/>
      <c r="D5361" s="2"/>
      <c r="E5361" s="2"/>
      <c r="F5361" s="14"/>
      <c r="G5361" s="2"/>
      <c r="H5361" s="2"/>
    </row>
    <row r="5362">
      <c r="A5362" s="2"/>
      <c r="B5362" s="13"/>
      <c r="C5362" s="2"/>
      <c r="D5362" s="2"/>
      <c r="E5362" s="2"/>
      <c r="F5362" s="14"/>
      <c r="G5362" s="2"/>
      <c r="H5362" s="2"/>
    </row>
    <row r="5363">
      <c r="A5363" s="2"/>
      <c r="B5363" s="13"/>
      <c r="C5363" s="2"/>
      <c r="D5363" s="2"/>
      <c r="E5363" s="2"/>
      <c r="F5363" s="14"/>
      <c r="G5363" s="2"/>
      <c r="H5363" s="2"/>
    </row>
    <row r="5364">
      <c r="A5364" s="2"/>
      <c r="B5364" s="13"/>
      <c r="C5364" s="2"/>
      <c r="D5364" s="2"/>
      <c r="E5364" s="2"/>
      <c r="F5364" s="14"/>
      <c r="G5364" s="2"/>
      <c r="H5364" s="2"/>
    </row>
    <row r="5365">
      <c r="A5365" s="2"/>
      <c r="B5365" s="13"/>
      <c r="C5365" s="2"/>
      <c r="D5365" s="2"/>
      <c r="E5365" s="2"/>
      <c r="F5365" s="14"/>
      <c r="G5365" s="2"/>
      <c r="H5365" s="2"/>
    </row>
    <row r="5366">
      <c r="A5366" s="2"/>
      <c r="B5366" s="13"/>
      <c r="C5366" s="2"/>
      <c r="D5366" s="2"/>
      <c r="E5366" s="2"/>
      <c r="F5366" s="14"/>
      <c r="G5366" s="2"/>
      <c r="H5366" s="2"/>
    </row>
    <row r="5367">
      <c r="A5367" s="2"/>
      <c r="B5367" s="13"/>
      <c r="C5367" s="2"/>
      <c r="D5367" s="2"/>
      <c r="E5367" s="2"/>
      <c r="F5367" s="14"/>
      <c r="G5367" s="2"/>
      <c r="H5367" s="2"/>
    </row>
    <row r="5368">
      <c r="A5368" s="2"/>
      <c r="B5368" s="13"/>
      <c r="C5368" s="2"/>
      <c r="D5368" s="2"/>
      <c r="E5368" s="2"/>
      <c r="F5368" s="14"/>
      <c r="G5368" s="2"/>
      <c r="H5368" s="2"/>
    </row>
    <row r="5369">
      <c r="A5369" s="2"/>
      <c r="B5369" s="13"/>
      <c r="C5369" s="2"/>
      <c r="D5369" s="2"/>
      <c r="E5369" s="2"/>
      <c r="F5369" s="14"/>
      <c r="G5369" s="2"/>
      <c r="H5369" s="2"/>
    </row>
    <row r="5370">
      <c r="A5370" s="2"/>
      <c r="B5370" s="13"/>
      <c r="C5370" s="2"/>
      <c r="D5370" s="2"/>
      <c r="E5370" s="2"/>
      <c r="F5370" s="14"/>
      <c r="G5370" s="2"/>
      <c r="H5370" s="2"/>
    </row>
    <row r="5371">
      <c r="A5371" s="2"/>
      <c r="B5371" s="13"/>
      <c r="C5371" s="2"/>
      <c r="D5371" s="2"/>
      <c r="E5371" s="2"/>
      <c r="F5371" s="14"/>
      <c r="G5371" s="2"/>
      <c r="H5371" s="2"/>
    </row>
    <row r="5372">
      <c r="A5372" s="2"/>
      <c r="B5372" s="13"/>
      <c r="C5372" s="2"/>
      <c r="D5372" s="2"/>
      <c r="E5372" s="2"/>
      <c r="F5372" s="14"/>
      <c r="G5372" s="2"/>
      <c r="H5372" s="2"/>
    </row>
    <row r="5373">
      <c r="A5373" s="2"/>
      <c r="B5373" s="13"/>
      <c r="C5373" s="2"/>
      <c r="D5373" s="2"/>
      <c r="E5373" s="2"/>
      <c r="F5373" s="14"/>
      <c r="G5373" s="2"/>
      <c r="H5373" s="2"/>
    </row>
    <row r="5374">
      <c r="A5374" s="2"/>
      <c r="B5374" s="13"/>
      <c r="C5374" s="2"/>
      <c r="D5374" s="2"/>
      <c r="E5374" s="2"/>
      <c r="F5374" s="14"/>
      <c r="G5374" s="2"/>
      <c r="H5374" s="2"/>
    </row>
    <row r="5375">
      <c r="A5375" s="2"/>
      <c r="B5375" s="13"/>
      <c r="C5375" s="2"/>
      <c r="D5375" s="2"/>
      <c r="E5375" s="2"/>
      <c r="F5375" s="14"/>
      <c r="G5375" s="2"/>
      <c r="H5375" s="2"/>
    </row>
    <row r="5376">
      <c r="A5376" s="2"/>
      <c r="B5376" s="13"/>
      <c r="C5376" s="2"/>
      <c r="D5376" s="2"/>
      <c r="E5376" s="2"/>
      <c r="F5376" s="14"/>
      <c r="G5376" s="2"/>
      <c r="H5376" s="2"/>
    </row>
    <row r="5377">
      <c r="A5377" s="2"/>
      <c r="B5377" s="13"/>
      <c r="C5377" s="2"/>
      <c r="D5377" s="2"/>
      <c r="E5377" s="2"/>
      <c r="F5377" s="14"/>
      <c r="G5377" s="2"/>
      <c r="H5377" s="2"/>
    </row>
    <row r="5378">
      <c r="A5378" s="2"/>
      <c r="B5378" s="13"/>
      <c r="C5378" s="2"/>
      <c r="D5378" s="2"/>
      <c r="E5378" s="2"/>
      <c r="F5378" s="14"/>
      <c r="G5378" s="2"/>
      <c r="H5378" s="2"/>
    </row>
    <row r="5379">
      <c r="A5379" s="2"/>
      <c r="B5379" s="13"/>
      <c r="C5379" s="2"/>
      <c r="D5379" s="2"/>
      <c r="E5379" s="2"/>
      <c r="F5379" s="14"/>
      <c r="G5379" s="2"/>
      <c r="H5379" s="2"/>
    </row>
    <row r="5380">
      <c r="A5380" s="2"/>
      <c r="B5380" s="13"/>
      <c r="C5380" s="2"/>
      <c r="D5380" s="2"/>
      <c r="E5380" s="2"/>
      <c r="F5380" s="14"/>
      <c r="G5380" s="2"/>
      <c r="H5380" s="2"/>
    </row>
    <row r="5381">
      <c r="A5381" s="2"/>
      <c r="B5381" s="13"/>
      <c r="C5381" s="2"/>
      <c r="D5381" s="2"/>
      <c r="E5381" s="2"/>
      <c r="F5381" s="14"/>
      <c r="G5381" s="2"/>
      <c r="H5381" s="2"/>
    </row>
    <row r="5382">
      <c r="A5382" s="2"/>
      <c r="B5382" s="13"/>
      <c r="C5382" s="2"/>
      <c r="D5382" s="2"/>
      <c r="E5382" s="2"/>
      <c r="F5382" s="14"/>
      <c r="G5382" s="2"/>
      <c r="H5382" s="2"/>
    </row>
    <row r="5383">
      <c r="A5383" s="2"/>
      <c r="B5383" s="13"/>
      <c r="C5383" s="2"/>
      <c r="D5383" s="2"/>
      <c r="E5383" s="2"/>
      <c r="F5383" s="14"/>
      <c r="G5383" s="2"/>
      <c r="H5383" s="2"/>
    </row>
    <row r="5384">
      <c r="A5384" s="2"/>
      <c r="B5384" s="13"/>
      <c r="C5384" s="2"/>
      <c r="D5384" s="2"/>
      <c r="E5384" s="2"/>
      <c r="F5384" s="14"/>
      <c r="G5384" s="2"/>
      <c r="H5384" s="2"/>
    </row>
    <row r="5385">
      <c r="A5385" s="2"/>
      <c r="B5385" s="13"/>
      <c r="C5385" s="2"/>
      <c r="D5385" s="2"/>
      <c r="E5385" s="2"/>
      <c r="F5385" s="14"/>
      <c r="G5385" s="2"/>
      <c r="H5385" s="2"/>
    </row>
    <row r="5386">
      <c r="A5386" s="2"/>
      <c r="B5386" s="13"/>
      <c r="C5386" s="2"/>
      <c r="D5386" s="2"/>
      <c r="E5386" s="2"/>
      <c r="F5386" s="14"/>
      <c r="G5386" s="2"/>
      <c r="H5386" s="2"/>
    </row>
    <row r="5387">
      <c r="A5387" s="2"/>
      <c r="B5387" s="13"/>
      <c r="C5387" s="2"/>
      <c r="D5387" s="2"/>
      <c r="E5387" s="2"/>
      <c r="F5387" s="14"/>
      <c r="G5387" s="2"/>
      <c r="H5387" s="2"/>
    </row>
    <row r="5388">
      <c r="A5388" s="2"/>
      <c r="B5388" s="13"/>
      <c r="C5388" s="2"/>
      <c r="D5388" s="2"/>
      <c r="E5388" s="2"/>
      <c r="F5388" s="14"/>
      <c r="G5388" s="2"/>
      <c r="H5388" s="2"/>
    </row>
    <row r="5389">
      <c r="A5389" s="2"/>
      <c r="B5389" s="13"/>
      <c r="C5389" s="2"/>
      <c r="D5389" s="2"/>
      <c r="E5389" s="2"/>
      <c r="F5389" s="14"/>
      <c r="G5389" s="2"/>
      <c r="H5389" s="2"/>
    </row>
    <row r="5390">
      <c r="A5390" s="2"/>
      <c r="B5390" s="13"/>
      <c r="C5390" s="2"/>
      <c r="D5390" s="2"/>
      <c r="E5390" s="2"/>
      <c r="F5390" s="14"/>
      <c r="G5390" s="2"/>
      <c r="H5390" s="2"/>
    </row>
    <row r="5391">
      <c r="A5391" s="2"/>
      <c r="B5391" s="13"/>
      <c r="C5391" s="2"/>
      <c r="D5391" s="2"/>
      <c r="E5391" s="2"/>
      <c r="F5391" s="14"/>
      <c r="G5391" s="2"/>
      <c r="H5391" s="2"/>
    </row>
    <row r="5392">
      <c r="A5392" s="2"/>
      <c r="B5392" s="13"/>
      <c r="C5392" s="2"/>
      <c r="D5392" s="2"/>
      <c r="E5392" s="2"/>
      <c r="F5392" s="14"/>
      <c r="G5392" s="2"/>
      <c r="H5392" s="2"/>
    </row>
    <row r="5393">
      <c r="A5393" s="2"/>
      <c r="B5393" s="13"/>
      <c r="C5393" s="2"/>
      <c r="D5393" s="2"/>
      <c r="E5393" s="2"/>
      <c r="F5393" s="14"/>
      <c r="G5393" s="2"/>
      <c r="H5393" s="2"/>
    </row>
    <row r="5394">
      <c r="A5394" s="2"/>
      <c r="B5394" s="13"/>
      <c r="C5394" s="2"/>
      <c r="D5394" s="2"/>
      <c r="E5394" s="2"/>
      <c r="F5394" s="14"/>
      <c r="G5394" s="2"/>
      <c r="H5394" s="2"/>
    </row>
    <row r="5395">
      <c r="A5395" s="2"/>
      <c r="B5395" s="13"/>
      <c r="C5395" s="2"/>
      <c r="D5395" s="2"/>
      <c r="E5395" s="2"/>
      <c r="F5395" s="14"/>
      <c r="G5395" s="2"/>
      <c r="H5395" s="2"/>
    </row>
    <row r="5396">
      <c r="A5396" s="2"/>
      <c r="B5396" s="13"/>
      <c r="C5396" s="2"/>
      <c r="D5396" s="2"/>
      <c r="E5396" s="2"/>
      <c r="F5396" s="14"/>
      <c r="G5396" s="2"/>
      <c r="H5396" s="2"/>
    </row>
    <row r="5397">
      <c r="A5397" s="2"/>
      <c r="B5397" s="13"/>
      <c r="C5397" s="2"/>
      <c r="D5397" s="2"/>
      <c r="E5397" s="2"/>
      <c r="F5397" s="14"/>
      <c r="G5397" s="2"/>
      <c r="H5397" s="2"/>
    </row>
    <row r="5398">
      <c r="A5398" s="2"/>
      <c r="B5398" s="13"/>
      <c r="C5398" s="2"/>
      <c r="D5398" s="2"/>
      <c r="E5398" s="2"/>
      <c r="F5398" s="14"/>
      <c r="G5398" s="2"/>
      <c r="H5398" s="2"/>
    </row>
    <row r="5399">
      <c r="A5399" s="2"/>
      <c r="B5399" s="13"/>
      <c r="C5399" s="2"/>
      <c r="D5399" s="2"/>
      <c r="E5399" s="2"/>
      <c r="F5399" s="14"/>
      <c r="G5399" s="2"/>
      <c r="H5399" s="2"/>
    </row>
    <row r="5400">
      <c r="A5400" s="2"/>
      <c r="B5400" s="13"/>
      <c r="C5400" s="2"/>
      <c r="D5400" s="2"/>
      <c r="E5400" s="2"/>
      <c r="F5400" s="14"/>
      <c r="G5400" s="2"/>
      <c r="H5400" s="2"/>
    </row>
    <row r="5401">
      <c r="A5401" s="2"/>
      <c r="B5401" s="13"/>
      <c r="C5401" s="2"/>
      <c r="D5401" s="2"/>
      <c r="E5401" s="2"/>
      <c r="F5401" s="14"/>
      <c r="G5401" s="2"/>
      <c r="H5401" s="2"/>
    </row>
    <row r="5402">
      <c r="A5402" s="2"/>
      <c r="B5402" s="13"/>
      <c r="C5402" s="2"/>
      <c r="D5402" s="2"/>
      <c r="E5402" s="2"/>
      <c r="F5402" s="14"/>
      <c r="G5402" s="2"/>
      <c r="H5402" s="2"/>
    </row>
    <row r="5403">
      <c r="A5403" s="2"/>
      <c r="B5403" s="13"/>
      <c r="C5403" s="2"/>
      <c r="D5403" s="2"/>
      <c r="E5403" s="2"/>
      <c r="F5403" s="14"/>
      <c r="G5403" s="2"/>
      <c r="H5403" s="2"/>
    </row>
    <row r="5404">
      <c r="A5404" s="2"/>
      <c r="B5404" s="13"/>
      <c r="C5404" s="2"/>
      <c r="D5404" s="2"/>
      <c r="E5404" s="2"/>
      <c r="F5404" s="14"/>
      <c r="G5404" s="2"/>
      <c r="H5404" s="2"/>
    </row>
    <row r="5405">
      <c r="A5405" s="2"/>
      <c r="B5405" s="13"/>
      <c r="C5405" s="2"/>
      <c r="D5405" s="2"/>
      <c r="E5405" s="2"/>
      <c r="F5405" s="14"/>
      <c r="G5405" s="2"/>
      <c r="H5405" s="2"/>
    </row>
    <row r="5406">
      <c r="A5406" s="2"/>
      <c r="B5406" s="13"/>
      <c r="C5406" s="2"/>
      <c r="D5406" s="2"/>
      <c r="E5406" s="2"/>
      <c r="F5406" s="14"/>
      <c r="G5406" s="2"/>
      <c r="H5406" s="2"/>
    </row>
    <row r="5407">
      <c r="A5407" s="2"/>
      <c r="B5407" s="13"/>
      <c r="C5407" s="2"/>
      <c r="D5407" s="2"/>
      <c r="E5407" s="2"/>
      <c r="F5407" s="14"/>
      <c r="G5407" s="2"/>
      <c r="H5407" s="2"/>
    </row>
    <row r="5408">
      <c r="A5408" s="2"/>
      <c r="B5408" s="13"/>
      <c r="C5408" s="2"/>
      <c r="D5408" s="2"/>
      <c r="E5408" s="2"/>
      <c r="F5408" s="14"/>
      <c r="G5408" s="2"/>
      <c r="H5408" s="2"/>
    </row>
    <row r="5409">
      <c r="A5409" s="2"/>
      <c r="B5409" s="13"/>
      <c r="C5409" s="2"/>
      <c r="D5409" s="2"/>
      <c r="E5409" s="2"/>
      <c r="F5409" s="14"/>
      <c r="G5409" s="2"/>
      <c r="H5409" s="2"/>
    </row>
    <row r="5410">
      <c r="A5410" s="2"/>
      <c r="B5410" s="13"/>
      <c r="C5410" s="2"/>
      <c r="D5410" s="2"/>
      <c r="E5410" s="2"/>
      <c r="F5410" s="14"/>
      <c r="G5410" s="2"/>
      <c r="H5410" s="2"/>
    </row>
    <row r="5411">
      <c r="A5411" s="2"/>
      <c r="B5411" s="13"/>
      <c r="C5411" s="2"/>
      <c r="D5411" s="2"/>
      <c r="E5411" s="2"/>
      <c r="F5411" s="14"/>
      <c r="G5411" s="2"/>
      <c r="H5411" s="2"/>
    </row>
    <row r="5412">
      <c r="A5412" s="2"/>
      <c r="B5412" s="13"/>
      <c r="C5412" s="2"/>
      <c r="D5412" s="2"/>
      <c r="E5412" s="2"/>
      <c r="F5412" s="14"/>
      <c r="G5412" s="2"/>
      <c r="H5412" s="2"/>
    </row>
    <row r="5413">
      <c r="A5413" s="2"/>
      <c r="B5413" s="13"/>
      <c r="C5413" s="2"/>
      <c r="D5413" s="2"/>
      <c r="E5413" s="2"/>
      <c r="F5413" s="14"/>
      <c r="G5413" s="2"/>
      <c r="H5413" s="2"/>
    </row>
    <row r="5414">
      <c r="A5414" s="2"/>
      <c r="B5414" s="13"/>
      <c r="C5414" s="2"/>
      <c r="D5414" s="2"/>
      <c r="E5414" s="2"/>
      <c r="F5414" s="14"/>
      <c r="G5414" s="2"/>
      <c r="H5414" s="2"/>
    </row>
    <row r="5415">
      <c r="A5415" s="2"/>
      <c r="B5415" s="13"/>
      <c r="C5415" s="2"/>
      <c r="D5415" s="2"/>
      <c r="E5415" s="2"/>
      <c r="F5415" s="14"/>
      <c r="G5415" s="2"/>
      <c r="H5415" s="2"/>
    </row>
    <row r="5416">
      <c r="A5416" s="2"/>
      <c r="B5416" s="13"/>
      <c r="C5416" s="2"/>
      <c r="D5416" s="2"/>
      <c r="E5416" s="2"/>
      <c r="F5416" s="14"/>
      <c r="G5416" s="2"/>
      <c r="H5416" s="2"/>
    </row>
    <row r="5417">
      <c r="A5417" s="2"/>
      <c r="B5417" s="13"/>
      <c r="C5417" s="2"/>
      <c r="D5417" s="2"/>
      <c r="E5417" s="2"/>
      <c r="F5417" s="14"/>
      <c r="G5417" s="2"/>
      <c r="H5417" s="2"/>
    </row>
    <row r="5418">
      <c r="A5418" s="2"/>
      <c r="B5418" s="13"/>
      <c r="C5418" s="2"/>
      <c r="D5418" s="2"/>
      <c r="E5418" s="2"/>
      <c r="F5418" s="14"/>
      <c r="G5418" s="2"/>
      <c r="H5418" s="2"/>
    </row>
    <row r="5419">
      <c r="A5419" s="2"/>
      <c r="B5419" s="13"/>
      <c r="C5419" s="2"/>
      <c r="D5419" s="2"/>
      <c r="E5419" s="2"/>
      <c r="F5419" s="14"/>
      <c r="G5419" s="2"/>
      <c r="H5419" s="2"/>
    </row>
    <row r="5420">
      <c r="A5420" s="2"/>
      <c r="B5420" s="13"/>
      <c r="C5420" s="2"/>
      <c r="D5420" s="2"/>
      <c r="E5420" s="2"/>
      <c r="F5420" s="14"/>
      <c r="G5420" s="2"/>
      <c r="H5420" s="2"/>
    </row>
    <row r="5421">
      <c r="A5421" s="2"/>
      <c r="B5421" s="13"/>
      <c r="C5421" s="2"/>
      <c r="D5421" s="2"/>
      <c r="E5421" s="2"/>
      <c r="F5421" s="14"/>
      <c r="G5421" s="2"/>
      <c r="H5421" s="2"/>
    </row>
    <row r="5422">
      <c r="A5422" s="2"/>
      <c r="B5422" s="13"/>
      <c r="C5422" s="2"/>
      <c r="D5422" s="2"/>
      <c r="E5422" s="2"/>
      <c r="F5422" s="14"/>
      <c r="G5422" s="2"/>
      <c r="H5422" s="2"/>
    </row>
    <row r="5423">
      <c r="A5423" s="2"/>
      <c r="B5423" s="13"/>
      <c r="C5423" s="2"/>
      <c r="D5423" s="2"/>
      <c r="E5423" s="2"/>
      <c r="F5423" s="14"/>
      <c r="G5423" s="2"/>
      <c r="H5423" s="2"/>
    </row>
    <row r="5424">
      <c r="A5424" s="2"/>
      <c r="B5424" s="13"/>
      <c r="C5424" s="2"/>
      <c r="D5424" s="2"/>
      <c r="E5424" s="2"/>
      <c r="F5424" s="14"/>
      <c r="G5424" s="2"/>
      <c r="H5424" s="2"/>
    </row>
    <row r="5425">
      <c r="A5425" s="2"/>
      <c r="B5425" s="13"/>
      <c r="C5425" s="2"/>
      <c r="D5425" s="2"/>
      <c r="E5425" s="2"/>
      <c r="F5425" s="14"/>
      <c r="G5425" s="2"/>
      <c r="H5425" s="2"/>
    </row>
    <row r="5426">
      <c r="A5426" s="2"/>
      <c r="B5426" s="13"/>
      <c r="C5426" s="2"/>
      <c r="D5426" s="2"/>
      <c r="E5426" s="2"/>
      <c r="F5426" s="14"/>
      <c r="G5426" s="2"/>
      <c r="H5426" s="2"/>
    </row>
    <row r="5427">
      <c r="A5427" s="2"/>
      <c r="B5427" s="13"/>
      <c r="C5427" s="2"/>
      <c r="D5427" s="2"/>
      <c r="E5427" s="2"/>
      <c r="F5427" s="14"/>
      <c r="G5427" s="2"/>
      <c r="H5427" s="2"/>
    </row>
    <row r="5428">
      <c r="A5428" s="2"/>
      <c r="B5428" s="13"/>
      <c r="C5428" s="2"/>
      <c r="D5428" s="2"/>
      <c r="E5428" s="2"/>
      <c r="F5428" s="14"/>
      <c r="G5428" s="2"/>
      <c r="H5428" s="2"/>
    </row>
    <row r="5429">
      <c r="A5429" s="2"/>
      <c r="B5429" s="13"/>
      <c r="C5429" s="2"/>
      <c r="D5429" s="2"/>
      <c r="E5429" s="2"/>
      <c r="F5429" s="14"/>
      <c r="G5429" s="2"/>
      <c r="H5429" s="2"/>
    </row>
    <row r="5430">
      <c r="A5430" s="2"/>
      <c r="B5430" s="13"/>
      <c r="C5430" s="2"/>
      <c r="D5430" s="2"/>
      <c r="E5430" s="2"/>
      <c r="F5430" s="14"/>
      <c r="G5430" s="2"/>
      <c r="H5430" s="2"/>
    </row>
    <row r="5431">
      <c r="A5431" s="2"/>
      <c r="B5431" s="13"/>
      <c r="C5431" s="2"/>
      <c r="D5431" s="2"/>
      <c r="E5431" s="2"/>
      <c r="F5431" s="14"/>
      <c r="G5431" s="2"/>
      <c r="H5431" s="2"/>
    </row>
    <row r="5432">
      <c r="A5432" s="2"/>
      <c r="B5432" s="13"/>
      <c r="C5432" s="2"/>
      <c r="D5432" s="2"/>
      <c r="E5432" s="2"/>
      <c r="F5432" s="14"/>
      <c r="G5432" s="2"/>
      <c r="H5432" s="2"/>
    </row>
    <row r="5433">
      <c r="A5433" s="2"/>
      <c r="B5433" s="13"/>
      <c r="C5433" s="2"/>
      <c r="D5433" s="2"/>
      <c r="E5433" s="2"/>
      <c r="F5433" s="14"/>
      <c r="G5433" s="2"/>
      <c r="H5433" s="2"/>
    </row>
    <row r="5434">
      <c r="A5434" s="2"/>
      <c r="B5434" s="13"/>
      <c r="C5434" s="2"/>
      <c r="D5434" s="2"/>
      <c r="E5434" s="2"/>
      <c r="F5434" s="14"/>
      <c r="G5434" s="2"/>
      <c r="H5434" s="2"/>
    </row>
    <row r="5435">
      <c r="A5435" s="2"/>
      <c r="B5435" s="13"/>
      <c r="C5435" s="2"/>
      <c r="D5435" s="2"/>
      <c r="E5435" s="2"/>
      <c r="F5435" s="14"/>
      <c r="G5435" s="2"/>
      <c r="H5435" s="2"/>
    </row>
    <row r="5436">
      <c r="A5436" s="2"/>
      <c r="B5436" s="13"/>
      <c r="C5436" s="2"/>
      <c r="D5436" s="2"/>
      <c r="E5436" s="2"/>
      <c r="F5436" s="14"/>
      <c r="G5436" s="2"/>
      <c r="H5436" s="2"/>
    </row>
    <row r="5437">
      <c r="A5437" s="2"/>
      <c r="B5437" s="13"/>
      <c r="C5437" s="2"/>
      <c r="D5437" s="2"/>
      <c r="E5437" s="2"/>
      <c r="F5437" s="14"/>
      <c r="G5437" s="2"/>
      <c r="H5437" s="2"/>
    </row>
    <row r="5438">
      <c r="A5438" s="2"/>
      <c r="B5438" s="13"/>
      <c r="C5438" s="2"/>
      <c r="D5438" s="2"/>
      <c r="E5438" s="2"/>
      <c r="F5438" s="14"/>
      <c r="G5438" s="2"/>
      <c r="H5438" s="2"/>
    </row>
    <row r="5439">
      <c r="A5439" s="2"/>
      <c r="B5439" s="13"/>
      <c r="C5439" s="2"/>
      <c r="D5439" s="2"/>
      <c r="E5439" s="2"/>
      <c r="F5439" s="14"/>
      <c r="G5439" s="2"/>
      <c r="H5439" s="2"/>
    </row>
    <row r="5440">
      <c r="A5440" s="2"/>
      <c r="B5440" s="13"/>
      <c r="C5440" s="2"/>
      <c r="D5440" s="2"/>
      <c r="E5440" s="2"/>
      <c r="F5440" s="14"/>
      <c r="G5440" s="2"/>
      <c r="H5440" s="2"/>
    </row>
    <row r="5441">
      <c r="A5441" s="2"/>
      <c r="B5441" s="13"/>
      <c r="C5441" s="2"/>
      <c r="D5441" s="2"/>
      <c r="E5441" s="2"/>
      <c r="F5441" s="14"/>
      <c r="G5441" s="2"/>
      <c r="H5441" s="2"/>
    </row>
    <row r="5442">
      <c r="A5442" s="2"/>
      <c r="B5442" s="13"/>
      <c r="C5442" s="2"/>
      <c r="D5442" s="2"/>
      <c r="E5442" s="2"/>
      <c r="F5442" s="14"/>
      <c r="G5442" s="2"/>
      <c r="H5442" s="2"/>
    </row>
    <row r="5443">
      <c r="A5443" s="2"/>
      <c r="B5443" s="13"/>
      <c r="C5443" s="2"/>
      <c r="D5443" s="2"/>
      <c r="E5443" s="2"/>
      <c r="F5443" s="14"/>
      <c r="G5443" s="2"/>
      <c r="H5443" s="2"/>
    </row>
    <row r="5444">
      <c r="A5444" s="2"/>
      <c r="B5444" s="13"/>
      <c r="C5444" s="2"/>
      <c r="D5444" s="2"/>
      <c r="E5444" s="2"/>
      <c r="F5444" s="14"/>
      <c r="G5444" s="2"/>
      <c r="H5444" s="2"/>
    </row>
    <row r="5445">
      <c r="A5445" s="2"/>
      <c r="B5445" s="13"/>
      <c r="C5445" s="2"/>
      <c r="D5445" s="2"/>
      <c r="E5445" s="2"/>
      <c r="F5445" s="14"/>
      <c r="G5445" s="2"/>
      <c r="H5445" s="2"/>
    </row>
    <row r="5446">
      <c r="A5446" s="2"/>
      <c r="B5446" s="13"/>
      <c r="C5446" s="2"/>
      <c r="D5446" s="2"/>
      <c r="E5446" s="2"/>
      <c r="F5446" s="14"/>
      <c r="G5446" s="2"/>
      <c r="H5446" s="2"/>
    </row>
    <row r="5447">
      <c r="A5447" s="2"/>
      <c r="B5447" s="13"/>
      <c r="C5447" s="2"/>
      <c r="D5447" s="2"/>
      <c r="E5447" s="2"/>
      <c r="F5447" s="14"/>
      <c r="G5447" s="2"/>
      <c r="H5447" s="2"/>
    </row>
    <row r="5448">
      <c r="A5448" s="2"/>
      <c r="B5448" s="13"/>
      <c r="C5448" s="2"/>
      <c r="D5448" s="2"/>
      <c r="E5448" s="2"/>
      <c r="F5448" s="14"/>
      <c r="G5448" s="2"/>
      <c r="H5448" s="2"/>
    </row>
    <row r="5449">
      <c r="A5449" s="2"/>
      <c r="B5449" s="13"/>
      <c r="C5449" s="2"/>
      <c r="D5449" s="2"/>
      <c r="E5449" s="2"/>
      <c r="F5449" s="14"/>
      <c r="G5449" s="2"/>
      <c r="H5449" s="2"/>
    </row>
    <row r="5450">
      <c r="A5450" s="2"/>
      <c r="B5450" s="13"/>
      <c r="C5450" s="2"/>
      <c r="D5450" s="2"/>
      <c r="E5450" s="2"/>
      <c r="F5450" s="14"/>
      <c r="G5450" s="2"/>
      <c r="H5450" s="2"/>
    </row>
    <row r="5451">
      <c r="A5451" s="2"/>
      <c r="B5451" s="13"/>
      <c r="C5451" s="2"/>
      <c r="D5451" s="2"/>
      <c r="E5451" s="2"/>
      <c r="F5451" s="14"/>
      <c r="G5451" s="2"/>
      <c r="H5451" s="2"/>
    </row>
    <row r="5452">
      <c r="A5452" s="2"/>
      <c r="B5452" s="13"/>
      <c r="C5452" s="2"/>
      <c r="D5452" s="2"/>
      <c r="E5452" s="2"/>
      <c r="F5452" s="14"/>
      <c r="G5452" s="2"/>
      <c r="H5452" s="2"/>
    </row>
    <row r="5453">
      <c r="A5453" s="2"/>
      <c r="B5453" s="13"/>
      <c r="C5453" s="2"/>
      <c r="D5453" s="2"/>
      <c r="E5453" s="2"/>
      <c r="F5453" s="14"/>
      <c r="G5453" s="2"/>
      <c r="H5453" s="2"/>
    </row>
    <row r="5454">
      <c r="A5454" s="2"/>
      <c r="B5454" s="13"/>
      <c r="C5454" s="2"/>
      <c r="D5454" s="2"/>
      <c r="E5454" s="2"/>
      <c r="F5454" s="14"/>
      <c r="G5454" s="2"/>
      <c r="H5454" s="2"/>
    </row>
    <row r="5455">
      <c r="A5455" s="2"/>
      <c r="B5455" s="13"/>
      <c r="C5455" s="2"/>
      <c r="D5455" s="2"/>
      <c r="E5455" s="2"/>
      <c r="F5455" s="14"/>
      <c r="G5455" s="2"/>
      <c r="H5455" s="2"/>
    </row>
    <row r="5456">
      <c r="A5456" s="2"/>
      <c r="B5456" s="13"/>
      <c r="C5456" s="2"/>
      <c r="D5456" s="2"/>
      <c r="E5456" s="2"/>
      <c r="F5456" s="14"/>
      <c r="G5456" s="2"/>
      <c r="H5456" s="2"/>
    </row>
    <row r="5457">
      <c r="A5457" s="2"/>
      <c r="B5457" s="13"/>
      <c r="C5457" s="2"/>
      <c r="D5457" s="2"/>
      <c r="E5457" s="2"/>
      <c r="F5457" s="14"/>
      <c r="G5457" s="2"/>
      <c r="H5457" s="2"/>
    </row>
    <row r="5458">
      <c r="A5458" s="2"/>
      <c r="B5458" s="13"/>
      <c r="C5458" s="2"/>
      <c r="D5458" s="2"/>
      <c r="E5458" s="2"/>
      <c r="F5458" s="14"/>
      <c r="G5458" s="2"/>
      <c r="H5458" s="2"/>
    </row>
    <row r="5459">
      <c r="A5459" s="2"/>
      <c r="B5459" s="13"/>
      <c r="C5459" s="2"/>
      <c r="D5459" s="2"/>
      <c r="E5459" s="2"/>
      <c r="F5459" s="14"/>
      <c r="G5459" s="2"/>
      <c r="H5459" s="2"/>
    </row>
    <row r="5460">
      <c r="A5460" s="2"/>
      <c r="B5460" s="13"/>
      <c r="C5460" s="2"/>
      <c r="D5460" s="2"/>
      <c r="E5460" s="2"/>
      <c r="F5460" s="14"/>
      <c r="G5460" s="2"/>
      <c r="H5460" s="2"/>
    </row>
    <row r="5461">
      <c r="A5461" s="2"/>
      <c r="B5461" s="13"/>
      <c r="C5461" s="2"/>
      <c r="D5461" s="2"/>
      <c r="E5461" s="2"/>
      <c r="F5461" s="14"/>
      <c r="G5461" s="2"/>
      <c r="H5461" s="2"/>
    </row>
    <row r="5462">
      <c r="A5462" s="2"/>
      <c r="B5462" s="13"/>
      <c r="C5462" s="2"/>
      <c r="D5462" s="2"/>
      <c r="E5462" s="2"/>
      <c r="F5462" s="14"/>
      <c r="G5462" s="2"/>
      <c r="H5462" s="2"/>
    </row>
    <row r="5463">
      <c r="A5463" s="2"/>
      <c r="B5463" s="13"/>
      <c r="C5463" s="2"/>
      <c r="D5463" s="2"/>
      <c r="E5463" s="2"/>
      <c r="F5463" s="14"/>
      <c r="G5463" s="2"/>
      <c r="H5463" s="2"/>
    </row>
    <row r="5464">
      <c r="A5464" s="2"/>
      <c r="B5464" s="13"/>
      <c r="C5464" s="2"/>
      <c r="D5464" s="2"/>
      <c r="E5464" s="2"/>
      <c r="F5464" s="14"/>
      <c r="G5464" s="2"/>
      <c r="H5464" s="2"/>
    </row>
    <row r="5465">
      <c r="A5465" s="2"/>
      <c r="B5465" s="13"/>
      <c r="C5465" s="2"/>
      <c r="D5465" s="2"/>
      <c r="E5465" s="2"/>
      <c r="F5465" s="14"/>
      <c r="G5465" s="2"/>
      <c r="H5465" s="2"/>
    </row>
    <row r="5466">
      <c r="A5466" s="2"/>
      <c r="B5466" s="13"/>
      <c r="C5466" s="2"/>
      <c r="D5466" s="2"/>
      <c r="E5466" s="2"/>
      <c r="F5466" s="14"/>
      <c r="G5466" s="2"/>
      <c r="H5466" s="2"/>
    </row>
    <row r="5467">
      <c r="A5467" s="2"/>
      <c r="B5467" s="13"/>
      <c r="C5467" s="2"/>
      <c r="D5467" s="2"/>
      <c r="E5467" s="2"/>
      <c r="F5467" s="14"/>
      <c r="G5467" s="2"/>
      <c r="H5467" s="2"/>
    </row>
    <row r="5468">
      <c r="A5468" s="2"/>
      <c r="B5468" s="13"/>
      <c r="C5468" s="2"/>
      <c r="D5468" s="2"/>
      <c r="E5468" s="2"/>
      <c r="F5468" s="14"/>
      <c r="G5468" s="2"/>
      <c r="H5468" s="2"/>
    </row>
    <row r="5469">
      <c r="A5469" s="2"/>
      <c r="B5469" s="13"/>
      <c r="C5469" s="2"/>
      <c r="D5469" s="2"/>
      <c r="E5469" s="2"/>
      <c r="F5469" s="14"/>
      <c r="G5469" s="2"/>
      <c r="H5469" s="2"/>
    </row>
    <row r="5470">
      <c r="A5470" s="2"/>
      <c r="B5470" s="13"/>
      <c r="C5470" s="2"/>
      <c r="D5470" s="2"/>
      <c r="E5470" s="2"/>
      <c r="F5470" s="14"/>
      <c r="G5470" s="2"/>
      <c r="H5470" s="2"/>
    </row>
    <row r="5471">
      <c r="A5471" s="2"/>
      <c r="B5471" s="13"/>
      <c r="C5471" s="2"/>
      <c r="D5471" s="2"/>
      <c r="E5471" s="2"/>
      <c r="F5471" s="14"/>
      <c r="G5471" s="2"/>
      <c r="H5471" s="2"/>
    </row>
    <row r="5472">
      <c r="A5472" s="2"/>
      <c r="B5472" s="13"/>
      <c r="C5472" s="2"/>
      <c r="D5472" s="2"/>
      <c r="E5472" s="2"/>
      <c r="F5472" s="14"/>
      <c r="G5472" s="2"/>
      <c r="H5472" s="2"/>
    </row>
    <row r="5473">
      <c r="A5473" s="2"/>
      <c r="B5473" s="13"/>
      <c r="C5473" s="2"/>
      <c r="D5473" s="2"/>
      <c r="E5473" s="2"/>
      <c r="F5473" s="14"/>
      <c r="G5473" s="2"/>
      <c r="H5473" s="2"/>
    </row>
    <row r="5474">
      <c r="A5474" s="2"/>
      <c r="B5474" s="13"/>
      <c r="C5474" s="2"/>
      <c r="D5474" s="2"/>
      <c r="E5474" s="2"/>
      <c r="F5474" s="14"/>
      <c r="G5474" s="2"/>
      <c r="H5474" s="2"/>
    </row>
    <row r="5475">
      <c r="A5475" s="2"/>
      <c r="B5475" s="13"/>
      <c r="C5475" s="2"/>
      <c r="D5475" s="2"/>
      <c r="E5475" s="2"/>
      <c r="F5475" s="14"/>
      <c r="G5475" s="2"/>
      <c r="H5475" s="2"/>
    </row>
    <row r="5476">
      <c r="A5476" s="2"/>
      <c r="B5476" s="13"/>
      <c r="C5476" s="2"/>
      <c r="D5476" s="2"/>
      <c r="E5476" s="2"/>
      <c r="F5476" s="14"/>
      <c r="G5476" s="2"/>
      <c r="H5476" s="2"/>
    </row>
    <row r="5477">
      <c r="A5477" s="2"/>
      <c r="B5477" s="13"/>
      <c r="C5477" s="2"/>
      <c r="D5477" s="2"/>
      <c r="E5477" s="2"/>
      <c r="F5477" s="14"/>
      <c r="G5477" s="2"/>
      <c r="H5477" s="2"/>
    </row>
    <row r="5478">
      <c r="A5478" s="2"/>
      <c r="B5478" s="13"/>
      <c r="C5478" s="2"/>
      <c r="D5478" s="2"/>
      <c r="E5478" s="2"/>
      <c r="F5478" s="14"/>
      <c r="G5478" s="2"/>
      <c r="H5478" s="2"/>
    </row>
    <row r="5479">
      <c r="A5479" s="2"/>
      <c r="B5479" s="13"/>
      <c r="C5479" s="2"/>
      <c r="D5479" s="2"/>
      <c r="E5479" s="2"/>
      <c r="F5479" s="14"/>
      <c r="G5479" s="2"/>
      <c r="H5479" s="2"/>
    </row>
    <row r="5480">
      <c r="A5480" s="2"/>
      <c r="B5480" s="13"/>
      <c r="C5480" s="2"/>
      <c r="D5480" s="2"/>
      <c r="E5480" s="2"/>
      <c r="F5480" s="14"/>
      <c r="G5480" s="2"/>
      <c r="H5480" s="2"/>
    </row>
    <row r="5481">
      <c r="A5481" s="2"/>
      <c r="B5481" s="13"/>
      <c r="C5481" s="2"/>
      <c r="D5481" s="2"/>
      <c r="E5481" s="2"/>
      <c r="F5481" s="14"/>
      <c r="G5481" s="2"/>
      <c r="H5481" s="2"/>
    </row>
    <row r="5482">
      <c r="A5482" s="2"/>
      <c r="B5482" s="13"/>
      <c r="C5482" s="2"/>
      <c r="D5482" s="2"/>
      <c r="E5482" s="2"/>
      <c r="F5482" s="14"/>
      <c r="G5482" s="2"/>
      <c r="H5482" s="2"/>
    </row>
    <row r="5483">
      <c r="A5483" s="2"/>
      <c r="B5483" s="13"/>
      <c r="C5483" s="2"/>
      <c r="D5483" s="2"/>
      <c r="E5483" s="2"/>
      <c r="F5483" s="14"/>
      <c r="G5483" s="2"/>
      <c r="H5483" s="2"/>
    </row>
    <row r="5484">
      <c r="A5484" s="2"/>
      <c r="B5484" s="13"/>
      <c r="C5484" s="2"/>
      <c r="D5484" s="2"/>
      <c r="E5484" s="2"/>
      <c r="F5484" s="14"/>
      <c r="G5484" s="2"/>
      <c r="H5484" s="2"/>
    </row>
    <row r="5485">
      <c r="A5485" s="2"/>
      <c r="B5485" s="13"/>
      <c r="C5485" s="2"/>
      <c r="D5485" s="2"/>
      <c r="E5485" s="2"/>
      <c r="F5485" s="14"/>
      <c r="G5485" s="2"/>
      <c r="H5485" s="2"/>
    </row>
    <row r="5486">
      <c r="A5486" s="2"/>
      <c r="B5486" s="13"/>
      <c r="C5486" s="2"/>
      <c r="D5486" s="2"/>
      <c r="E5486" s="2"/>
      <c r="F5486" s="14"/>
      <c r="G5486" s="2"/>
      <c r="H5486" s="2"/>
    </row>
    <row r="5487">
      <c r="A5487" s="2"/>
      <c r="B5487" s="13"/>
      <c r="C5487" s="2"/>
      <c r="D5487" s="2"/>
      <c r="E5487" s="2"/>
      <c r="F5487" s="14"/>
      <c r="G5487" s="2"/>
      <c r="H5487" s="2"/>
    </row>
    <row r="5488">
      <c r="A5488" s="2"/>
      <c r="B5488" s="13"/>
      <c r="C5488" s="2"/>
      <c r="D5488" s="2"/>
      <c r="E5488" s="2"/>
      <c r="F5488" s="14"/>
      <c r="G5488" s="2"/>
      <c r="H5488" s="2"/>
    </row>
    <row r="5489">
      <c r="A5489" s="2"/>
      <c r="B5489" s="13"/>
      <c r="C5489" s="2"/>
      <c r="D5489" s="2"/>
      <c r="E5489" s="2"/>
      <c r="F5489" s="14"/>
      <c r="G5489" s="2"/>
      <c r="H5489" s="2"/>
    </row>
    <row r="5490">
      <c r="A5490" s="2"/>
      <c r="B5490" s="13"/>
      <c r="C5490" s="2"/>
      <c r="D5490" s="2"/>
      <c r="E5490" s="2"/>
      <c r="F5490" s="14"/>
      <c r="G5490" s="2"/>
      <c r="H5490" s="2"/>
    </row>
    <row r="5491">
      <c r="A5491" s="2"/>
      <c r="B5491" s="13"/>
      <c r="C5491" s="2"/>
      <c r="D5491" s="2"/>
      <c r="E5491" s="2"/>
      <c r="F5491" s="14"/>
      <c r="G5491" s="2"/>
      <c r="H5491" s="2"/>
    </row>
    <row r="5492">
      <c r="A5492" s="2"/>
      <c r="B5492" s="13"/>
      <c r="C5492" s="2"/>
      <c r="D5492" s="2"/>
      <c r="E5492" s="2"/>
      <c r="F5492" s="14"/>
      <c r="G5492" s="2"/>
      <c r="H5492" s="2"/>
    </row>
    <row r="5493">
      <c r="A5493" s="2"/>
      <c r="B5493" s="13"/>
      <c r="C5493" s="2"/>
      <c r="D5493" s="2"/>
      <c r="E5493" s="2"/>
      <c r="F5493" s="14"/>
      <c r="G5493" s="2"/>
      <c r="H5493" s="2"/>
    </row>
    <row r="5494">
      <c r="A5494" s="2"/>
      <c r="B5494" s="13"/>
      <c r="C5494" s="2"/>
      <c r="D5494" s="2"/>
      <c r="E5494" s="2"/>
      <c r="F5494" s="14"/>
      <c r="G5494" s="2"/>
      <c r="H5494" s="2"/>
    </row>
    <row r="5495">
      <c r="A5495" s="2"/>
      <c r="B5495" s="13"/>
      <c r="C5495" s="2"/>
      <c r="D5495" s="2"/>
      <c r="E5495" s="2"/>
      <c r="F5495" s="14"/>
      <c r="G5495" s="2"/>
      <c r="H5495" s="2"/>
    </row>
    <row r="5496">
      <c r="A5496" s="2"/>
      <c r="B5496" s="13"/>
      <c r="C5496" s="2"/>
      <c r="D5496" s="2"/>
      <c r="E5496" s="2"/>
      <c r="F5496" s="14"/>
      <c r="G5496" s="2"/>
      <c r="H5496" s="2"/>
    </row>
    <row r="5497">
      <c r="A5497" s="2"/>
      <c r="B5497" s="13"/>
      <c r="C5497" s="2"/>
      <c r="D5497" s="2"/>
      <c r="E5497" s="2"/>
      <c r="F5497" s="14"/>
      <c r="G5497" s="2"/>
      <c r="H5497" s="2"/>
    </row>
    <row r="5498">
      <c r="A5498" s="2"/>
      <c r="B5498" s="13"/>
      <c r="C5498" s="2"/>
      <c r="D5498" s="2"/>
      <c r="E5498" s="2"/>
      <c r="F5498" s="14"/>
      <c r="G5498" s="2"/>
      <c r="H5498" s="2"/>
    </row>
    <row r="5499">
      <c r="A5499" s="2"/>
      <c r="B5499" s="13"/>
      <c r="C5499" s="2"/>
      <c r="D5499" s="2"/>
      <c r="E5499" s="2"/>
      <c r="F5499" s="14"/>
      <c r="G5499" s="2"/>
      <c r="H5499" s="2"/>
    </row>
    <row r="5500">
      <c r="A5500" s="2"/>
      <c r="B5500" s="13"/>
      <c r="C5500" s="2"/>
      <c r="D5500" s="2"/>
      <c r="E5500" s="2"/>
      <c r="F5500" s="14"/>
      <c r="G5500" s="2"/>
      <c r="H5500" s="2"/>
    </row>
    <row r="5501">
      <c r="A5501" s="2"/>
      <c r="B5501" s="13"/>
      <c r="C5501" s="2"/>
      <c r="D5501" s="2"/>
      <c r="E5501" s="2"/>
      <c r="F5501" s="14"/>
      <c r="G5501" s="2"/>
      <c r="H5501" s="2"/>
    </row>
    <row r="5502">
      <c r="A5502" s="2"/>
      <c r="B5502" s="13"/>
      <c r="C5502" s="2"/>
      <c r="D5502" s="2"/>
      <c r="E5502" s="2"/>
      <c r="F5502" s="14"/>
      <c r="G5502" s="2"/>
      <c r="H5502" s="2"/>
    </row>
    <row r="5503">
      <c r="A5503" s="2"/>
      <c r="B5503" s="13"/>
      <c r="C5503" s="2"/>
      <c r="D5503" s="2"/>
      <c r="E5503" s="2"/>
      <c r="F5503" s="14"/>
      <c r="G5503" s="2"/>
      <c r="H5503" s="2"/>
    </row>
    <row r="5504">
      <c r="A5504" s="2"/>
      <c r="B5504" s="13"/>
      <c r="C5504" s="2"/>
      <c r="D5504" s="2"/>
      <c r="E5504" s="2"/>
      <c r="F5504" s="14"/>
      <c r="G5504" s="2"/>
      <c r="H5504" s="2"/>
    </row>
    <row r="5505">
      <c r="A5505" s="2"/>
      <c r="B5505" s="13"/>
      <c r="C5505" s="2"/>
      <c r="D5505" s="2"/>
      <c r="E5505" s="2"/>
      <c r="F5505" s="14"/>
      <c r="G5505" s="2"/>
      <c r="H5505" s="2"/>
    </row>
    <row r="5506">
      <c r="A5506" s="2"/>
      <c r="B5506" s="13"/>
      <c r="C5506" s="2"/>
      <c r="D5506" s="2"/>
      <c r="E5506" s="2"/>
      <c r="F5506" s="14"/>
      <c r="G5506" s="2"/>
      <c r="H5506" s="2"/>
    </row>
    <row r="5507">
      <c r="A5507" s="2"/>
      <c r="B5507" s="13"/>
      <c r="C5507" s="2"/>
      <c r="D5507" s="2"/>
      <c r="E5507" s="2"/>
      <c r="F5507" s="14"/>
      <c r="G5507" s="2"/>
      <c r="H5507" s="2"/>
    </row>
    <row r="5508">
      <c r="A5508" s="2"/>
      <c r="B5508" s="13"/>
      <c r="C5508" s="2"/>
      <c r="D5508" s="2"/>
      <c r="E5508" s="2"/>
      <c r="F5508" s="14"/>
      <c r="G5508" s="2"/>
      <c r="H5508" s="2"/>
    </row>
    <row r="5509">
      <c r="A5509" s="2"/>
      <c r="B5509" s="13"/>
      <c r="C5509" s="2"/>
      <c r="D5509" s="2"/>
      <c r="E5509" s="2"/>
      <c r="F5509" s="14"/>
      <c r="G5509" s="2"/>
      <c r="H5509" s="2"/>
    </row>
    <row r="5510">
      <c r="A5510" s="2"/>
      <c r="B5510" s="13"/>
      <c r="C5510" s="2"/>
      <c r="D5510" s="2"/>
      <c r="E5510" s="2"/>
      <c r="F5510" s="14"/>
      <c r="G5510" s="2"/>
      <c r="H5510" s="2"/>
    </row>
    <row r="5511">
      <c r="A5511" s="2"/>
      <c r="B5511" s="13"/>
      <c r="C5511" s="2"/>
      <c r="D5511" s="2"/>
      <c r="E5511" s="2"/>
      <c r="F5511" s="14"/>
      <c r="G5511" s="2"/>
      <c r="H5511" s="2"/>
    </row>
    <row r="5512">
      <c r="A5512" s="2"/>
      <c r="B5512" s="13"/>
      <c r="C5512" s="2"/>
      <c r="D5512" s="2"/>
      <c r="E5512" s="2"/>
      <c r="F5512" s="14"/>
      <c r="G5512" s="2"/>
      <c r="H5512" s="2"/>
    </row>
    <row r="5513">
      <c r="A5513" s="2"/>
      <c r="B5513" s="13"/>
      <c r="C5513" s="2"/>
      <c r="D5513" s="2"/>
      <c r="E5513" s="2"/>
      <c r="F5513" s="14"/>
      <c r="G5513" s="2"/>
      <c r="H5513" s="2"/>
    </row>
    <row r="5514">
      <c r="A5514" s="2"/>
      <c r="B5514" s="13"/>
      <c r="C5514" s="2"/>
      <c r="D5514" s="2"/>
      <c r="E5514" s="2"/>
      <c r="F5514" s="14"/>
      <c r="G5514" s="2"/>
      <c r="H5514" s="2"/>
    </row>
    <row r="5515">
      <c r="A5515" s="2"/>
      <c r="B5515" s="13"/>
      <c r="C5515" s="2"/>
      <c r="D5515" s="2"/>
      <c r="E5515" s="2"/>
      <c r="F5515" s="14"/>
      <c r="G5515" s="2"/>
      <c r="H5515" s="2"/>
    </row>
    <row r="5516">
      <c r="A5516" s="2"/>
      <c r="B5516" s="13"/>
      <c r="C5516" s="2"/>
      <c r="D5516" s="2"/>
      <c r="E5516" s="2"/>
      <c r="F5516" s="14"/>
      <c r="G5516" s="2"/>
      <c r="H5516" s="2"/>
    </row>
    <row r="5517">
      <c r="A5517" s="2"/>
      <c r="B5517" s="13"/>
      <c r="C5517" s="2"/>
      <c r="D5517" s="2"/>
      <c r="E5517" s="2"/>
      <c r="F5517" s="14"/>
      <c r="G5517" s="2"/>
      <c r="H5517" s="2"/>
    </row>
    <row r="5518">
      <c r="A5518" s="2"/>
      <c r="B5518" s="13"/>
      <c r="C5518" s="2"/>
      <c r="D5518" s="2"/>
      <c r="E5518" s="2"/>
      <c r="F5518" s="14"/>
      <c r="G5518" s="2"/>
      <c r="H5518" s="2"/>
    </row>
    <row r="5519">
      <c r="A5519" s="2"/>
      <c r="B5519" s="13"/>
      <c r="C5519" s="2"/>
      <c r="D5519" s="2"/>
      <c r="E5519" s="2"/>
      <c r="F5519" s="14"/>
      <c r="G5519" s="2"/>
      <c r="H5519" s="2"/>
    </row>
    <row r="5520">
      <c r="A5520" s="2"/>
      <c r="B5520" s="13"/>
      <c r="C5520" s="2"/>
      <c r="D5520" s="2"/>
      <c r="E5520" s="2"/>
      <c r="F5520" s="14"/>
      <c r="G5520" s="2"/>
      <c r="H5520" s="2"/>
    </row>
    <row r="5521">
      <c r="A5521" s="2"/>
      <c r="B5521" s="13"/>
      <c r="C5521" s="2"/>
      <c r="D5521" s="2"/>
      <c r="E5521" s="2"/>
      <c r="F5521" s="14"/>
      <c r="G5521" s="2"/>
      <c r="H5521" s="2"/>
    </row>
    <row r="5522">
      <c r="A5522" s="2"/>
      <c r="B5522" s="13"/>
      <c r="C5522" s="2"/>
      <c r="D5522" s="2"/>
      <c r="E5522" s="2"/>
      <c r="F5522" s="14"/>
      <c r="G5522" s="2"/>
      <c r="H5522" s="2"/>
    </row>
    <row r="5523">
      <c r="A5523" s="2"/>
      <c r="B5523" s="13"/>
      <c r="C5523" s="2"/>
      <c r="D5523" s="2"/>
      <c r="E5523" s="2"/>
      <c r="F5523" s="14"/>
      <c r="G5523" s="2"/>
      <c r="H5523" s="2"/>
    </row>
    <row r="5524">
      <c r="A5524" s="2"/>
      <c r="B5524" s="13"/>
      <c r="C5524" s="2"/>
      <c r="D5524" s="2"/>
      <c r="E5524" s="2"/>
      <c r="F5524" s="14"/>
      <c r="G5524" s="2"/>
      <c r="H5524" s="2"/>
    </row>
    <row r="5525">
      <c r="A5525" s="2"/>
      <c r="B5525" s="13"/>
      <c r="C5525" s="2"/>
      <c r="D5525" s="2"/>
      <c r="E5525" s="2"/>
      <c r="F5525" s="14"/>
      <c r="G5525" s="2"/>
      <c r="H5525" s="2"/>
    </row>
    <row r="5526">
      <c r="A5526" s="2"/>
      <c r="B5526" s="13"/>
      <c r="C5526" s="2"/>
      <c r="D5526" s="2"/>
      <c r="E5526" s="2"/>
      <c r="F5526" s="14"/>
      <c r="G5526" s="2"/>
      <c r="H5526" s="2"/>
    </row>
    <row r="5527">
      <c r="A5527" s="2"/>
      <c r="B5527" s="13"/>
      <c r="C5527" s="2"/>
      <c r="D5527" s="2"/>
      <c r="E5527" s="2"/>
      <c r="F5527" s="14"/>
      <c r="G5527" s="2"/>
      <c r="H5527" s="2"/>
    </row>
    <row r="5528">
      <c r="A5528" s="2"/>
      <c r="B5528" s="13"/>
      <c r="C5528" s="2"/>
      <c r="D5528" s="2"/>
      <c r="E5528" s="2"/>
      <c r="F5528" s="14"/>
      <c r="G5528" s="2"/>
      <c r="H5528" s="2"/>
    </row>
    <row r="5529">
      <c r="A5529" s="2"/>
      <c r="B5529" s="13"/>
      <c r="C5529" s="2"/>
      <c r="D5529" s="2"/>
      <c r="E5529" s="2"/>
      <c r="F5529" s="14"/>
      <c r="G5529" s="2"/>
      <c r="H5529" s="2"/>
    </row>
    <row r="5530">
      <c r="A5530" s="2"/>
      <c r="B5530" s="13"/>
      <c r="C5530" s="2"/>
      <c r="D5530" s="2"/>
      <c r="E5530" s="2"/>
      <c r="F5530" s="14"/>
      <c r="G5530" s="2"/>
      <c r="H5530" s="2"/>
    </row>
    <row r="5531">
      <c r="A5531" s="2"/>
      <c r="B5531" s="13"/>
      <c r="C5531" s="2"/>
      <c r="D5531" s="2"/>
      <c r="E5531" s="2"/>
      <c r="F5531" s="14"/>
      <c r="G5531" s="2"/>
      <c r="H5531" s="2"/>
    </row>
    <row r="5532">
      <c r="A5532" s="2"/>
      <c r="B5532" s="13"/>
      <c r="C5532" s="2"/>
      <c r="D5532" s="2"/>
      <c r="E5532" s="2"/>
      <c r="F5532" s="14"/>
      <c r="G5532" s="2"/>
      <c r="H5532" s="2"/>
    </row>
    <row r="5533">
      <c r="A5533" s="2"/>
      <c r="B5533" s="13"/>
      <c r="C5533" s="2"/>
      <c r="D5533" s="2"/>
      <c r="E5533" s="2"/>
      <c r="F5533" s="14"/>
      <c r="G5533" s="2"/>
      <c r="H5533" s="2"/>
    </row>
    <row r="5534">
      <c r="A5534" s="2"/>
      <c r="B5534" s="13"/>
      <c r="C5534" s="2"/>
      <c r="D5534" s="2"/>
      <c r="E5534" s="2"/>
      <c r="F5534" s="14"/>
      <c r="G5534" s="2"/>
      <c r="H5534" s="2"/>
    </row>
    <row r="5535">
      <c r="A5535" s="2"/>
      <c r="B5535" s="13"/>
      <c r="C5535" s="2"/>
      <c r="D5535" s="2"/>
      <c r="E5535" s="2"/>
      <c r="F5535" s="14"/>
      <c r="G5535" s="2"/>
      <c r="H5535" s="2"/>
    </row>
    <row r="5536">
      <c r="A5536" s="2"/>
      <c r="B5536" s="13"/>
      <c r="C5536" s="2"/>
      <c r="D5536" s="2"/>
      <c r="E5536" s="2"/>
      <c r="F5536" s="14"/>
      <c r="G5536" s="2"/>
      <c r="H5536" s="2"/>
    </row>
    <row r="5537">
      <c r="A5537" s="2"/>
      <c r="B5537" s="13"/>
      <c r="C5537" s="2"/>
      <c r="D5537" s="2"/>
      <c r="E5537" s="2"/>
      <c r="F5537" s="14"/>
      <c r="G5537" s="2"/>
      <c r="H5537" s="2"/>
    </row>
    <row r="5538">
      <c r="A5538" s="2"/>
      <c r="B5538" s="13"/>
      <c r="C5538" s="2"/>
      <c r="D5538" s="2"/>
      <c r="E5538" s="2"/>
      <c r="F5538" s="14"/>
      <c r="G5538" s="2"/>
      <c r="H5538" s="2"/>
    </row>
    <row r="5539">
      <c r="A5539" s="2"/>
      <c r="B5539" s="13"/>
      <c r="C5539" s="2"/>
      <c r="D5539" s="2"/>
      <c r="E5539" s="2"/>
      <c r="F5539" s="14"/>
      <c r="G5539" s="2"/>
      <c r="H5539" s="2"/>
    </row>
    <row r="5540">
      <c r="A5540" s="2"/>
      <c r="B5540" s="13"/>
      <c r="C5540" s="2"/>
      <c r="D5540" s="2"/>
      <c r="E5540" s="2"/>
      <c r="F5540" s="14"/>
      <c r="G5540" s="2"/>
      <c r="H5540" s="2"/>
    </row>
    <row r="5541">
      <c r="A5541" s="2"/>
      <c r="B5541" s="13"/>
      <c r="C5541" s="2"/>
      <c r="D5541" s="2"/>
      <c r="E5541" s="2"/>
      <c r="F5541" s="14"/>
      <c r="G5541" s="2"/>
      <c r="H5541" s="2"/>
    </row>
    <row r="5542">
      <c r="A5542" s="2"/>
      <c r="B5542" s="13"/>
      <c r="C5542" s="2"/>
      <c r="D5542" s="2"/>
      <c r="E5542" s="2"/>
      <c r="F5542" s="14"/>
      <c r="G5542" s="2"/>
      <c r="H5542" s="2"/>
    </row>
    <row r="5543">
      <c r="A5543" s="2"/>
      <c r="B5543" s="13"/>
      <c r="C5543" s="2"/>
      <c r="D5543" s="2"/>
      <c r="E5543" s="2"/>
      <c r="F5543" s="14"/>
      <c r="G5543" s="2"/>
      <c r="H5543" s="2"/>
    </row>
    <row r="5544">
      <c r="A5544" s="2"/>
      <c r="B5544" s="13"/>
      <c r="C5544" s="2"/>
      <c r="D5544" s="2"/>
      <c r="E5544" s="2"/>
      <c r="F5544" s="14"/>
      <c r="G5544" s="2"/>
      <c r="H5544" s="2"/>
    </row>
    <row r="5545">
      <c r="A5545" s="2"/>
      <c r="B5545" s="13"/>
      <c r="C5545" s="2"/>
      <c r="D5545" s="2"/>
      <c r="E5545" s="2"/>
      <c r="F5545" s="14"/>
      <c r="G5545" s="2"/>
      <c r="H5545" s="2"/>
    </row>
    <row r="5546">
      <c r="A5546" s="2"/>
      <c r="B5546" s="13"/>
      <c r="C5546" s="2"/>
      <c r="D5546" s="2"/>
      <c r="E5546" s="2"/>
      <c r="F5546" s="14"/>
      <c r="G5546" s="2"/>
      <c r="H5546" s="2"/>
    </row>
    <row r="5547">
      <c r="A5547" s="2"/>
      <c r="B5547" s="13"/>
      <c r="C5547" s="2"/>
      <c r="D5547" s="2"/>
      <c r="E5547" s="2"/>
      <c r="F5547" s="14"/>
      <c r="G5547" s="2"/>
      <c r="H5547" s="2"/>
    </row>
    <row r="5548">
      <c r="A5548" s="2"/>
      <c r="B5548" s="13"/>
      <c r="C5548" s="2"/>
      <c r="D5548" s="2"/>
      <c r="E5548" s="2"/>
      <c r="F5548" s="14"/>
      <c r="G5548" s="2"/>
      <c r="H5548" s="2"/>
    </row>
    <row r="5549">
      <c r="A5549" s="2"/>
      <c r="B5549" s="13"/>
      <c r="C5549" s="2"/>
      <c r="D5549" s="2"/>
      <c r="E5549" s="2"/>
      <c r="F5549" s="14"/>
      <c r="G5549" s="2"/>
      <c r="H5549" s="2"/>
    </row>
    <row r="5550">
      <c r="A5550" s="2"/>
      <c r="B5550" s="13"/>
      <c r="C5550" s="2"/>
      <c r="D5550" s="2"/>
      <c r="E5550" s="2"/>
      <c r="F5550" s="14"/>
      <c r="G5550" s="2"/>
      <c r="H5550" s="2"/>
    </row>
    <row r="5551">
      <c r="A5551" s="2"/>
      <c r="B5551" s="13"/>
      <c r="C5551" s="2"/>
      <c r="D5551" s="2"/>
      <c r="E5551" s="2"/>
      <c r="F5551" s="14"/>
      <c r="G5551" s="2"/>
      <c r="H5551" s="2"/>
    </row>
    <row r="5552">
      <c r="A5552" s="2"/>
      <c r="B5552" s="13"/>
      <c r="C5552" s="2"/>
      <c r="D5552" s="2"/>
      <c r="E5552" s="2"/>
      <c r="F5552" s="14"/>
      <c r="G5552" s="2"/>
      <c r="H5552" s="2"/>
    </row>
    <row r="5553">
      <c r="A5553" s="2"/>
      <c r="B5553" s="13"/>
      <c r="C5553" s="2"/>
      <c r="D5553" s="2"/>
      <c r="E5553" s="2"/>
      <c r="F5553" s="14"/>
      <c r="G5553" s="2"/>
      <c r="H5553" s="2"/>
    </row>
    <row r="5554">
      <c r="A5554" s="2"/>
      <c r="B5554" s="13"/>
      <c r="C5554" s="2"/>
      <c r="D5554" s="2"/>
      <c r="E5554" s="2"/>
      <c r="F5554" s="14"/>
      <c r="G5554" s="2"/>
      <c r="H5554" s="2"/>
    </row>
    <row r="5555">
      <c r="A5555" s="2"/>
      <c r="B5555" s="13"/>
      <c r="C5555" s="2"/>
      <c r="D5555" s="2"/>
      <c r="E5555" s="2"/>
      <c r="F5555" s="14"/>
      <c r="G5555" s="2"/>
      <c r="H5555" s="2"/>
    </row>
    <row r="5556">
      <c r="A5556" s="2"/>
      <c r="B5556" s="13"/>
      <c r="C5556" s="2"/>
      <c r="D5556" s="2"/>
      <c r="E5556" s="2"/>
      <c r="F5556" s="14"/>
      <c r="G5556" s="2"/>
      <c r="H5556" s="2"/>
    </row>
    <row r="5557">
      <c r="A5557" s="2"/>
      <c r="B5557" s="13"/>
      <c r="C5557" s="2"/>
      <c r="D5557" s="2"/>
      <c r="E5557" s="2"/>
      <c r="F5557" s="14"/>
      <c r="G5557" s="2"/>
      <c r="H5557" s="2"/>
    </row>
    <row r="5558">
      <c r="A5558" s="2"/>
      <c r="B5558" s="13"/>
      <c r="C5558" s="2"/>
      <c r="D5558" s="2"/>
      <c r="E5558" s="2"/>
      <c r="F5558" s="14"/>
      <c r="G5558" s="2"/>
      <c r="H5558" s="2"/>
    </row>
    <row r="5559">
      <c r="A5559" s="2"/>
      <c r="B5559" s="13"/>
      <c r="C5559" s="2"/>
      <c r="D5559" s="2"/>
      <c r="E5559" s="2"/>
      <c r="F5559" s="14"/>
      <c r="G5559" s="2"/>
      <c r="H5559" s="2"/>
    </row>
    <row r="5560">
      <c r="A5560" s="2"/>
      <c r="B5560" s="13"/>
      <c r="C5560" s="2"/>
      <c r="D5560" s="2"/>
      <c r="E5560" s="2"/>
      <c r="F5560" s="14"/>
      <c r="G5560" s="2"/>
      <c r="H5560" s="2"/>
    </row>
    <row r="5561">
      <c r="A5561" s="2"/>
      <c r="B5561" s="13"/>
      <c r="C5561" s="2"/>
      <c r="D5561" s="2"/>
      <c r="E5561" s="2"/>
      <c r="F5561" s="14"/>
      <c r="G5561" s="2"/>
      <c r="H5561" s="2"/>
    </row>
    <row r="5562">
      <c r="A5562" s="2"/>
      <c r="B5562" s="13"/>
      <c r="C5562" s="2"/>
      <c r="D5562" s="2"/>
      <c r="E5562" s="2"/>
      <c r="F5562" s="14"/>
      <c r="G5562" s="2"/>
      <c r="H5562" s="2"/>
    </row>
    <row r="5563">
      <c r="A5563" s="2"/>
      <c r="B5563" s="13"/>
      <c r="C5563" s="2"/>
      <c r="D5563" s="2"/>
      <c r="E5563" s="2"/>
      <c r="F5563" s="14"/>
      <c r="G5563" s="2"/>
      <c r="H5563" s="2"/>
    </row>
    <row r="5564">
      <c r="A5564" s="2"/>
      <c r="B5564" s="13"/>
      <c r="C5564" s="2"/>
      <c r="D5564" s="2"/>
      <c r="E5564" s="2"/>
      <c r="F5564" s="14"/>
      <c r="G5564" s="2"/>
      <c r="H5564" s="2"/>
    </row>
    <row r="5565">
      <c r="A5565" s="2"/>
      <c r="B5565" s="13"/>
      <c r="C5565" s="2"/>
      <c r="D5565" s="2"/>
      <c r="E5565" s="2"/>
      <c r="F5565" s="14"/>
      <c r="G5565" s="2"/>
      <c r="H5565" s="2"/>
    </row>
    <row r="5566">
      <c r="A5566" s="2"/>
      <c r="B5566" s="13"/>
      <c r="C5566" s="2"/>
      <c r="D5566" s="2"/>
      <c r="E5566" s="2"/>
      <c r="F5566" s="14"/>
      <c r="G5566" s="2"/>
      <c r="H5566" s="2"/>
    </row>
    <row r="5567">
      <c r="A5567" s="2"/>
      <c r="B5567" s="13"/>
      <c r="C5567" s="2"/>
      <c r="D5567" s="2"/>
      <c r="E5567" s="2"/>
      <c r="F5567" s="14"/>
      <c r="G5567" s="2"/>
      <c r="H5567" s="2"/>
    </row>
    <row r="5568">
      <c r="A5568" s="2"/>
      <c r="B5568" s="13"/>
      <c r="C5568" s="2"/>
      <c r="D5568" s="2"/>
      <c r="E5568" s="2"/>
      <c r="F5568" s="14"/>
      <c r="G5568" s="2"/>
      <c r="H5568" s="2"/>
    </row>
    <row r="5569">
      <c r="A5569" s="2"/>
      <c r="B5569" s="13"/>
      <c r="C5569" s="2"/>
      <c r="D5569" s="2"/>
      <c r="E5569" s="2"/>
      <c r="F5569" s="14"/>
      <c r="G5569" s="2"/>
      <c r="H5569" s="2"/>
    </row>
    <row r="5570">
      <c r="A5570" s="2"/>
      <c r="B5570" s="13"/>
      <c r="C5570" s="2"/>
      <c r="D5570" s="2"/>
      <c r="E5570" s="2"/>
      <c r="F5570" s="14"/>
      <c r="G5570" s="2"/>
      <c r="H5570" s="2"/>
    </row>
    <row r="5571">
      <c r="A5571" s="2"/>
      <c r="B5571" s="13"/>
      <c r="C5571" s="2"/>
      <c r="D5571" s="2"/>
      <c r="E5571" s="2"/>
      <c r="F5571" s="14"/>
      <c r="G5571" s="2"/>
      <c r="H5571" s="2"/>
    </row>
    <row r="5572">
      <c r="A5572" s="2"/>
      <c r="B5572" s="13"/>
      <c r="C5572" s="2"/>
      <c r="D5572" s="2"/>
      <c r="E5572" s="2"/>
      <c r="F5572" s="14"/>
      <c r="G5572" s="2"/>
      <c r="H5572" s="2"/>
    </row>
    <row r="5573">
      <c r="A5573" s="2"/>
      <c r="B5573" s="13"/>
      <c r="C5573" s="2"/>
      <c r="D5573" s="2"/>
      <c r="E5573" s="2"/>
      <c r="F5573" s="14"/>
      <c r="G5573" s="2"/>
      <c r="H5573" s="2"/>
    </row>
    <row r="5574">
      <c r="A5574" s="2"/>
      <c r="B5574" s="13"/>
      <c r="C5574" s="2"/>
      <c r="D5574" s="2"/>
      <c r="E5574" s="2"/>
      <c r="F5574" s="14"/>
      <c r="G5574" s="2"/>
      <c r="H5574" s="2"/>
    </row>
    <row r="5575">
      <c r="A5575" s="2"/>
      <c r="B5575" s="13"/>
      <c r="C5575" s="2"/>
      <c r="D5575" s="2"/>
      <c r="E5575" s="2"/>
      <c r="F5575" s="14"/>
      <c r="G5575" s="2"/>
      <c r="H5575" s="2"/>
    </row>
    <row r="5576">
      <c r="A5576" s="2"/>
      <c r="B5576" s="13"/>
      <c r="C5576" s="2"/>
      <c r="D5576" s="2"/>
      <c r="E5576" s="2"/>
      <c r="F5576" s="14"/>
      <c r="G5576" s="2"/>
      <c r="H5576" s="2"/>
    </row>
    <row r="5577">
      <c r="A5577" s="2"/>
      <c r="B5577" s="13"/>
      <c r="C5577" s="2"/>
      <c r="D5577" s="2"/>
      <c r="E5577" s="2"/>
      <c r="F5577" s="14"/>
      <c r="G5577" s="2"/>
      <c r="H5577" s="2"/>
    </row>
    <row r="5578">
      <c r="A5578" s="2"/>
      <c r="B5578" s="13"/>
      <c r="C5578" s="2"/>
      <c r="D5578" s="2"/>
      <c r="E5578" s="2"/>
      <c r="F5578" s="14"/>
      <c r="G5578" s="2"/>
      <c r="H5578" s="2"/>
    </row>
    <row r="5579">
      <c r="A5579" s="2"/>
      <c r="B5579" s="13"/>
      <c r="C5579" s="2"/>
      <c r="D5579" s="2"/>
      <c r="E5579" s="2"/>
      <c r="F5579" s="14"/>
      <c r="G5579" s="2"/>
      <c r="H5579" s="2"/>
    </row>
    <row r="5580">
      <c r="A5580" s="2"/>
      <c r="B5580" s="13"/>
      <c r="C5580" s="2"/>
      <c r="D5580" s="2"/>
      <c r="E5580" s="2"/>
      <c r="F5580" s="14"/>
      <c r="G5580" s="2"/>
      <c r="H5580" s="2"/>
    </row>
    <row r="5581">
      <c r="A5581" s="2"/>
      <c r="B5581" s="13"/>
      <c r="C5581" s="2"/>
      <c r="D5581" s="2"/>
      <c r="E5581" s="2"/>
      <c r="F5581" s="14"/>
      <c r="G5581" s="2"/>
      <c r="H5581" s="2"/>
    </row>
    <row r="5582">
      <c r="A5582" s="2"/>
      <c r="B5582" s="13"/>
      <c r="C5582" s="2"/>
      <c r="D5582" s="2"/>
      <c r="E5582" s="2"/>
      <c r="F5582" s="14"/>
      <c r="G5582" s="2"/>
      <c r="H5582" s="2"/>
    </row>
    <row r="5583">
      <c r="A5583" s="2"/>
      <c r="B5583" s="13"/>
      <c r="C5583" s="2"/>
      <c r="D5583" s="2"/>
      <c r="E5583" s="2"/>
      <c r="F5583" s="14"/>
      <c r="G5583" s="2"/>
      <c r="H5583" s="2"/>
    </row>
    <row r="5584">
      <c r="A5584" s="2"/>
      <c r="B5584" s="13"/>
      <c r="C5584" s="2"/>
      <c r="D5584" s="2"/>
      <c r="E5584" s="2"/>
      <c r="F5584" s="14"/>
      <c r="G5584" s="2"/>
      <c r="H5584" s="2"/>
    </row>
    <row r="5585">
      <c r="A5585" s="2"/>
      <c r="B5585" s="13"/>
      <c r="C5585" s="2"/>
      <c r="D5585" s="2"/>
      <c r="E5585" s="2"/>
      <c r="F5585" s="14"/>
      <c r="G5585" s="2"/>
      <c r="H5585" s="2"/>
    </row>
    <row r="5586">
      <c r="A5586" s="2"/>
      <c r="B5586" s="13"/>
      <c r="C5586" s="2"/>
      <c r="D5586" s="2"/>
      <c r="E5586" s="2"/>
      <c r="F5586" s="14"/>
      <c r="G5586" s="2"/>
      <c r="H5586" s="2"/>
    </row>
    <row r="5587">
      <c r="A5587" s="2"/>
      <c r="B5587" s="13"/>
      <c r="C5587" s="2"/>
      <c r="D5587" s="2"/>
      <c r="E5587" s="2"/>
      <c r="F5587" s="14"/>
      <c r="G5587" s="2"/>
      <c r="H5587" s="2"/>
    </row>
    <row r="5588">
      <c r="A5588" s="2"/>
      <c r="B5588" s="13"/>
      <c r="C5588" s="2"/>
      <c r="D5588" s="2"/>
      <c r="E5588" s="2"/>
      <c r="F5588" s="14"/>
      <c r="G5588" s="2"/>
      <c r="H5588" s="2"/>
    </row>
    <row r="5589">
      <c r="A5589" s="2"/>
      <c r="B5589" s="13"/>
      <c r="C5589" s="2"/>
      <c r="D5589" s="2"/>
      <c r="E5589" s="2"/>
      <c r="F5589" s="14"/>
      <c r="G5589" s="2"/>
      <c r="H5589" s="2"/>
    </row>
    <row r="5590">
      <c r="A5590" s="2"/>
      <c r="B5590" s="13"/>
      <c r="C5590" s="2"/>
      <c r="D5590" s="2"/>
      <c r="E5590" s="2"/>
      <c r="F5590" s="14"/>
      <c r="G5590" s="2"/>
      <c r="H5590" s="2"/>
    </row>
    <row r="5591">
      <c r="A5591" s="2"/>
      <c r="B5591" s="13"/>
      <c r="C5591" s="2"/>
      <c r="D5591" s="2"/>
      <c r="E5591" s="2"/>
      <c r="F5591" s="14"/>
      <c r="G5591" s="2"/>
      <c r="H5591" s="2"/>
    </row>
    <row r="5592">
      <c r="A5592" s="2"/>
      <c r="B5592" s="13"/>
      <c r="C5592" s="2"/>
      <c r="D5592" s="2"/>
      <c r="E5592" s="2"/>
      <c r="F5592" s="14"/>
      <c r="G5592" s="2"/>
      <c r="H5592" s="2"/>
    </row>
    <row r="5593">
      <c r="A5593" s="2"/>
      <c r="B5593" s="13"/>
      <c r="C5593" s="2"/>
      <c r="D5593" s="2"/>
      <c r="E5593" s="2"/>
      <c r="F5593" s="14"/>
      <c r="G5593" s="2"/>
      <c r="H5593" s="2"/>
    </row>
    <row r="5594">
      <c r="A5594" s="2"/>
      <c r="B5594" s="13"/>
      <c r="C5594" s="2"/>
      <c r="D5594" s="2"/>
      <c r="E5594" s="2"/>
      <c r="F5594" s="14"/>
      <c r="G5594" s="2"/>
      <c r="H5594" s="2"/>
    </row>
    <row r="5595">
      <c r="A5595" s="2"/>
      <c r="B5595" s="13"/>
      <c r="C5595" s="2"/>
      <c r="D5595" s="2"/>
      <c r="E5595" s="2"/>
      <c r="F5595" s="14"/>
      <c r="G5595" s="2"/>
      <c r="H5595" s="2"/>
    </row>
    <row r="5596">
      <c r="A5596" s="2"/>
      <c r="B5596" s="13"/>
      <c r="C5596" s="2"/>
      <c r="D5596" s="2"/>
      <c r="E5596" s="2"/>
      <c r="F5596" s="14"/>
      <c r="G5596" s="2"/>
      <c r="H5596" s="2"/>
    </row>
    <row r="5597">
      <c r="A5597" s="2"/>
      <c r="B5597" s="13"/>
      <c r="C5597" s="2"/>
      <c r="D5597" s="2"/>
      <c r="E5597" s="2"/>
      <c r="F5597" s="14"/>
      <c r="G5597" s="2"/>
      <c r="H5597" s="2"/>
    </row>
    <row r="5598">
      <c r="A5598" s="2"/>
      <c r="B5598" s="13"/>
      <c r="C5598" s="2"/>
      <c r="D5598" s="2"/>
      <c r="E5598" s="2"/>
      <c r="F5598" s="14"/>
      <c r="G5598" s="2"/>
      <c r="H5598" s="2"/>
    </row>
    <row r="5599">
      <c r="A5599" s="2"/>
      <c r="B5599" s="13"/>
      <c r="C5599" s="2"/>
      <c r="D5599" s="2"/>
      <c r="E5599" s="2"/>
      <c r="F5599" s="14"/>
      <c r="G5599" s="2"/>
      <c r="H5599" s="2"/>
    </row>
    <row r="5600">
      <c r="A5600" s="2"/>
      <c r="B5600" s="13"/>
      <c r="C5600" s="2"/>
      <c r="D5600" s="2"/>
      <c r="E5600" s="2"/>
      <c r="F5600" s="14"/>
      <c r="G5600" s="2"/>
      <c r="H5600" s="2"/>
    </row>
    <row r="5601">
      <c r="A5601" s="2"/>
      <c r="B5601" s="13"/>
      <c r="C5601" s="2"/>
      <c r="D5601" s="2"/>
      <c r="E5601" s="2"/>
      <c r="F5601" s="14"/>
      <c r="G5601" s="2"/>
      <c r="H5601" s="2"/>
    </row>
    <row r="5602">
      <c r="A5602" s="2"/>
      <c r="B5602" s="13"/>
      <c r="C5602" s="2"/>
      <c r="D5602" s="2"/>
      <c r="E5602" s="2"/>
      <c r="F5602" s="14"/>
      <c r="G5602" s="2"/>
      <c r="H5602" s="2"/>
    </row>
    <row r="5603">
      <c r="A5603" s="2"/>
      <c r="B5603" s="13"/>
      <c r="C5603" s="2"/>
      <c r="D5603" s="2"/>
      <c r="E5603" s="2"/>
      <c r="F5603" s="14"/>
      <c r="G5603" s="2"/>
      <c r="H5603" s="2"/>
    </row>
    <row r="5604">
      <c r="A5604" s="2"/>
      <c r="B5604" s="13"/>
      <c r="C5604" s="2"/>
      <c r="D5604" s="2"/>
      <c r="E5604" s="2"/>
      <c r="F5604" s="14"/>
      <c r="G5604" s="2"/>
      <c r="H5604" s="2"/>
    </row>
    <row r="5605">
      <c r="A5605" s="2"/>
      <c r="B5605" s="13"/>
      <c r="C5605" s="2"/>
      <c r="D5605" s="2"/>
      <c r="E5605" s="2"/>
      <c r="F5605" s="14"/>
      <c r="G5605" s="2"/>
      <c r="H5605" s="2"/>
    </row>
    <row r="5606">
      <c r="A5606" s="2"/>
      <c r="B5606" s="13"/>
      <c r="C5606" s="2"/>
      <c r="D5606" s="2"/>
      <c r="E5606" s="2"/>
      <c r="F5606" s="14"/>
      <c r="G5606" s="2"/>
      <c r="H5606" s="2"/>
    </row>
    <row r="5607">
      <c r="A5607" s="2"/>
      <c r="B5607" s="13"/>
      <c r="C5607" s="2"/>
      <c r="D5607" s="2"/>
      <c r="E5607" s="2"/>
      <c r="F5607" s="14"/>
      <c r="G5607" s="2"/>
      <c r="H5607" s="2"/>
    </row>
    <row r="5608">
      <c r="A5608" s="2"/>
      <c r="B5608" s="13"/>
      <c r="C5608" s="2"/>
      <c r="D5608" s="2"/>
      <c r="E5608" s="2"/>
      <c r="F5608" s="14"/>
      <c r="G5608" s="2"/>
      <c r="H5608" s="2"/>
    </row>
    <row r="5609">
      <c r="A5609" s="2"/>
      <c r="B5609" s="13"/>
      <c r="C5609" s="2"/>
      <c r="D5609" s="2"/>
      <c r="E5609" s="2"/>
      <c r="F5609" s="14"/>
      <c r="G5609" s="2"/>
      <c r="H5609" s="2"/>
    </row>
    <row r="5610">
      <c r="A5610" s="2"/>
      <c r="B5610" s="13"/>
      <c r="C5610" s="2"/>
      <c r="D5610" s="2"/>
      <c r="E5610" s="2"/>
      <c r="F5610" s="14"/>
      <c r="G5610" s="2"/>
      <c r="H5610" s="2"/>
    </row>
    <row r="5611">
      <c r="A5611" s="2"/>
      <c r="B5611" s="13"/>
      <c r="C5611" s="2"/>
      <c r="D5611" s="2"/>
      <c r="E5611" s="2"/>
      <c r="F5611" s="14"/>
      <c r="G5611" s="2"/>
      <c r="H5611" s="2"/>
    </row>
    <row r="5612">
      <c r="A5612" s="2"/>
      <c r="B5612" s="13"/>
      <c r="C5612" s="2"/>
      <c r="D5612" s="2"/>
      <c r="E5612" s="2"/>
      <c r="F5612" s="14"/>
      <c r="G5612" s="2"/>
      <c r="H5612" s="2"/>
    </row>
    <row r="5613">
      <c r="A5613" s="2"/>
      <c r="B5613" s="13"/>
      <c r="C5613" s="2"/>
      <c r="D5613" s="2"/>
      <c r="E5613" s="2"/>
      <c r="F5613" s="14"/>
      <c r="G5613" s="2"/>
      <c r="H5613" s="2"/>
    </row>
    <row r="5614">
      <c r="A5614" s="2"/>
      <c r="B5614" s="13"/>
      <c r="C5614" s="2"/>
      <c r="D5614" s="2"/>
      <c r="E5614" s="2"/>
      <c r="F5614" s="14"/>
      <c r="G5614" s="2"/>
      <c r="H5614" s="2"/>
    </row>
    <row r="5615">
      <c r="A5615" s="2"/>
      <c r="B5615" s="13"/>
      <c r="C5615" s="2"/>
      <c r="D5615" s="2"/>
      <c r="E5615" s="2"/>
      <c r="F5615" s="14"/>
      <c r="G5615" s="2"/>
      <c r="H5615" s="2"/>
    </row>
    <row r="5616">
      <c r="A5616" s="2"/>
      <c r="B5616" s="13"/>
      <c r="C5616" s="2"/>
      <c r="D5616" s="2"/>
      <c r="E5616" s="2"/>
      <c r="F5616" s="14"/>
      <c r="G5616" s="2"/>
      <c r="H5616" s="2"/>
    </row>
    <row r="5617">
      <c r="A5617" s="2"/>
      <c r="B5617" s="13"/>
      <c r="C5617" s="2"/>
      <c r="D5617" s="2"/>
      <c r="E5617" s="2"/>
      <c r="F5617" s="14"/>
      <c r="G5617" s="2"/>
      <c r="H5617" s="2"/>
    </row>
    <row r="5618">
      <c r="A5618" s="2"/>
      <c r="B5618" s="13"/>
      <c r="C5618" s="2"/>
      <c r="D5618" s="2"/>
      <c r="E5618" s="2"/>
      <c r="F5618" s="14"/>
      <c r="G5618" s="2"/>
      <c r="H5618" s="2"/>
    </row>
    <row r="5619">
      <c r="A5619" s="2"/>
      <c r="B5619" s="13"/>
      <c r="C5619" s="2"/>
      <c r="D5619" s="2"/>
      <c r="E5619" s="2"/>
      <c r="F5619" s="14"/>
      <c r="G5619" s="2"/>
      <c r="H5619" s="2"/>
    </row>
    <row r="5620">
      <c r="A5620" s="2"/>
      <c r="B5620" s="13"/>
      <c r="C5620" s="2"/>
      <c r="D5620" s="2"/>
      <c r="E5620" s="2"/>
      <c r="F5620" s="14"/>
      <c r="G5620" s="2"/>
      <c r="H5620" s="2"/>
    </row>
    <row r="5621">
      <c r="A5621" s="2"/>
      <c r="B5621" s="13"/>
      <c r="C5621" s="2"/>
      <c r="D5621" s="2"/>
      <c r="E5621" s="2"/>
      <c r="F5621" s="14"/>
      <c r="G5621" s="2"/>
      <c r="H5621" s="2"/>
    </row>
    <row r="5622">
      <c r="A5622" s="2"/>
      <c r="B5622" s="13"/>
      <c r="C5622" s="2"/>
      <c r="D5622" s="2"/>
      <c r="E5622" s="2"/>
      <c r="F5622" s="14"/>
      <c r="G5622" s="2"/>
      <c r="H5622" s="2"/>
    </row>
    <row r="5623">
      <c r="A5623" s="2"/>
      <c r="B5623" s="13"/>
      <c r="C5623" s="2"/>
      <c r="D5623" s="2"/>
      <c r="E5623" s="2"/>
      <c r="F5623" s="14"/>
      <c r="G5623" s="2"/>
      <c r="H5623" s="2"/>
    </row>
    <row r="5624">
      <c r="A5624" s="2"/>
      <c r="B5624" s="13"/>
      <c r="C5624" s="2"/>
      <c r="D5624" s="2"/>
      <c r="E5624" s="2"/>
      <c r="F5624" s="14"/>
      <c r="G5624" s="2"/>
      <c r="H5624" s="2"/>
    </row>
    <row r="5625">
      <c r="A5625" s="2"/>
      <c r="B5625" s="13"/>
      <c r="C5625" s="2"/>
      <c r="D5625" s="2"/>
      <c r="E5625" s="2"/>
      <c r="F5625" s="14"/>
      <c r="G5625" s="2"/>
      <c r="H5625" s="2"/>
    </row>
    <row r="5626">
      <c r="A5626" s="2"/>
      <c r="B5626" s="13"/>
      <c r="C5626" s="2"/>
      <c r="D5626" s="2"/>
      <c r="E5626" s="2"/>
      <c r="F5626" s="14"/>
      <c r="G5626" s="2"/>
      <c r="H5626" s="2"/>
    </row>
    <row r="5627">
      <c r="A5627" s="2"/>
      <c r="B5627" s="13"/>
      <c r="C5627" s="2"/>
      <c r="D5627" s="2"/>
      <c r="E5627" s="2"/>
      <c r="F5627" s="14"/>
      <c r="G5627" s="2"/>
      <c r="H5627" s="2"/>
    </row>
    <row r="5628">
      <c r="A5628" s="2"/>
      <c r="B5628" s="13"/>
      <c r="C5628" s="2"/>
      <c r="D5628" s="2"/>
      <c r="E5628" s="2"/>
      <c r="F5628" s="14"/>
      <c r="G5628" s="2"/>
      <c r="H5628" s="2"/>
    </row>
    <row r="5629">
      <c r="A5629" s="2"/>
      <c r="B5629" s="13"/>
      <c r="C5629" s="2"/>
      <c r="D5629" s="2"/>
      <c r="E5629" s="2"/>
      <c r="F5629" s="14"/>
      <c r="G5629" s="2"/>
      <c r="H5629" s="2"/>
    </row>
    <row r="5630">
      <c r="A5630" s="2"/>
      <c r="B5630" s="13"/>
      <c r="C5630" s="2"/>
      <c r="D5630" s="2"/>
      <c r="E5630" s="2"/>
      <c r="F5630" s="14"/>
      <c r="G5630" s="2"/>
      <c r="H5630" s="2"/>
    </row>
    <row r="5631">
      <c r="A5631" s="2"/>
      <c r="B5631" s="13"/>
      <c r="C5631" s="2"/>
      <c r="D5631" s="2"/>
      <c r="E5631" s="2"/>
      <c r="F5631" s="14"/>
      <c r="G5631" s="2"/>
      <c r="H5631" s="2"/>
    </row>
    <row r="5632">
      <c r="A5632" s="2"/>
      <c r="B5632" s="13"/>
      <c r="C5632" s="2"/>
      <c r="D5632" s="2"/>
      <c r="E5632" s="2"/>
      <c r="F5632" s="14"/>
      <c r="G5632" s="2"/>
      <c r="H5632" s="2"/>
    </row>
    <row r="5633">
      <c r="A5633" s="2"/>
      <c r="B5633" s="13"/>
      <c r="C5633" s="2"/>
      <c r="D5633" s="2"/>
      <c r="E5633" s="2"/>
      <c r="F5633" s="14"/>
      <c r="G5633" s="2"/>
      <c r="H5633" s="2"/>
    </row>
    <row r="5634">
      <c r="A5634" s="2"/>
      <c r="B5634" s="13"/>
      <c r="C5634" s="2"/>
      <c r="D5634" s="2"/>
      <c r="E5634" s="2"/>
      <c r="F5634" s="14"/>
      <c r="G5634" s="2"/>
      <c r="H5634" s="2"/>
    </row>
    <row r="5635">
      <c r="A5635" s="2"/>
      <c r="B5635" s="13"/>
      <c r="C5635" s="2"/>
      <c r="D5635" s="2"/>
      <c r="E5635" s="2"/>
      <c r="F5635" s="14"/>
      <c r="G5635" s="2"/>
      <c r="H5635" s="2"/>
    </row>
    <row r="5636">
      <c r="A5636" s="2"/>
      <c r="B5636" s="13"/>
      <c r="C5636" s="2"/>
      <c r="D5636" s="2"/>
      <c r="E5636" s="2"/>
      <c r="F5636" s="14"/>
      <c r="G5636" s="2"/>
      <c r="H5636" s="2"/>
    </row>
    <row r="5637">
      <c r="A5637" s="2"/>
      <c r="B5637" s="13"/>
      <c r="C5637" s="2"/>
      <c r="D5637" s="2"/>
      <c r="E5637" s="2"/>
      <c r="F5637" s="14"/>
      <c r="G5637" s="2"/>
      <c r="H5637" s="2"/>
    </row>
    <row r="5638">
      <c r="A5638" s="2"/>
      <c r="B5638" s="13"/>
      <c r="C5638" s="2"/>
      <c r="D5638" s="2"/>
      <c r="E5638" s="2"/>
      <c r="F5638" s="14"/>
      <c r="G5638" s="2"/>
      <c r="H5638" s="2"/>
    </row>
    <row r="5639">
      <c r="A5639" s="2"/>
      <c r="B5639" s="13"/>
      <c r="C5639" s="2"/>
      <c r="D5639" s="2"/>
      <c r="E5639" s="2"/>
      <c r="F5639" s="14"/>
      <c r="G5639" s="2"/>
      <c r="H5639" s="2"/>
    </row>
    <row r="5640">
      <c r="A5640" s="2"/>
      <c r="B5640" s="13"/>
      <c r="C5640" s="2"/>
      <c r="D5640" s="2"/>
      <c r="E5640" s="2"/>
      <c r="F5640" s="14"/>
      <c r="G5640" s="2"/>
      <c r="H5640" s="2"/>
    </row>
    <row r="5641">
      <c r="A5641" s="2"/>
      <c r="B5641" s="13"/>
      <c r="C5641" s="2"/>
      <c r="D5641" s="2"/>
      <c r="E5641" s="2"/>
      <c r="F5641" s="14"/>
      <c r="G5641" s="2"/>
      <c r="H5641" s="2"/>
    </row>
    <row r="5642">
      <c r="A5642" s="2"/>
      <c r="B5642" s="13"/>
      <c r="C5642" s="2"/>
      <c r="D5642" s="2"/>
      <c r="E5642" s="2"/>
      <c r="F5642" s="14"/>
      <c r="G5642" s="2"/>
      <c r="H5642" s="2"/>
    </row>
    <row r="5643">
      <c r="A5643" s="2"/>
      <c r="B5643" s="13"/>
      <c r="C5643" s="2"/>
      <c r="D5643" s="2"/>
      <c r="E5643" s="2"/>
      <c r="F5643" s="14"/>
      <c r="G5643" s="2"/>
      <c r="H5643" s="2"/>
    </row>
    <row r="5644">
      <c r="A5644" s="2"/>
      <c r="B5644" s="13"/>
      <c r="C5644" s="2"/>
      <c r="D5644" s="2"/>
      <c r="E5644" s="2"/>
      <c r="F5644" s="14"/>
      <c r="G5644" s="2"/>
      <c r="H5644" s="2"/>
    </row>
    <row r="5645">
      <c r="A5645" s="2"/>
      <c r="B5645" s="13"/>
      <c r="C5645" s="2"/>
      <c r="D5645" s="2"/>
      <c r="E5645" s="2"/>
      <c r="F5645" s="14"/>
      <c r="G5645" s="2"/>
      <c r="H5645" s="2"/>
    </row>
    <row r="5646">
      <c r="A5646" s="2"/>
      <c r="B5646" s="13"/>
      <c r="C5646" s="2"/>
      <c r="D5646" s="2"/>
      <c r="E5646" s="2"/>
      <c r="F5646" s="14"/>
      <c r="G5646" s="2"/>
      <c r="H5646" s="2"/>
    </row>
    <row r="5647">
      <c r="A5647" s="2"/>
      <c r="B5647" s="13"/>
      <c r="C5647" s="2"/>
      <c r="D5647" s="2"/>
      <c r="E5647" s="2"/>
      <c r="F5647" s="14"/>
      <c r="G5647" s="2"/>
      <c r="H5647" s="2"/>
    </row>
    <row r="5648">
      <c r="A5648" s="2"/>
      <c r="B5648" s="13"/>
      <c r="C5648" s="2"/>
      <c r="D5648" s="2"/>
      <c r="E5648" s="2"/>
      <c r="F5648" s="14"/>
      <c r="G5648" s="2"/>
      <c r="H5648" s="2"/>
    </row>
    <row r="5649">
      <c r="A5649" s="2"/>
      <c r="B5649" s="13"/>
      <c r="C5649" s="2"/>
      <c r="D5649" s="2"/>
      <c r="E5649" s="2"/>
      <c r="F5649" s="14"/>
      <c r="G5649" s="2"/>
      <c r="H5649" s="2"/>
    </row>
    <row r="5650">
      <c r="A5650" s="2"/>
      <c r="B5650" s="13"/>
      <c r="C5650" s="2"/>
      <c r="D5650" s="2"/>
      <c r="E5650" s="2"/>
      <c r="F5650" s="14"/>
      <c r="G5650" s="2"/>
      <c r="H5650" s="2"/>
    </row>
    <row r="5651">
      <c r="A5651" s="2"/>
      <c r="B5651" s="13"/>
      <c r="C5651" s="2"/>
      <c r="D5651" s="2"/>
      <c r="E5651" s="2"/>
      <c r="F5651" s="14"/>
      <c r="G5651" s="2"/>
      <c r="H5651" s="2"/>
    </row>
    <row r="5652">
      <c r="A5652" s="2"/>
      <c r="B5652" s="13"/>
      <c r="C5652" s="2"/>
      <c r="D5652" s="2"/>
      <c r="E5652" s="2"/>
      <c r="F5652" s="14"/>
      <c r="G5652" s="2"/>
      <c r="H5652" s="2"/>
    </row>
    <row r="5653">
      <c r="A5653" s="2"/>
      <c r="B5653" s="13"/>
      <c r="C5653" s="2"/>
      <c r="D5653" s="2"/>
      <c r="E5653" s="2"/>
      <c r="F5653" s="14"/>
      <c r="G5653" s="2"/>
      <c r="H5653" s="2"/>
    </row>
    <row r="5654">
      <c r="A5654" s="2"/>
      <c r="B5654" s="13"/>
      <c r="C5654" s="2"/>
      <c r="D5654" s="2"/>
      <c r="E5654" s="2"/>
      <c r="F5654" s="14"/>
      <c r="G5654" s="2"/>
      <c r="H5654" s="2"/>
    </row>
    <row r="5655">
      <c r="A5655" s="2"/>
      <c r="B5655" s="13"/>
      <c r="C5655" s="2"/>
      <c r="D5655" s="2"/>
      <c r="E5655" s="2"/>
      <c r="F5655" s="14"/>
      <c r="G5655" s="2"/>
      <c r="H5655" s="2"/>
    </row>
    <row r="5656">
      <c r="A5656" s="2"/>
      <c r="B5656" s="13"/>
      <c r="C5656" s="2"/>
      <c r="D5656" s="2"/>
      <c r="E5656" s="2"/>
      <c r="F5656" s="14"/>
      <c r="G5656" s="2"/>
      <c r="H5656" s="2"/>
    </row>
    <row r="5657">
      <c r="A5657" s="2"/>
      <c r="B5657" s="13"/>
      <c r="C5657" s="2"/>
      <c r="D5657" s="2"/>
      <c r="E5657" s="2"/>
      <c r="F5657" s="14"/>
      <c r="G5657" s="2"/>
      <c r="H5657" s="2"/>
    </row>
    <row r="5658">
      <c r="A5658" s="2"/>
      <c r="B5658" s="13"/>
      <c r="C5658" s="2"/>
      <c r="D5658" s="2"/>
      <c r="E5658" s="2"/>
      <c r="F5658" s="14"/>
      <c r="G5658" s="2"/>
      <c r="H5658" s="2"/>
    </row>
    <row r="5659">
      <c r="A5659" s="2"/>
      <c r="B5659" s="13"/>
      <c r="C5659" s="2"/>
      <c r="D5659" s="2"/>
      <c r="E5659" s="2"/>
      <c r="F5659" s="14"/>
      <c r="G5659" s="2"/>
      <c r="H5659" s="2"/>
    </row>
    <row r="5660">
      <c r="A5660" s="2"/>
      <c r="B5660" s="13"/>
      <c r="C5660" s="2"/>
      <c r="D5660" s="2"/>
      <c r="E5660" s="2"/>
      <c r="F5660" s="14"/>
      <c r="G5660" s="2"/>
      <c r="H5660" s="2"/>
    </row>
    <row r="5661">
      <c r="A5661" s="2"/>
      <c r="B5661" s="13"/>
      <c r="C5661" s="2"/>
      <c r="D5661" s="2"/>
      <c r="E5661" s="2"/>
      <c r="F5661" s="14"/>
      <c r="G5661" s="2"/>
      <c r="H5661" s="2"/>
    </row>
    <row r="5662">
      <c r="A5662" s="2"/>
      <c r="B5662" s="13"/>
      <c r="C5662" s="2"/>
      <c r="D5662" s="2"/>
      <c r="E5662" s="2"/>
      <c r="F5662" s="14"/>
      <c r="G5662" s="2"/>
      <c r="H5662" s="2"/>
    </row>
    <row r="5663">
      <c r="A5663" s="2"/>
      <c r="B5663" s="13"/>
      <c r="C5663" s="2"/>
      <c r="D5663" s="2"/>
      <c r="E5663" s="2"/>
      <c r="F5663" s="14"/>
      <c r="G5663" s="2"/>
      <c r="H5663" s="2"/>
    </row>
    <row r="5664">
      <c r="A5664" s="2"/>
      <c r="B5664" s="13"/>
      <c r="C5664" s="2"/>
      <c r="D5664" s="2"/>
      <c r="E5664" s="2"/>
      <c r="F5664" s="14"/>
      <c r="G5664" s="2"/>
      <c r="H5664" s="2"/>
    </row>
    <row r="5665">
      <c r="A5665" s="2"/>
      <c r="B5665" s="13"/>
      <c r="C5665" s="2"/>
      <c r="D5665" s="2"/>
      <c r="E5665" s="2"/>
      <c r="F5665" s="14"/>
      <c r="G5665" s="2"/>
      <c r="H5665" s="2"/>
    </row>
    <row r="5666">
      <c r="A5666" s="2"/>
      <c r="B5666" s="13"/>
      <c r="C5666" s="2"/>
      <c r="D5666" s="2"/>
      <c r="E5666" s="2"/>
      <c r="F5666" s="14"/>
      <c r="G5666" s="2"/>
      <c r="H5666" s="2"/>
    </row>
    <row r="5667">
      <c r="A5667" s="2"/>
      <c r="B5667" s="13"/>
      <c r="C5667" s="2"/>
      <c r="D5667" s="2"/>
      <c r="E5667" s="2"/>
      <c r="F5667" s="14"/>
      <c r="G5667" s="2"/>
      <c r="H5667" s="2"/>
    </row>
    <row r="5668">
      <c r="A5668" s="2"/>
      <c r="B5668" s="13"/>
      <c r="C5668" s="2"/>
      <c r="D5668" s="2"/>
      <c r="E5668" s="2"/>
      <c r="F5668" s="14"/>
      <c r="G5668" s="2"/>
      <c r="H5668" s="2"/>
    </row>
    <row r="5669">
      <c r="A5669" s="2"/>
      <c r="B5669" s="13"/>
      <c r="C5669" s="2"/>
      <c r="D5669" s="2"/>
      <c r="E5669" s="2"/>
      <c r="F5669" s="14"/>
      <c r="G5669" s="2"/>
      <c r="H5669" s="2"/>
    </row>
    <row r="5670">
      <c r="A5670" s="2"/>
      <c r="B5670" s="13"/>
      <c r="C5670" s="2"/>
      <c r="D5670" s="2"/>
      <c r="E5670" s="2"/>
      <c r="F5670" s="14"/>
      <c r="G5670" s="2"/>
      <c r="H5670" s="2"/>
    </row>
    <row r="5671">
      <c r="A5671" s="2"/>
      <c r="B5671" s="13"/>
      <c r="C5671" s="2"/>
      <c r="D5671" s="2"/>
      <c r="E5671" s="2"/>
      <c r="F5671" s="14"/>
      <c r="G5671" s="2"/>
      <c r="H5671" s="2"/>
    </row>
    <row r="5672">
      <c r="A5672" s="2"/>
      <c r="B5672" s="13"/>
      <c r="C5672" s="2"/>
      <c r="D5672" s="2"/>
      <c r="E5672" s="2"/>
      <c r="F5672" s="14"/>
      <c r="G5672" s="2"/>
      <c r="H5672" s="2"/>
    </row>
    <row r="5673">
      <c r="A5673" s="2"/>
      <c r="B5673" s="13"/>
      <c r="C5673" s="2"/>
      <c r="D5673" s="2"/>
      <c r="E5673" s="2"/>
      <c r="F5673" s="14"/>
      <c r="G5673" s="2"/>
      <c r="H5673" s="2"/>
    </row>
    <row r="5674">
      <c r="A5674" s="2"/>
      <c r="B5674" s="13"/>
      <c r="C5674" s="2"/>
      <c r="D5674" s="2"/>
      <c r="E5674" s="2"/>
      <c r="F5674" s="14"/>
      <c r="G5674" s="2"/>
      <c r="H5674" s="2"/>
    </row>
    <row r="5675">
      <c r="A5675" s="2"/>
      <c r="B5675" s="13"/>
      <c r="C5675" s="2"/>
      <c r="D5675" s="2"/>
      <c r="E5675" s="2"/>
      <c r="F5675" s="14"/>
      <c r="G5675" s="2"/>
      <c r="H5675" s="2"/>
    </row>
    <row r="5676">
      <c r="A5676" s="2"/>
      <c r="B5676" s="13"/>
      <c r="C5676" s="2"/>
      <c r="D5676" s="2"/>
      <c r="E5676" s="2"/>
      <c r="F5676" s="14"/>
      <c r="G5676" s="2"/>
      <c r="H5676" s="2"/>
    </row>
    <row r="5677">
      <c r="A5677" s="2"/>
      <c r="B5677" s="13"/>
      <c r="C5677" s="2"/>
      <c r="D5677" s="2"/>
      <c r="E5677" s="2"/>
      <c r="F5677" s="14"/>
      <c r="G5677" s="2"/>
      <c r="H5677" s="2"/>
    </row>
    <row r="5678">
      <c r="A5678" s="2"/>
      <c r="B5678" s="13"/>
      <c r="C5678" s="2"/>
      <c r="D5678" s="2"/>
      <c r="E5678" s="2"/>
      <c r="F5678" s="14"/>
      <c r="G5678" s="2"/>
      <c r="H5678" s="2"/>
    </row>
    <row r="5679">
      <c r="A5679" s="2"/>
      <c r="B5679" s="13"/>
      <c r="C5679" s="2"/>
      <c r="D5679" s="2"/>
      <c r="E5679" s="2"/>
      <c r="F5679" s="14"/>
      <c r="G5679" s="2"/>
      <c r="H5679" s="2"/>
    </row>
    <row r="5680">
      <c r="A5680" s="2"/>
      <c r="B5680" s="13"/>
      <c r="C5680" s="2"/>
      <c r="D5680" s="2"/>
      <c r="E5680" s="2"/>
      <c r="F5680" s="14"/>
      <c r="G5680" s="2"/>
      <c r="H5680" s="2"/>
    </row>
    <row r="5681">
      <c r="A5681" s="2"/>
      <c r="B5681" s="13"/>
      <c r="C5681" s="2"/>
      <c r="D5681" s="2"/>
      <c r="E5681" s="2"/>
      <c r="F5681" s="14"/>
      <c r="G5681" s="2"/>
      <c r="H5681" s="2"/>
    </row>
    <row r="5682">
      <c r="A5682" s="2"/>
      <c r="B5682" s="13"/>
      <c r="C5682" s="2"/>
      <c r="D5682" s="2"/>
      <c r="E5682" s="2"/>
      <c r="F5682" s="14"/>
      <c r="G5682" s="2"/>
      <c r="H5682" s="2"/>
    </row>
    <row r="5683">
      <c r="A5683" s="2"/>
      <c r="B5683" s="13"/>
      <c r="C5683" s="2"/>
      <c r="D5683" s="2"/>
      <c r="E5683" s="2"/>
      <c r="F5683" s="14"/>
      <c r="G5683" s="2"/>
      <c r="H5683" s="2"/>
    </row>
    <row r="5684">
      <c r="A5684" s="2"/>
      <c r="B5684" s="13"/>
      <c r="C5684" s="2"/>
      <c r="D5684" s="2"/>
      <c r="E5684" s="2"/>
      <c r="F5684" s="14"/>
      <c r="G5684" s="2"/>
      <c r="H5684" s="2"/>
    </row>
    <row r="5685">
      <c r="A5685" s="2"/>
      <c r="B5685" s="13"/>
      <c r="C5685" s="2"/>
      <c r="D5685" s="2"/>
      <c r="E5685" s="2"/>
      <c r="F5685" s="14"/>
      <c r="G5685" s="2"/>
      <c r="H5685" s="2"/>
    </row>
    <row r="5686">
      <c r="A5686" s="2"/>
      <c r="B5686" s="13"/>
      <c r="C5686" s="2"/>
      <c r="D5686" s="2"/>
      <c r="E5686" s="2"/>
      <c r="F5686" s="14"/>
      <c r="G5686" s="2"/>
      <c r="H5686" s="2"/>
    </row>
    <row r="5687">
      <c r="A5687" s="2"/>
      <c r="B5687" s="13"/>
      <c r="C5687" s="2"/>
      <c r="D5687" s="2"/>
      <c r="E5687" s="2"/>
      <c r="F5687" s="14"/>
      <c r="G5687" s="2"/>
      <c r="H5687" s="2"/>
    </row>
    <row r="5688">
      <c r="A5688" s="2"/>
      <c r="B5688" s="13"/>
      <c r="C5688" s="2"/>
      <c r="D5688" s="2"/>
      <c r="E5688" s="2"/>
      <c r="F5688" s="14"/>
      <c r="G5688" s="2"/>
      <c r="H5688" s="2"/>
    </row>
    <row r="5689">
      <c r="A5689" s="2"/>
      <c r="B5689" s="13"/>
      <c r="C5689" s="2"/>
      <c r="D5689" s="2"/>
      <c r="E5689" s="2"/>
      <c r="F5689" s="14"/>
      <c r="G5689" s="2"/>
      <c r="H5689" s="2"/>
    </row>
    <row r="5690">
      <c r="A5690" s="2"/>
      <c r="B5690" s="13"/>
      <c r="C5690" s="2"/>
      <c r="D5690" s="2"/>
      <c r="E5690" s="2"/>
      <c r="F5690" s="14"/>
      <c r="G5690" s="2"/>
      <c r="H5690" s="2"/>
    </row>
    <row r="5691">
      <c r="A5691" s="2"/>
      <c r="B5691" s="13"/>
      <c r="C5691" s="2"/>
      <c r="D5691" s="2"/>
      <c r="E5691" s="2"/>
      <c r="F5691" s="14"/>
      <c r="G5691" s="2"/>
      <c r="H5691" s="2"/>
    </row>
    <row r="5692">
      <c r="A5692" s="2"/>
      <c r="B5692" s="13"/>
      <c r="C5692" s="2"/>
      <c r="D5692" s="2"/>
      <c r="E5692" s="2"/>
      <c r="F5692" s="14"/>
      <c r="G5692" s="2"/>
      <c r="H5692" s="2"/>
    </row>
    <row r="5693">
      <c r="A5693" s="2"/>
      <c r="B5693" s="13"/>
      <c r="C5693" s="2"/>
      <c r="D5693" s="2"/>
      <c r="E5693" s="2"/>
      <c r="F5693" s="14"/>
      <c r="G5693" s="2"/>
      <c r="H5693" s="2"/>
    </row>
    <row r="5694">
      <c r="A5694" s="2"/>
      <c r="B5694" s="13"/>
      <c r="C5694" s="2"/>
      <c r="D5694" s="2"/>
      <c r="E5694" s="2"/>
      <c r="F5694" s="14"/>
      <c r="G5694" s="2"/>
      <c r="H5694" s="2"/>
    </row>
    <row r="5695">
      <c r="A5695" s="2"/>
      <c r="B5695" s="13"/>
      <c r="C5695" s="2"/>
      <c r="D5695" s="2"/>
      <c r="E5695" s="2"/>
      <c r="F5695" s="14"/>
      <c r="G5695" s="2"/>
      <c r="H5695" s="2"/>
    </row>
    <row r="5696">
      <c r="A5696" s="2"/>
      <c r="B5696" s="13"/>
      <c r="C5696" s="2"/>
      <c r="D5696" s="2"/>
      <c r="E5696" s="2"/>
      <c r="F5696" s="14"/>
      <c r="G5696" s="2"/>
      <c r="H5696" s="2"/>
    </row>
    <row r="5697">
      <c r="A5697" s="2"/>
      <c r="B5697" s="13"/>
      <c r="C5697" s="2"/>
      <c r="D5697" s="2"/>
      <c r="E5697" s="2"/>
      <c r="F5697" s="14"/>
      <c r="G5697" s="2"/>
      <c r="H5697" s="2"/>
    </row>
    <row r="5698">
      <c r="A5698" s="2"/>
      <c r="B5698" s="13"/>
      <c r="C5698" s="2"/>
      <c r="D5698" s="2"/>
      <c r="E5698" s="2"/>
      <c r="F5698" s="14"/>
      <c r="G5698" s="2"/>
      <c r="H5698" s="2"/>
    </row>
    <row r="5699">
      <c r="A5699" s="2"/>
      <c r="B5699" s="13"/>
      <c r="C5699" s="2"/>
      <c r="D5699" s="2"/>
      <c r="E5699" s="2"/>
      <c r="F5699" s="14"/>
      <c r="G5699" s="2"/>
      <c r="H5699" s="2"/>
    </row>
    <row r="5700">
      <c r="A5700" s="2"/>
      <c r="B5700" s="13"/>
      <c r="C5700" s="2"/>
      <c r="D5700" s="2"/>
      <c r="E5700" s="2"/>
      <c r="F5700" s="14"/>
      <c r="G5700" s="2"/>
      <c r="H5700" s="2"/>
    </row>
    <row r="5701">
      <c r="A5701" s="2"/>
      <c r="B5701" s="13"/>
      <c r="C5701" s="2"/>
      <c r="D5701" s="2"/>
      <c r="E5701" s="2"/>
      <c r="F5701" s="14"/>
      <c r="G5701" s="2"/>
      <c r="H5701" s="2"/>
    </row>
    <row r="5702">
      <c r="A5702" s="2"/>
      <c r="B5702" s="13"/>
      <c r="C5702" s="2"/>
      <c r="D5702" s="2"/>
      <c r="E5702" s="2"/>
      <c r="F5702" s="14"/>
      <c r="G5702" s="2"/>
      <c r="H5702" s="2"/>
    </row>
    <row r="5703">
      <c r="A5703" s="2"/>
      <c r="B5703" s="13"/>
      <c r="C5703" s="2"/>
      <c r="D5703" s="2"/>
      <c r="E5703" s="2"/>
      <c r="F5703" s="14"/>
      <c r="G5703" s="2"/>
      <c r="H5703" s="2"/>
    </row>
    <row r="5704">
      <c r="A5704" s="2"/>
      <c r="B5704" s="13"/>
      <c r="C5704" s="2"/>
      <c r="D5704" s="2"/>
      <c r="E5704" s="2"/>
      <c r="F5704" s="14"/>
      <c r="G5704" s="2"/>
      <c r="H5704" s="2"/>
    </row>
    <row r="5705">
      <c r="A5705" s="2"/>
      <c r="B5705" s="13"/>
      <c r="C5705" s="2"/>
      <c r="D5705" s="2"/>
      <c r="E5705" s="2"/>
      <c r="F5705" s="14"/>
      <c r="G5705" s="2"/>
      <c r="H5705" s="2"/>
    </row>
    <row r="5706">
      <c r="A5706" s="2"/>
      <c r="B5706" s="13"/>
      <c r="C5706" s="2"/>
      <c r="D5706" s="2"/>
      <c r="E5706" s="2"/>
      <c r="F5706" s="14"/>
      <c r="G5706" s="2"/>
      <c r="H5706" s="2"/>
    </row>
    <row r="5707">
      <c r="A5707" s="2"/>
      <c r="B5707" s="13"/>
      <c r="C5707" s="2"/>
      <c r="D5707" s="2"/>
      <c r="E5707" s="2"/>
      <c r="F5707" s="14"/>
      <c r="G5707" s="2"/>
      <c r="H5707" s="2"/>
    </row>
    <row r="5708">
      <c r="A5708" s="2"/>
      <c r="B5708" s="13"/>
      <c r="C5708" s="2"/>
      <c r="D5708" s="2"/>
      <c r="E5708" s="2"/>
      <c r="F5708" s="14"/>
      <c r="G5708" s="2"/>
      <c r="H5708" s="2"/>
    </row>
    <row r="5709">
      <c r="A5709" s="2"/>
      <c r="B5709" s="13"/>
      <c r="C5709" s="2"/>
      <c r="D5709" s="2"/>
      <c r="E5709" s="2"/>
      <c r="F5709" s="14"/>
      <c r="G5709" s="2"/>
      <c r="H5709" s="2"/>
    </row>
    <row r="5710">
      <c r="A5710" s="2"/>
      <c r="B5710" s="13"/>
      <c r="C5710" s="2"/>
      <c r="D5710" s="2"/>
      <c r="E5710" s="2"/>
      <c r="F5710" s="14"/>
      <c r="G5710" s="2"/>
      <c r="H5710" s="2"/>
    </row>
    <row r="5711">
      <c r="A5711" s="2"/>
      <c r="B5711" s="13"/>
      <c r="C5711" s="2"/>
      <c r="D5711" s="2"/>
      <c r="E5711" s="2"/>
      <c r="F5711" s="14"/>
      <c r="G5711" s="2"/>
      <c r="H5711" s="2"/>
    </row>
    <row r="5712">
      <c r="A5712" s="2"/>
      <c r="B5712" s="13"/>
      <c r="C5712" s="2"/>
      <c r="D5712" s="2"/>
      <c r="E5712" s="2"/>
      <c r="F5712" s="14"/>
      <c r="G5712" s="2"/>
      <c r="H5712" s="2"/>
    </row>
    <row r="5713">
      <c r="A5713" s="2"/>
      <c r="B5713" s="13"/>
      <c r="C5713" s="2"/>
      <c r="D5713" s="2"/>
      <c r="E5713" s="2"/>
      <c r="F5713" s="14"/>
      <c r="G5713" s="2"/>
      <c r="H5713" s="2"/>
    </row>
    <row r="5714">
      <c r="A5714" s="2"/>
      <c r="B5714" s="13"/>
      <c r="C5714" s="2"/>
      <c r="D5714" s="2"/>
      <c r="E5714" s="2"/>
      <c r="F5714" s="14"/>
      <c r="G5714" s="2"/>
      <c r="H5714" s="2"/>
    </row>
    <row r="5715">
      <c r="A5715" s="2"/>
      <c r="B5715" s="13"/>
      <c r="C5715" s="2"/>
      <c r="D5715" s="2"/>
      <c r="E5715" s="2"/>
      <c r="F5715" s="14"/>
      <c r="G5715" s="2"/>
      <c r="H5715" s="2"/>
    </row>
    <row r="5716">
      <c r="A5716" s="2"/>
      <c r="B5716" s="13"/>
      <c r="C5716" s="2"/>
      <c r="D5716" s="2"/>
      <c r="E5716" s="2"/>
      <c r="F5716" s="14"/>
      <c r="G5716" s="2"/>
      <c r="H5716" s="2"/>
    </row>
    <row r="5717">
      <c r="A5717" s="2"/>
      <c r="B5717" s="13"/>
      <c r="C5717" s="2"/>
      <c r="D5717" s="2"/>
      <c r="E5717" s="2"/>
      <c r="F5717" s="14"/>
      <c r="G5717" s="2"/>
      <c r="H5717" s="2"/>
    </row>
    <row r="5718">
      <c r="A5718" s="2"/>
      <c r="B5718" s="13"/>
      <c r="C5718" s="2"/>
      <c r="D5718" s="2"/>
      <c r="E5718" s="2"/>
      <c r="F5718" s="14"/>
      <c r="G5718" s="2"/>
      <c r="H5718" s="2"/>
    </row>
    <row r="5719">
      <c r="A5719" s="2"/>
      <c r="B5719" s="13"/>
      <c r="C5719" s="2"/>
      <c r="D5719" s="2"/>
      <c r="E5719" s="2"/>
      <c r="F5719" s="14"/>
      <c r="G5719" s="2"/>
      <c r="H5719" s="2"/>
    </row>
    <row r="5720">
      <c r="A5720" s="2"/>
      <c r="B5720" s="13"/>
      <c r="C5720" s="2"/>
      <c r="D5720" s="2"/>
      <c r="E5720" s="2"/>
      <c r="F5720" s="14"/>
      <c r="G5720" s="2"/>
      <c r="H5720" s="2"/>
    </row>
    <row r="5721">
      <c r="A5721" s="2"/>
      <c r="B5721" s="13"/>
      <c r="C5721" s="2"/>
      <c r="D5721" s="2"/>
      <c r="E5721" s="2"/>
      <c r="F5721" s="14"/>
      <c r="G5721" s="2"/>
      <c r="H5721" s="2"/>
    </row>
    <row r="5722">
      <c r="A5722" s="2"/>
      <c r="B5722" s="13"/>
      <c r="C5722" s="2"/>
      <c r="D5722" s="2"/>
      <c r="E5722" s="2"/>
      <c r="F5722" s="14"/>
      <c r="G5722" s="2"/>
      <c r="H5722" s="2"/>
    </row>
    <row r="5723">
      <c r="A5723" s="2"/>
      <c r="B5723" s="13"/>
      <c r="C5723" s="2"/>
      <c r="D5723" s="2"/>
      <c r="E5723" s="2"/>
      <c r="F5723" s="14"/>
      <c r="G5723" s="2"/>
      <c r="H5723" s="2"/>
    </row>
    <row r="5724">
      <c r="A5724" s="2"/>
      <c r="B5724" s="13"/>
      <c r="C5724" s="2"/>
      <c r="D5724" s="2"/>
      <c r="E5724" s="2"/>
      <c r="F5724" s="14"/>
      <c r="G5724" s="2"/>
      <c r="H5724" s="2"/>
    </row>
    <row r="5725">
      <c r="A5725" s="2"/>
      <c r="B5725" s="13"/>
      <c r="C5725" s="2"/>
      <c r="D5725" s="2"/>
      <c r="E5725" s="2"/>
      <c r="F5725" s="14"/>
      <c r="G5725" s="2"/>
      <c r="H5725" s="2"/>
    </row>
    <row r="5726">
      <c r="A5726" s="2"/>
      <c r="B5726" s="13"/>
      <c r="C5726" s="2"/>
      <c r="D5726" s="2"/>
      <c r="E5726" s="2"/>
      <c r="F5726" s="14"/>
      <c r="G5726" s="2"/>
      <c r="H5726" s="2"/>
    </row>
    <row r="5727">
      <c r="A5727" s="2"/>
      <c r="B5727" s="13"/>
      <c r="C5727" s="2"/>
      <c r="D5727" s="2"/>
      <c r="E5727" s="2"/>
      <c r="F5727" s="14"/>
      <c r="G5727" s="2"/>
      <c r="H5727" s="2"/>
    </row>
    <row r="5728">
      <c r="A5728" s="2"/>
      <c r="B5728" s="13"/>
      <c r="C5728" s="2"/>
      <c r="D5728" s="2"/>
      <c r="E5728" s="2"/>
      <c r="F5728" s="14"/>
      <c r="G5728" s="2"/>
      <c r="H5728" s="2"/>
    </row>
    <row r="5729">
      <c r="A5729" s="2"/>
      <c r="B5729" s="13"/>
      <c r="C5729" s="2"/>
      <c r="D5729" s="2"/>
      <c r="E5729" s="2"/>
      <c r="F5729" s="14"/>
      <c r="G5729" s="2"/>
      <c r="H5729" s="2"/>
    </row>
    <row r="5730">
      <c r="A5730" s="2"/>
      <c r="B5730" s="13"/>
      <c r="C5730" s="2"/>
      <c r="D5730" s="2"/>
      <c r="E5730" s="2"/>
      <c r="F5730" s="14"/>
      <c r="G5730" s="2"/>
      <c r="H5730" s="2"/>
    </row>
    <row r="5731">
      <c r="A5731" s="2"/>
      <c r="B5731" s="13"/>
      <c r="C5731" s="2"/>
      <c r="D5731" s="2"/>
      <c r="E5731" s="2"/>
      <c r="F5731" s="14"/>
      <c r="G5731" s="2"/>
      <c r="H5731" s="2"/>
    </row>
    <row r="5732">
      <c r="A5732" s="2"/>
      <c r="B5732" s="13"/>
      <c r="C5732" s="2"/>
      <c r="D5732" s="2"/>
      <c r="E5732" s="2"/>
      <c r="F5732" s="14"/>
      <c r="G5732" s="2"/>
      <c r="H5732" s="2"/>
    </row>
    <row r="5733">
      <c r="A5733" s="2"/>
      <c r="B5733" s="13"/>
      <c r="C5733" s="2"/>
      <c r="D5733" s="2"/>
      <c r="E5733" s="2"/>
      <c r="F5733" s="14"/>
      <c r="G5733" s="2"/>
      <c r="H5733" s="2"/>
    </row>
    <row r="5734">
      <c r="A5734" s="2"/>
      <c r="B5734" s="13"/>
      <c r="C5734" s="2"/>
      <c r="D5734" s="2"/>
      <c r="E5734" s="2"/>
      <c r="F5734" s="14"/>
      <c r="G5734" s="2"/>
      <c r="H5734" s="2"/>
    </row>
    <row r="5735">
      <c r="A5735" s="2"/>
      <c r="B5735" s="13"/>
      <c r="C5735" s="2"/>
      <c r="D5735" s="2"/>
      <c r="E5735" s="2"/>
      <c r="F5735" s="14"/>
      <c r="G5735" s="2"/>
      <c r="H5735" s="2"/>
    </row>
    <row r="5736">
      <c r="A5736" s="2"/>
      <c r="B5736" s="13"/>
      <c r="C5736" s="2"/>
      <c r="D5736" s="2"/>
      <c r="E5736" s="2"/>
      <c r="F5736" s="14"/>
      <c r="G5736" s="2"/>
      <c r="H5736" s="2"/>
    </row>
    <row r="5737">
      <c r="A5737" s="2"/>
      <c r="B5737" s="13"/>
      <c r="C5737" s="2"/>
      <c r="D5737" s="2"/>
      <c r="E5737" s="2"/>
      <c r="F5737" s="14"/>
      <c r="G5737" s="2"/>
      <c r="H5737" s="2"/>
    </row>
    <row r="5738">
      <c r="A5738" s="2"/>
      <c r="B5738" s="13"/>
      <c r="C5738" s="2"/>
      <c r="D5738" s="2"/>
      <c r="E5738" s="2"/>
      <c r="F5738" s="14"/>
      <c r="G5738" s="2"/>
      <c r="H5738" s="2"/>
    </row>
    <row r="5739">
      <c r="A5739" s="2"/>
      <c r="B5739" s="13"/>
      <c r="C5739" s="2"/>
      <c r="D5739" s="2"/>
      <c r="E5739" s="2"/>
      <c r="F5739" s="14"/>
      <c r="G5739" s="2"/>
      <c r="H5739" s="2"/>
    </row>
    <row r="5740">
      <c r="A5740" s="2"/>
      <c r="B5740" s="13"/>
      <c r="C5740" s="2"/>
      <c r="D5740" s="2"/>
      <c r="E5740" s="2"/>
      <c r="F5740" s="14"/>
      <c r="G5740" s="2"/>
      <c r="H5740" s="2"/>
    </row>
    <row r="5741">
      <c r="A5741" s="2"/>
      <c r="B5741" s="13"/>
      <c r="C5741" s="2"/>
      <c r="D5741" s="2"/>
      <c r="E5741" s="2"/>
      <c r="F5741" s="14"/>
      <c r="G5741" s="2"/>
      <c r="H5741" s="2"/>
    </row>
    <row r="5742">
      <c r="A5742" s="2"/>
      <c r="B5742" s="13"/>
      <c r="C5742" s="2"/>
      <c r="D5742" s="2"/>
      <c r="E5742" s="2"/>
      <c r="F5742" s="14"/>
      <c r="G5742" s="2"/>
      <c r="H5742" s="2"/>
    </row>
    <row r="5743">
      <c r="A5743" s="2"/>
      <c r="B5743" s="13"/>
      <c r="C5743" s="2"/>
      <c r="D5743" s="2"/>
      <c r="E5743" s="2"/>
      <c r="F5743" s="14"/>
      <c r="G5743" s="2"/>
      <c r="H5743" s="2"/>
    </row>
    <row r="5744">
      <c r="A5744" s="2"/>
      <c r="B5744" s="13"/>
      <c r="C5744" s="2"/>
      <c r="D5744" s="2"/>
      <c r="E5744" s="2"/>
      <c r="F5744" s="14"/>
      <c r="G5744" s="2"/>
      <c r="H5744" s="2"/>
    </row>
    <row r="5745">
      <c r="A5745" s="2"/>
      <c r="B5745" s="13"/>
      <c r="C5745" s="2"/>
      <c r="D5745" s="2"/>
      <c r="E5745" s="2"/>
      <c r="F5745" s="14"/>
      <c r="G5745" s="2"/>
      <c r="H5745" s="2"/>
    </row>
    <row r="5746">
      <c r="A5746" s="2"/>
      <c r="B5746" s="13"/>
      <c r="C5746" s="2"/>
      <c r="D5746" s="2"/>
      <c r="E5746" s="2"/>
      <c r="F5746" s="14"/>
      <c r="G5746" s="2"/>
      <c r="H5746" s="2"/>
    </row>
    <row r="5747">
      <c r="A5747" s="2"/>
      <c r="B5747" s="13"/>
      <c r="C5747" s="2"/>
      <c r="D5747" s="2"/>
      <c r="E5747" s="2"/>
      <c r="F5747" s="14"/>
      <c r="G5747" s="2"/>
      <c r="H5747" s="2"/>
    </row>
    <row r="5748">
      <c r="A5748" s="2"/>
      <c r="B5748" s="13"/>
      <c r="C5748" s="2"/>
      <c r="D5748" s="2"/>
      <c r="E5748" s="2"/>
      <c r="F5748" s="14"/>
      <c r="G5748" s="2"/>
      <c r="H5748" s="2"/>
    </row>
    <row r="5749">
      <c r="A5749" s="2"/>
      <c r="B5749" s="13"/>
      <c r="C5749" s="2"/>
      <c r="D5749" s="2"/>
      <c r="E5749" s="2"/>
      <c r="F5749" s="14"/>
      <c r="G5749" s="2"/>
      <c r="H5749" s="2"/>
    </row>
    <row r="5750">
      <c r="A5750" s="2"/>
      <c r="B5750" s="13"/>
      <c r="C5750" s="2"/>
      <c r="D5750" s="2"/>
      <c r="E5750" s="2"/>
      <c r="F5750" s="14"/>
      <c r="G5750" s="2"/>
      <c r="H5750" s="2"/>
    </row>
    <row r="5751">
      <c r="A5751" s="2"/>
      <c r="B5751" s="13"/>
      <c r="C5751" s="2"/>
      <c r="D5751" s="2"/>
      <c r="E5751" s="2"/>
      <c r="F5751" s="14"/>
      <c r="G5751" s="2"/>
      <c r="H5751" s="2"/>
    </row>
    <row r="5752">
      <c r="A5752" s="2"/>
      <c r="B5752" s="13"/>
      <c r="C5752" s="2"/>
      <c r="D5752" s="2"/>
      <c r="E5752" s="2"/>
      <c r="F5752" s="14"/>
      <c r="G5752" s="2"/>
      <c r="H5752" s="2"/>
    </row>
    <row r="5753">
      <c r="A5753" s="2"/>
      <c r="B5753" s="13"/>
      <c r="C5753" s="2"/>
      <c r="D5753" s="2"/>
      <c r="E5753" s="2"/>
      <c r="F5753" s="14"/>
      <c r="G5753" s="2"/>
      <c r="H5753" s="2"/>
    </row>
    <row r="5754">
      <c r="A5754" s="2"/>
      <c r="B5754" s="13"/>
      <c r="C5754" s="2"/>
      <c r="D5754" s="2"/>
      <c r="E5754" s="2"/>
      <c r="F5754" s="14"/>
      <c r="G5754" s="2"/>
      <c r="H5754" s="2"/>
    </row>
    <row r="5755">
      <c r="A5755" s="2"/>
      <c r="B5755" s="13"/>
      <c r="C5755" s="2"/>
      <c r="D5755" s="2"/>
      <c r="E5755" s="2"/>
      <c r="F5755" s="14"/>
      <c r="G5755" s="2"/>
      <c r="H5755" s="2"/>
    </row>
    <row r="5756">
      <c r="A5756" s="2"/>
      <c r="B5756" s="13"/>
      <c r="C5756" s="2"/>
      <c r="D5756" s="2"/>
      <c r="E5756" s="2"/>
      <c r="F5756" s="14"/>
      <c r="G5756" s="2"/>
      <c r="H5756" s="2"/>
    </row>
    <row r="5757">
      <c r="A5757" s="2"/>
      <c r="B5757" s="13"/>
      <c r="C5757" s="2"/>
      <c r="D5757" s="2"/>
      <c r="E5757" s="2"/>
      <c r="F5757" s="14"/>
      <c r="G5757" s="2"/>
      <c r="H5757" s="2"/>
    </row>
    <row r="5758">
      <c r="A5758" s="2"/>
      <c r="B5758" s="13"/>
      <c r="C5758" s="2"/>
      <c r="D5758" s="2"/>
      <c r="E5758" s="2"/>
      <c r="F5758" s="14"/>
      <c r="G5758" s="2"/>
      <c r="H5758" s="2"/>
    </row>
    <row r="5759">
      <c r="A5759" s="2"/>
      <c r="B5759" s="13"/>
      <c r="C5759" s="2"/>
      <c r="D5759" s="2"/>
      <c r="E5759" s="2"/>
      <c r="F5759" s="14"/>
      <c r="G5759" s="2"/>
      <c r="H5759" s="2"/>
    </row>
    <row r="5760">
      <c r="A5760" s="2"/>
      <c r="B5760" s="13"/>
      <c r="C5760" s="2"/>
      <c r="D5760" s="2"/>
      <c r="E5760" s="2"/>
      <c r="F5760" s="14"/>
      <c r="G5760" s="2"/>
      <c r="H5760" s="2"/>
    </row>
    <row r="5761">
      <c r="A5761" s="2"/>
      <c r="B5761" s="13"/>
      <c r="C5761" s="2"/>
      <c r="D5761" s="2"/>
      <c r="E5761" s="2"/>
      <c r="F5761" s="14"/>
      <c r="G5761" s="2"/>
      <c r="H5761" s="2"/>
    </row>
    <row r="5762">
      <c r="A5762" s="2"/>
      <c r="B5762" s="13"/>
      <c r="C5762" s="2"/>
      <c r="D5762" s="2"/>
      <c r="E5762" s="2"/>
      <c r="F5762" s="14"/>
      <c r="G5762" s="2"/>
      <c r="H5762" s="2"/>
    </row>
    <row r="5763">
      <c r="A5763" s="2"/>
      <c r="B5763" s="13"/>
      <c r="C5763" s="2"/>
      <c r="D5763" s="2"/>
      <c r="E5763" s="2"/>
      <c r="F5763" s="14"/>
      <c r="G5763" s="2"/>
      <c r="H5763" s="2"/>
    </row>
    <row r="5764">
      <c r="A5764" s="2"/>
      <c r="B5764" s="13"/>
      <c r="C5764" s="2"/>
      <c r="D5764" s="2"/>
      <c r="E5764" s="2"/>
      <c r="F5764" s="14"/>
      <c r="G5764" s="2"/>
      <c r="H5764" s="2"/>
    </row>
    <row r="5765">
      <c r="A5765" s="2"/>
      <c r="B5765" s="13"/>
      <c r="C5765" s="2"/>
      <c r="D5765" s="2"/>
      <c r="E5765" s="2"/>
      <c r="F5765" s="14"/>
      <c r="G5765" s="2"/>
      <c r="H5765" s="2"/>
    </row>
    <row r="5766">
      <c r="A5766" s="2"/>
      <c r="B5766" s="13"/>
      <c r="C5766" s="2"/>
      <c r="D5766" s="2"/>
      <c r="E5766" s="2"/>
      <c r="F5766" s="14"/>
      <c r="G5766" s="2"/>
      <c r="H5766" s="2"/>
    </row>
    <row r="5767">
      <c r="A5767" s="2"/>
      <c r="B5767" s="13"/>
      <c r="C5767" s="2"/>
      <c r="D5767" s="2"/>
      <c r="E5767" s="2"/>
      <c r="F5767" s="14"/>
      <c r="G5767" s="2"/>
      <c r="H5767" s="2"/>
    </row>
    <row r="5768">
      <c r="A5768" s="2"/>
      <c r="B5768" s="13"/>
      <c r="C5768" s="2"/>
      <c r="D5768" s="2"/>
      <c r="E5768" s="2"/>
      <c r="F5768" s="14"/>
      <c r="G5768" s="2"/>
      <c r="H5768" s="2"/>
    </row>
    <row r="5769">
      <c r="A5769" s="2"/>
      <c r="B5769" s="13"/>
      <c r="C5769" s="2"/>
      <c r="D5769" s="2"/>
      <c r="E5769" s="2"/>
      <c r="F5769" s="14"/>
      <c r="G5769" s="2"/>
      <c r="H5769" s="2"/>
    </row>
    <row r="5770">
      <c r="A5770" s="2"/>
      <c r="B5770" s="13"/>
      <c r="C5770" s="2"/>
      <c r="D5770" s="2"/>
      <c r="E5770" s="2"/>
      <c r="F5770" s="14"/>
      <c r="G5770" s="2"/>
      <c r="H5770" s="2"/>
    </row>
    <row r="5771">
      <c r="A5771" s="2"/>
      <c r="B5771" s="13"/>
      <c r="C5771" s="2"/>
      <c r="D5771" s="2"/>
      <c r="E5771" s="2"/>
      <c r="F5771" s="14"/>
      <c r="G5771" s="2"/>
      <c r="H5771" s="2"/>
    </row>
    <row r="5772">
      <c r="A5772" s="2"/>
      <c r="B5772" s="13"/>
      <c r="C5772" s="2"/>
      <c r="D5772" s="2"/>
      <c r="E5772" s="2"/>
      <c r="F5772" s="14"/>
      <c r="G5772" s="2"/>
      <c r="H5772" s="2"/>
    </row>
    <row r="5773">
      <c r="A5773" s="2"/>
      <c r="B5773" s="13"/>
      <c r="C5773" s="2"/>
      <c r="D5773" s="2"/>
      <c r="E5773" s="2"/>
      <c r="F5773" s="14"/>
      <c r="G5773" s="2"/>
      <c r="H5773" s="2"/>
    </row>
    <row r="5774">
      <c r="A5774" s="2"/>
      <c r="B5774" s="13"/>
      <c r="C5774" s="2"/>
      <c r="D5774" s="2"/>
      <c r="E5774" s="2"/>
      <c r="F5774" s="14"/>
      <c r="G5774" s="2"/>
      <c r="H5774" s="2"/>
    </row>
    <row r="5775">
      <c r="A5775" s="2"/>
      <c r="B5775" s="13"/>
      <c r="C5775" s="2"/>
      <c r="D5775" s="2"/>
      <c r="E5775" s="2"/>
      <c r="F5775" s="14"/>
      <c r="G5775" s="2"/>
      <c r="H5775" s="2"/>
    </row>
    <row r="5776">
      <c r="A5776" s="2"/>
      <c r="B5776" s="13"/>
      <c r="C5776" s="2"/>
      <c r="D5776" s="2"/>
      <c r="E5776" s="2"/>
      <c r="F5776" s="14"/>
      <c r="G5776" s="2"/>
      <c r="H5776" s="2"/>
    </row>
    <row r="5777">
      <c r="A5777" s="2"/>
      <c r="B5777" s="13"/>
      <c r="C5777" s="2"/>
      <c r="D5777" s="2"/>
      <c r="E5777" s="2"/>
      <c r="F5777" s="14"/>
      <c r="G5777" s="2"/>
      <c r="H5777" s="2"/>
    </row>
    <row r="5778">
      <c r="A5778" s="2"/>
      <c r="B5778" s="13"/>
      <c r="C5778" s="2"/>
      <c r="D5778" s="2"/>
      <c r="E5778" s="2"/>
      <c r="F5778" s="14"/>
      <c r="G5778" s="2"/>
      <c r="H5778" s="2"/>
    </row>
    <row r="5779">
      <c r="A5779" s="2"/>
      <c r="B5779" s="13"/>
      <c r="C5779" s="2"/>
      <c r="D5779" s="2"/>
      <c r="E5779" s="2"/>
      <c r="F5779" s="14"/>
      <c r="G5779" s="2"/>
      <c r="H5779" s="2"/>
    </row>
    <row r="5780">
      <c r="A5780" s="2"/>
      <c r="B5780" s="13"/>
      <c r="C5780" s="2"/>
      <c r="D5780" s="2"/>
      <c r="E5780" s="2"/>
      <c r="F5780" s="14"/>
      <c r="G5780" s="2"/>
      <c r="H5780" s="2"/>
    </row>
    <row r="5781">
      <c r="A5781" s="2"/>
      <c r="B5781" s="13"/>
      <c r="C5781" s="2"/>
      <c r="D5781" s="2"/>
      <c r="E5781" s="2"/>
      <c r="F5781" s="14"/>
      <c r="G5781" s="2"/>
      <c r="H5781" s="2"/>
    </row>
    <row r="5782">
      <c r="A5782" s="2"/>
      <c r="B5782" s="13"/>
      <c r="C5782" s="2"/>
      <c r="D5782" s="2"/>
      <c r="E5782" s="2"/>
      <c r="F5782" s="14"/>
      <c r="G5782" s="2"/>
      <c r="H5782" s="2"/>
    </row>
    <row r="5783">
      <c r="A5783" s="2"/>
      <c r="B5783" s="13"/>
      <c r="C5783" s="2"/>
      <c r="D5783" s="2"/>
      <c r="E5783" s="2"/>
      <c r="F5783" s="14"/>
      <c r="G5783" s="2"/>
      <c r="H5783" s="2"/>
    </row>
    <row r="5784">
      <c r="A5784" s="2"/>
      <c r="B5784" s="13"/>
      <c r="C5784" s="2"/>
      <c r="D5784" s="2"/>
      <c r="E5784" s="2"/>
      <c r="F5784" s="14"/>
      <c r="G5784" s="2"/>
      <c r="H5784" s="2"/>
    </row>
    <row r="5785">
      <c r="A5785" s="2"/>
      <c r="B5785" s="13"/>
      <c r="C5785" s="2"/>
      <c r="D5785" s="2"/>
      <c r="E5785" s="2"/>
      <c r="F5785" s="14"/>
      <c r="G5785" s="2"/>
      <c r="H5785" s="2"/>
    </row>
    <row r="5786">
      <c r="A5786" s="2"/>
      <c r="B5786" s="13"/>
      <c r="C5786" s="2"/>
      <c r="D5786" s="2"/>
      <c r="E5786" s="2"/>
      <c r="F5786" s="14"/>
      <c r="G5786" s="2"/>
      <c r="H5786" s="2"/>
    </row>
    <row r="5787">
      <c r="A5787" s="2"/>
      <c r="B5787" s="13"/>
      <c r="C5787" s="2"/>
      <c r="D5787" s="2"/>
      <c r="E5787" s="2"/>
      <c r="F5787" s="14"/>
      <c r="G5787" s="2"/>
      <c r="H5787" s="2"/>
    </row>
    <row r="5788">
      <c r="A5788" s="2"/>
      <c r="B5788" s="13"/>
      <c r="C5788" s="2"/>
      <c r="D5788" s="2"/>
      <c r="E5788" s="2"/>
      <c r="F5788" s="14"/>
      <c r="G5788" s="2"/>
      <c r="H5788" s="2"/>
    </row>
    <row r="5789">
      <c r="A5789" s="2"/>
      <c r="B5789" s="13"/>
      <c r="C5789" s="2"/>
      <c r="D5789" s="2"/>
      <c r="E5789" s="2"/>
      <c r="F5789" s="14"/>
      <c r="G5789" s="2"/>
      <c r="H5789" s="2"/>
    </row>
    <row r="5790">
      <c r="A5790" s="2"/>
      <c r="B5790" s="13"/>
      <c r="C5790" s="2"/>
      <c r="D5790" s="2"/>
      <c r="E5790" s="2"/>
      <c r="F5790" s="14"/>
      <c r="G5790" s="2"/>
      <c r="H5790" s="2"/>
    </row>
    <row r="5791">
      <c r="A5791" s="2"/>
      <c r="B5791" s="13"/>
      <c r="C5791" s="2"/>
      <c r="D5791" s="2"/>
      <c r="E5791" s="2"/>
      <c r="F5791" s="14"/>
      <c r="G5791" s="2"/>
      <c r="H5791" s="2"/>
    </row>
    <row r="5792">
      <c r="A5792" s="2"/>
      <c r="B5792" s="13"/>
      <c r="C5792" s="2"/>
      <c r="D5792" s="2"/>
      <c r="E5792" s="2"/>
      <c r="F5792" s="14"/>
      <c r="G5792" s="2"/>
      <c r="H5792" s="2"/>
    </row>
    <row r="5793">
      <c r="A5793" s="2"/>
      <c r="B5793" s="13"/>
      <c r="C5793" s="2"/>
      <c r="D5793" s="2"/>
      <c r="E5793" s="2"/>
      <c r="F5793" s="14"/>
      <c r="G5793" s="2"/>
      <c r="H5793" s="2"/>
    </row>
    <row r="5794">
      <c r="A5794" s="2"/>
      <c r="B5794" s="13"/>
      <c r="C5794" s="2"/>
      <c r="D5794" s="2"/>
      <c r="E5794" s="2"/>
      <c r="F5794" s="14"/>
      <c r="G5794" s="2"/>
      <c r="H5794" s="2"/>
    </row>
    <row r="5795">
      <c r="A5795" s="2"/>
      <c r="B5795" s="13"/>
      <c r="C5795" s="2"/>
      <c r="D5795" s="2"/>
      <c r="E5795" s="2"/>
      <c r="F5795" s="14"/>
      <c r="G5795" s="2"/>
      <c r="H5795" s="2"/>
    </row>
    <row r="5796">
      <c r="A5796" s="2"/>
      <c r="B5796" s="13"/>
      <c r="C5796" s="2"/>
      <c r="D5796" s="2"/>
      <c r="E5796" s="2"/>
      <c r="F5796" s="14"/>
      <c r="G5796" s="2"/>
      <c r="H5796" s="2"/>
    </row>
    <row r="5797">
      <c r="A5797" s="2"/>
      <c r="B5797" s="13"/>
      <c r="C5797" s="2"/>
      <c r="D5797" s="2"/>
      <c r="E5797" s="2"/>
      <c r="F5797" s="14"/>
      <c r="G5797" s="2"/>
      <c r="H5797" s="2"/>
    </row>
    <row r="5798">
      <c r="A5798" s="2"/>
      <c r="B5798" s="13"/>
      <c r="C5798" s="2"/>
      <c r="D5798" s="2"/>
      <c r="E5798" s="2"/>
      <c r="F5798" s="14"/>
      <c r="G5798" s="2"/>
      <c r="H5798" s="2"/>
    </row>
    <row r="5799">
      <c r="A5799" s="2"/>
      <c r="B5799" s="13"/>
      <c r="C5799" s="2"/>
      <c r="D5799" s="2"/>
      <c r="E5799" s="2"/>
      <c r="F5799" s="14"/>
      <c r="G5799" s="2"/>
      <c r="H5799" s="2"/>
    </row>
    <row r="5800">
      <c r="A5800" s="2"/>
      <c r="B5800" s="13"/>
      <c r="C5800" s="2"/>
      <c r="D5800" s="2"/>
      <c r="E5800" s="2"/>
      <c r="F5800" s="14"/>
      <c r="G5800" s="2"/>
      <c r="H5800" s="2"/>
    </row>
    <row r="5801">
      <c r="A5801" s="2"/>
      <c r="B5801" s="13"/>
      <c r="C5801" s="2"/>
      <c r="D5801" s="2"/>
      <c r="E5801" s="2"/>
      <c r="F5801" s="14"/>
      <c r="G5801" s="2"/>
      <c r="H5801" s="2"/>
    </row>
    <row r="5802">
      <c r="A5802" s="2"/>
      <c r="B5802" s="13"/>
      <c r="C5802" s="2"/>
      <c r="D5802" s="2"/>
      <c r="E5802" s="2"/>
      <c r="F5802" s="14"/>
      <c r="G5802" s="2"/>
      <c r="H5802" s="2"/>
    </row>
    <row r="5803">
      <c r="A5803" s="2"/>
      <c r="B5803" s="13"/>
      <c r="C5803" s="2"/>
      <c r="D5803" s="2"/>
      <c r="E5803" s="2"/>
      <c r="F5803" s="14"/>
      <c r="G5803" s="2"/>
      <c r="H5803" s="2"/>
    </row>
    <row r="5804">
      <c r="A5804" s="2"/>
      <c r="B5804" s="13"/>
      <c r="C5804" s="2"/>
      <c r="D5804" s="2"/>
      <c r="E5804" s="2"/>
      <c r="F5804" s="14"/>
      <c r="G5804" s="2"/>
      <c r="H5804" s="2"/>
    </row>
    <row r="5805">
      <c r="A5805" s="2"/>
      <c r="B5805" s="13"/>
      <c r="C5805" s="2"/>
      <c r="D5805" s="2"/>
      <c r="E5805" s="2"/>
      <c r="F5805" s="14"/>
      <c r="G5805" s="2"/>
      <c r="H5805" s="2"/>
    </row>
    <row r="5806">
      <c r="A5806" s="2"/>
      <c r="B5806" s="13"/>
      <c r="C5806" s="2"/>
      <c r="D5806" s="2"/>
      <c r="E5806" s="2"/>
      <c r="F5806" s="14"/>
      <c r="G5806" s="2"/>
      <c r="H5806" s="2"/>
    </row>
    <row r="5807">
      <c r="A5807" s="2"/>
      <c r="B5807" s="13"/>
      <c r="C5807" s="2"/>
      <c r="D5807" s="2"/>
      <c r="E5807" s="2"/>
      <c r="F5807" s="14"/>
      <c r="G5807" s="2"/>
      <c r="H5807" s="2"/>
    </row>
    <row r="5808">
      <c r="A5808" s="2"/>
      <c r="B5808" s="13"/>
      <c r="C5808" s="2"/>
      <c r="D5808" s="2"/>
      <c r="E5808" s="2"/>
      <c r="F5808" s="14"/>
      <c r="G5808" s="2"/>
      <c r="H5808" s="2"/>
    </row>
    <row r="5809">
      <c r="A5809" s="2"/>
      <c r="B5809" s="13"/>
      <c r="C5809" s="2"/>
      <c r="D5809" s="2"/>
      <c r="E5809" s="2"/>
      <c r="F5809" s="14"/>
      <c r="G5809" s="2"/>
      <c r="H5809" s="2"/>
    </row>
    <row r="5810">
      <c r="A5810" s="2"/>
      <c r="B5810" s="13"/>
      <c r="C5810" s="2"/>
      <c r="D5810" s="2"/>
      <c r="E5810" s="2"/>
      <c r="F5810" s="14"/>
      <c r="G5810" s="2"/>
      <c r="H5810" s="2"/>
    </row>
    <row r="5811">
      <c r="A5811" s="2"/>
      <c r="B5811" s="13"/>
      <c r="C5811" s="2"/>
      <c r="D5811" s="2"/>
      <c r="E5811" s="2"/>
      <c r="F5811" s="14"/>
      <c r="G5811" s="2"/>
      <c r="H5811" s="2"/>
    </row>
    <row r="5812">
      <c r="A5812" s="2"/>
      <c r="B5812" s="13"/>
      <c r="C5812" s="2"/>
      <c r="D5812" s="2"/>
      <c r="E5812" s="2"/>
      <c r="F5812" s="14"/>
      <c r="G5812" s="2"/>
      <c r="H5812" s="2"/>
    </row>
    <row r="5813">
      <c r="A5813" s="2"/>
      <c r="B5813" s="13"/>
      <c r="C5813" s="2"/>
      <c r="D5813" s="2"/>
      <c r="E5813" s="2"/>
      <c r="F5813" s="14"/>
      <c r="G5813" s="2"/>
      <c r="H5813" s="2"/>
    </row>
    <row r="5814">
      <c r="A5814" s="2"/>
      <c r="B5814" s="13"/>
      <c r="C5814" s="2"/>
      <c r="D5814" s="2"/>
      <c r="E5814" s="2"/>
      <c r="F5814" s="14"/>
      <c r="G5814" s="2"/>
      <c r="H5814" s="2"/>
    </row>
    <row r="5815">
      <c r="A5815" s="2"/>
      <c r="B5815" s="13"/>
      <c r="C5815" s="2"/>
      <c r="D5815" s="2"/>
      <c r="E5815" s="2"/>
      <c r="F5815" s="14"/>
      <c r="G5815" s="2"/>
      <c r="H5815" s="2"/>
    </row>
    <row r="5816">
      <c r="A5816" s="2"/>
      <c r="B5816" s="13"/>
      <c r="C5816" s="2"/>
      <c r="D5816" s="2"/>
      <c r="E5816" s="2"/>
      <c r="F5816" s="14"/>
      <c r="G5816" s="2"/>
      <c r="H5816" s="2"/>
    </row>
    <row r="5817">
      <c r="A5817" s="2"/>
      <c r="B5817" s="13"/>
      <c r="C5817" s="2"/>
      <c r="D5817" s="2"/>
      <c r="E5817" s="2"/>
      <c r="F5817" s="14"/>
      <c r="G5817" s="2"/>
      <c r="H5817" s="2"/>
    </row>
    <row r="5818">
      <c r="A5818" s="2"/>
      <c r="B5818" s="13"/>
      <c r="C5818" s="2"/>
      <c r="D5818" s="2"/>
      <c r="E5818" s="2"/>
      <c r="F5818" s="14"/>
      <c r="G5818" s="2"/>
      <c r="H5818" s="2"/>
    </row>
    <row r="5819">
      <c r="A5819" s="2"/>
      <c r="B5819" s="13"/>
      <c r="C5819" s="2"/>
      <c r="D5819" s="2"/>
      <c r="E5819" s="2"/>
      <c r="F5819" s="14"/>
      <c r="G5819" s="2"/>
      <c r="H5819" s="2"/>
    </row>
    <row r="5820">
      <c r="A5820" s="2"/>
      <c r="B5820" s="13"/>
      <c r="C5820" s="2"/>
      <c r="D5820" s="2"/>
      <c r="E5820" s="2"/>
      <c r="F5820" s="14"/>
      <c r="G5820" s="2"/>
      <c r="H5820" s="2"/>
    </row>
    <row r="5821">
      <c r="A5821" s="2"/>
      <c r="B5821" s="13"/>
      <c r="C5821" s="2"/>
      <c r="D5821" s="2"/>
      <c r="E5821" s="2"/>
      <c r="F5821" s="14"/>
      <c r="G5821" s="2"/>
      <c r="H5821" s="2"/>
    </row>
    <row r="5822">
      <c r="A5822" s="2"/>
      <c r="B5822" s="13"/>
      <c r="C5822" s="2"/>
      <c r="D5822" s="2"/>
      <c r="E5822" s="2"/>
      <c r="F5822" s="14"/>
      <c r="G5822" s="2"/>
      <c r="H5822" s="2"/>
    </row>
    <row r="5823">
      <c r="A5823" s="2"/>
      <c r="B5823" s="13"/>
      <c r="C5823" s="2"/>
      <c r="D5823" s="2"/>
      <c r="E5823" s="2"/>
      <c r="F5823" s="14"/>
      <c r="G5823" s="2"/>
      <c r="H5823" s="2"/>
    </row>
    <row r="5824">
      <c r="A5824" s="2"/>
      <c r="B5824" s="13"/>
      <c r="C5824" s="2"/>
      <c r="D5824" s="2"/>
      <c r="E5824" s="2"/>
      <c r="F5824" s="14"/>
      <c r="G5824" s="2"/>
      <c r="H5824" s="2"/>
    </row>
    <row r="5825">
      <c r="A5825" s="2"/>
      <c r="B5825" s="13"/>
      <c r="C5825" s="2"/>
      <c r="D5825" s="2"/>
      <c r="E5825" s="2"/>
      <c r="F5825" s="14"/>
      <c r="G5825" s="2"/>
      <c r="H5825" s="2"/>
    </row>
    <row r="5826">
      <c r="A5826" s="2"/>
      <c r="B5826" s="13"/>
      <c r="C5826" s="2"/>
      <c r="D5826" s="2"/>
      <c r="E5826" s="2"/>
      <c r="F5826" s="14"/>
      <c r="G5826" s="2"/>
      <c r="H5826" s="2"/>
    </row>
    <row r="5827">
      <c r="A5827" s="2"/>
      <c r="B5827" s="13"/>
      <c r="C5827" s="2"/>
      <c r="D5827" s="2"/>
      <c r="E5827" s="2"/>
      <c r="F5827" s="14"/>
      <c r="G5827" s="2"/>
      <c r="H5827" s="2"/>
    </row>
    <row r="5828">
      <c r="A5828" s="2"/>
      <c r="B5828" s="13"/>
      <c r="C5828" s="2"/>
      <c r="D5828" s="2"/>
      <c r="E5828" s="2"/>
      <c r="F5828" s="14"/>
      <c r="G5828" s="2"/>
      <c r="H5828" s="2"/>
    </row>
    <row r="5829">
      <c r="A5829" s="2"/>
      <c r="B5829" s="13"/>
      <c r="C5829" s="2"/>
      <c r="D5829" s="2"/>
      <c r="E5829" s="2"/>
      <c r="F5829" s="14"/>
      <c r="G5829" s="2"/>
      <c r="H5829" s="2"/>
    </row>
    <row r="5830">
      <c r="A5830" s="2"/>
      <c r="B5830" s="13"/>
      <c r="C5830" s="2"/>
      <c r="D5830" s="2"/>
      <c r="E5830" s="2"/>
      <c r="F5830" s="14"/>
      <c r="G5830" s="2"/>
      <c r="H5830" s="2"/>
    </row>
    <row r="5831">
      <c r="A5831" s="2"/>
      <c r="B5831" s="13"/>
      <c r="C5831" s="2"/>
      <c r="D5831" s="2"/>
      <c r="E5831" s="2"/>
      <c r="F5831" s="14"/>
      <c r="G5831" s="2"/>
      <c r="H5831" s="2"/>
    </row>
    <row r="5832">
      <c r="A5832" s="2"/>
      <c r="B5832" s="13"/>
      <c r="C5832" s="2"/>
      <c r="D5832" s="2"/>
      <c r="E5832" s="2"/>
      <c r="F5832" s="14"/>
      <c r="G5832" s="2"/>
      <c r="H5832" s="2"/>
    </row>
    <row r="5833">
      <c r="A5833" s="2"/>
      <c r="B5833" s="13"/>
      <c r="C5833" s="2"/>
      <c r="D5833" s="2"/>
      <c r="E5833" s="2"/>
      <c r="F5833" s="14"/>
      <c r="G5833" s="2"/>
      <c r="H5833" s="2"/>
    </row>
    <row r="5834">
      <c r="A5834" s="2"/>
      <c r="B5834" s="13"/>
      <c r="C5834" s="2"/>
      <c r="D5834" s="2"/>
      <c r="E5834" s="2"/>
      <c r="F5834" s="14"/>
      <c r="G5834" s="2"/>
      <c r="H5834" s="2"/>
    </row>
    <row r="5835">
      <c r="A5835" s="2"/>
      <c r="B5835" s="13"/>
      <c r="C5835" s="2"/>
      <c r="D5835" s="2"/>
      <c r="E5835" s="2"/>
      <c r="F5835" s="14"/>
      <c r="G5835" s="2"/>
      <c r="H5835" s="2"/>
    </row>
    <row r="5836">
      <c r="A5836" s="2"/>
      <c r="B5836" s="13"/>
      <c r="C5836" s="2"/>
      <c r="D5836" s="2"/>
      <c r="E5836" s="2"/>
      <c r="F5836" s="14"/>
      <c r="G5836" s="2"/>
      <c r="H5836" s="2"/>
    </row>
    <row r="5837">
      <c r="A5837" s="2"/>
      <c r="B5837" s="13"/>
      <c r="C5837" s="2"/>
      <c r="D5837" s="2"/>
      <c r="E5837" s="2"/>
      <c r="F5837" s="14"/>
      <c r="G5837" s="2"/>
      <c r="H5837" s="2"/>
    </row>
    <row r="5838">
      <c r="A5838" s="2"/>
      <c r="B5838" s="13"/>
      <c r="C5838" s="2"/>
      <c r="D5838" s="2"/>
      <c r="E5838" s="2"/>
      <c r="F5838" s="14"/>
      <c r="G5838" s="2"/>
      <c r="H5838" s="2"/>
    </row>
    <row r="5839">
      <c r="A5839" s="2"/>
      <c r="B5839" s="13"/>
      <c r="C5839" s="2"/>
      <c r="D5839" s="2"/>
      <c r="E5839" s="2"/>
      <c r="F5839" s="14"/>
      <c r="G5839" s="2"/>
      <c r="H5839" s="2"/>
    </row>
    <row r="5840">
      <c r="A5840" s="2"/>
      <c r="B5840" s="13"/>
      <c r="C5840" s="2"/>
      <c r="D5840" s="2"/>
      <c r="E5840" s="2"/>
      <c r="F5840" s="14"/>
      <c r="G5840" s="2"/>
      <c r="H5840" s="2"/>
    </row>
    <row r="5841">
      <c r="A5841" s="2"/>
      <c r="B5841" s="13"/>
      <c r="C5841" s="2"/>
      <c r="D5841" s="2"/>
      <c r="E5841" s="2"/>
      <c r="F5841" s="14"/>
      <c r="G5841" s="2"/>
      <c r="H5841" s="2"/>
    </row>
    <row r="5842">
      <c r="A5842" s="2"/>
      <c r="B5842" s="13"/>
      <c r="C5842" s="2"/>
      <c r="D5842" s="2"/>
      <c r="E5842" s="2"/>
      <c r="F5842" s="14"/>
      <c r="G5842" s="2"/>
      <c r="H5842" s="2"/>
    </row>
    <row r="5843">
      <c r="A5843" s="2"/>
      <c r="B5843" s="13"/>
      <c r="C5843" s="2"/>
      <c r="D5843" s="2"/>
      <c r="E5843" s="2"/>
      <c r="F5843" s="14"/>
      <c r="G5843" s="2"/>
      <c r="H5843" s="2"/>
    </row>
    <row r="5844">
      <c r="A5844" s="2"/>
      <c r="B5844" s="13"/>
      <c r="C5844" s="2"/>
      <c r="D5844" s="2"/>
      <c r="E5844" s="2"/>
      <c r="F5844" s="14"/>
      <c r="G5844" s="2"/>
      <c r="H5844" s="2"/>
    </row>
    <row r="5845">
      <c r="A5845" s="2"/>
      <c r="B5845" s="13"/>
      <c r="C5845" s="2"/>
      <c r="D5845" s="2"/>
      <c r="E5845" s="2"/>
      <c r="F5845" s="14"/>
      <c r="G5845" s="2"/>
      <c r="H5845" s="2"/>
    </row>
    <row r="5846">
      <c r="A5846" s="2"/>
      <c r="B5846" s="13"/>
      <c r="C5846" s="2"/>
      <c r="D5846" s="2"/>
      <c r="E5846" s="2"/>
      <c r="F5846" s="14"/>
      <c r="G5846" s="2"/>
      <c r="H5846" s="2"/>
    </row>
    <row r="5847">
      <c r="A5847" s="2"/>
      <c r="B5847" s="13"/>
      <c r="C5847" s="2"/>
      <c r="D5847" s="2"/>
      <c r="E5847" s="2"/>
      <c r="F5847" s="14"/>
      <c r="G5847" s="2"/>
      <c r="H5847" s="2"/>
    </row>
    <row r="5848">
      <c r="A5848" s="2"/>
      <c r="B5848" s="13"/>
      <c r="C5848" s="2"/>
      <c r="D5848" s="2"/>
      <c r="E5848" s="2"/>
      <c r="F5848" s="14"/>
      <c r="G5848" s="2"/>
      <c r="H5848" s="2"/>
    </row>
    <row r="5849">
      <c r="A5849" s="2"/>
      <c r="B5849" s="13"/>
      <c r="C5849" s="2"/>
      <c r="D5849" s="2"/>
      <c r="E5849" s="2"/>
      <c r="F5849" s="14"/>
      <c r="G5849" s="2"/>
      <c r="H5849" s="2"/>
    </row>
    <row r="5850">
      <c r="A5850" s="2"/>
      <c r="B5850" s="13"/>
      <c r="C5850" s="2"/>
      <c r="D5850" s="2"/>
      <c r="E5850" s="2"/>
      <c r="F5850" s="14"/>
      <c r="G5850" s="2"/>
      <c r="H5850" s="2"/>
    </row>
    <row r="5851">
      <c r="A5851" s="2"/>
      <c r="B5851" s="13"/>
      <c r="C5851" s="2"/>
      <c r="D5851" s="2"/>
      <c r="E5851" s="2"/>
      <c r="F5851" s="14"/>
      <c r="G5851" s="2"/>
      <c r="H5851" s="2"/>
    </row>
    <row r="5852">
      <c r="A5852" s="2"/>
      <c r="B5852" s="13"/>
      <c r="C5852" s="2"/>
      <c r="D5852" s="2"/>
      <c r="E5852" s="2"/>
      <c r="F5852" s="14"/>
      <c r="G5852" s="2"/>
      <c r="H5852" s="2"/>
    </row>
    <row r="5853">
      <c r="A5853" s="2"/>
      <c r="B5853" s="13"/>
      <c r="C5853" s="2"/>
      <c r="D5853" s="2"/>
      <c r="E5853" s="2"/>
      <c r="F5853" s="14"/>
      <c r="G5853" s="2"/>
      <c r="H5853" s="2"/>
    </row>
    <row r="5854">
      <c r="A5854" s="2"/>
      <c r="B5854" s="13"/>
      <c r="C5854" s="2"/>
      <c r="D5854" s="2"/>
      <c r="E5854" s="2"/>
      <c r="F5854" s="14"/>
      <c r="G5854" s="2"/>
      <c r="H5854" s="2"/>
    </row>
    <row r="5855">
      <c r="A5855" s="2"/>
      <c r="B5855" s="13"/>
      <c r="C5855" s="2"/>
      <c r="D5855" s="2"/>
      <c r="E5855" s="2"/>
      <c r="F5855" s="14"/>
      <c r="G5855" s="2"/>
      <c r="H5855" s="2"/>
    </row>
    <row r="5856">
      <c r="A5856" s="2"/>
      <c r="B5856" s="13"/>
      <c r="C5856" s="2"/>
      <c r="D5856" s="2"/>
      <c r="E5856" s="2"/>
      <c r="F5856" s="14"/>
      <c r="G5856" s="2"/>
      <c r="H5856" s="2"/>
    </row>
    <row r="5857">
      <c r="A5857" s="2"/>
      <c r="B5857" s="13"/>
      <c r="C5857" s="2"/>
      <c r="D5857" s="2"/>
      <c r="E5857" s="2"/>
      <c r="F5857" s="14"/>
      <c r="G5857" s="2"/>
      <c r="H5857" s="2"/>
    </row>
    <row r="5858">
      <c r="A5858" s="2"/>
      <c r="B5858" s="13"/>
      <c r="C5858" s="2"/>
      <c r="D5858" s="2"/>
      <c r="E5858" s="2"/>
      <c r="F5858" s="14"/>
      <c r="G5858" s="2"/>
      <c r="H5858" s="2"/>
    </row>
    <row r="5859">
      <c r="A5859" s="2"/>
      <c r="B5859" s="13"/>
      <c r="C5859" s="2"/>
      <c r="D5859" s="2"/>
      <c r="E5859" s="2"/>
      <c r="F5859" s="14"/>
      <c r="G5859" s="2"/>
      <c r="H5859" s="2"/>
    </row>
    <row r="5860">
      <c r="A5860" s="2"/>
      <c r="B5860" s="13"/>
      <c r="C5860" s="2"/>
      <c r="D5860" s="2"/>
      <c r="E5860" s="2"/>
      <c r="F5860" s="14"/>
      <c r="G5860" s="2"/>
      <c r="H5860" s="2"/>
    </row>
    <row r="5861">
      <c r="A5861" s="2"/>
      <c r="B5861" s="13"/>
      <c r="C5861" s="2"/>
      <c r="D5861" s="2"/>
      <c r="E5861" s="2"/>
      <c r="F5861" s="14"/>
      <c r="G5861" s="2"/>
      <c r="H5861" s="2"/>
    </row>
    <row r="5862">
      <c r="A5862" s="2"/>
      <c r="B5862" s="13"/>
      <c r="C5862" s="2"/>
      <c r="D5862" s="2"/>
      <c r="E5862" s="2"/>
      <c r="F5862" s="14"/>
      <c r="G5862" s="2"/>
      <c r="H5862" s="2"/>
    </row>
    <row r="5863">
      <c r="A5863" s="2"/>
      <c r="B5863" s="13"/>
      <c r="C5863" s="2"/>
      <c r="D5863" s="2"/>
      <c r="E5863" s="2"/>
      <c r="F5863" s="14"/>
      <c r="G5863" s="2"/>
      <c r="H5863" s="2"/>
    </row>
    <row r="5864">
      <c r="A5864" s="2"/>
      <c r="B5864" s="13"/>
      <c r="C5864" s="2"/>
      <c r="D5864" s="2"/>
      <c r="E5864" s="2"/>
      <c r="F5864" s="14"/>
      <c r="G5864" s="2"/>
      <c r="H5864" s="2"/>
    </row>
    <row r="5865">
      <c r="A5865" s="2"/>
      <c r="B5865" s="13"/>
      <c r="C5865" s="2"/>
      <c r="D5865" s="2"/>
      <c r="E5865" s="2"/>
      <c r="F5865" s="14"/>
      <c r="G5865" s="2"/>
      <c r="H5865" s="2"/>
    </row>
    <row r="5866">
      <c r="A5866" s="2"/>
      <c r="B5866" s="13"/>
      <c r="C5866" s="2"/>
      <c r="D5866" s="2"/>
      <c r="E5866" s="2"/>
      <c r="F5866" s="14"/>
      <c r="G5866" s="2"/>
      <c r="H5866" s="2"/>
    </row>
    <row r="5867">
      <c r="A5867" s="2"/>
      <c r="B5867" s="13"/>
      <c r="C5867" s="2"/>
      <c r="D5867" s="2"/>
      <c r="E5867" s="2"/>
      <c r="F5867" s="14"/>
      <c r="G5867" s="2"/>
      <c r="H5867" s="2"/>
    </row>
    <row r="5868">
      <c r="A5868" s="2"/>
      <c r="B5868" s="13"/>
      <c r="C5868" s="2"/>
      <c r="D5868" s="2"/>
      <c r="E5868" s="2"/>
      <c r="F5868" s="14"/>
      <c r="G5868" s="2"/>
      <c r="H5868" s="2"/>
    </row>
    <row r="5869">
      <c r="A5869" s="2"/>
      <c r="B5869" s="13"/>
      <c r="C5869" s="2"/>
      <c r="D5869" s="2"/>
      <c r="E5869" s="2"/>
      <c r="F5869" s="14"/>
      <c r="G5869" s="2"/>
      <c r="H5869" s="2"/>
    </row>
    <row r="5870">
      <c r="A5870" s="2"/>
      <c r="B5870" s="13"/>
      <c r="C5870" s="2"/>
      <c r="D5870" s="2"/>
      <c r="E5870" s="2"/>
      <c r="F5870" s="14"/>
      <c r="G5870" s="2"/>
      <c r="H5870" s="2"/>
    </row>
    <row r="5871">
      <c r="A5871" s="2"/>
      <c r="B5871" s="13"/>
      <c r="C5871" s="2"/>
      <c r="D5871" s="2"/>
      <c r="E5871" s="2"/>
      <c r="F5871" s="14"/>
      <c r="G5871" s="2"/>
      <c r="H5871" s="2"/>
    </row>
    <row r="5872">
      <c r="A5872" s="2"/>
      <c r="B5872" s="13"/>
      <c r="C5872" s="2"/>
      <c r="D5872" s="2"/>
      <c r="E5872" s="2"/>
      <c r="F5872" s="14"/>
      <c r="G5872" s="2"/>
      <c r="H5872" s="2"/>
    </row>
    <row r="5873">
      <c r="A5873" s="2"/>
      <c r="B5873" s="13"/>
      <c r="C5873" s="2"/>
      <c r="D5873" s="2"/>
      <c r="E5873" s="2"/>
      <c r="F5873" s="14"/>
      <c r="G5873" s="2"/>
      <c r="H5873" s="2"/>
    </row>
    <row r="5874">
      <c r="A5874" s="2"/>
      <c r="B5874" s="13"/>
      <c r="C5874" s="2"/>
      <c r="D5874" s="2"/>
      <c r="E5874" s="2"/>
      <c r="F5874" s="14"/>
      <c r="G5874" s="2"/>
      <c r="H5874" s="2"/>
    </row>
    <row r="5875">
      <c r="A5875" s="2"/>
      <c r="B5875" s="13"/>
      <c r="C5875" s="2"/>
      <c r="D5875" s="2"/>
      <c r="E5875" s="2"/>
      <c r="F5875" s="14"/>
      <c r="G5875" s="2"/>
      <c r="H5875" s="2"/>
    </row>
    <row r="5876">
      <c r="A5876" s="2"/>
      <c r="B5876" s="13"/>
      <c r="C5876" s="2"/>
      <c r="D5876" s="2"/>
      <c r="E5876" s="2"/>
      <c r="F5876" s="14"/>
      <c r="G5876" s="2"/>
      <c r="H5876" s="2"/>
    </row>
    <row r="5877">
      <c r="A5877" s="2"/>
      <c r="B5877" s="13"/>
      <c r="C5877" s="2"/>
      <c r="D5877" s="2"/>
      <c r="E5877" s="2"/>
      <c r="F5877" s="14"/>
      <c r="G5877" s="2"/>
      <c r="H5877" s="2"/>
    </row>
    <row r="5878">
      <c r="A5878" s="2"/>
      <c r="B5878" s="13"/>
      <c r="C5878" s="2"/>
      <c r="D5878" s="2"/>
      <c r="E5878" s="2"/>
      <c r="F5878" s="14"/>
      <c r="G5878" s="2"/>
      <c r="H5878" s="2"/>
    </row>
    <row r="5879">
      <c r="A5879" s="2"/>
      <c r="B5879" s="13"/>
      <c r="C5879" s="2"/>
      <c r="D5879" s="2"/>
      <c r="E5879" s="2"/>
      <c r="F5879" s="14"/>
      <c r="G5879" s="2"/>
      <c r="H5879" s="2"/>
    </row>
    <row r="5880">
      <c r="A5880" s="2"/>
      <c r="B5880" s="13"/>
      <c r="C5880" s="2"/>
      <c r="D5880" s="2"/>
      <c r="E5880" s="2"/>
      <c r="F5880" s="14"/>
      <c r="G5880" s="2"/>
      <c r="H5880" s="2"/>
    </row>
    <row r="5881">
      <c r="A5881" s="2"/>
      <c r="B5881" s="13"/>
      <c r="C5881" s="2"/>
      <c r="D5881" s="2"/>
      <c r="E5881" s="2"/>
      <c r="F5881" s="14"/>
      <c r="G5881" s="2"/>
      <c r="H5881" s="2"/>
    </row>
    <row r="5882">
      <c r="A5882" s="2"/>
      <c r="B5882" s="13"/>
      <c r="C5882" s="2"/>
      <c r="D5882" s="2"/>
      <c r="E5882" s="2"/>
      <c r="F5882" s="14"/>
      <c r="G5882" s="2"/>
      <c r="H5882" s="2"/>
    </row>
    <row r="5883">
      <c r="A5883" s="2"/>
      <c r="B5883" s="13"/>
      <c r="C5883" s="2"/>
      <c r="D5883" s="2"/>
      <c r="E5883" s="2"/>
      <c r="F5883" s="14"/>
      <c r="G5883" s="2"/>
      <c r="H5883" s="2"/>
    </row>
    <row r="5884">
      <c r="A5884" s="2"/>
      <c r="B5884" s="13"/>
      <c r="C5884" s="2"/>
      <c r="D5884" s="2"/>
      <c r="E5884" s="2"/>
      <c r="F5884" s="14"/>
      <c r="G5884" s="2"/>
      <c r="H5884" s="2"/>
    </row>
    <row r="5885">
      <c r="A5885" s="2"/>
      <c r="B5885" s="13"/>
      <c r="C5885" s="2"/>
      <c r="D5885" s="2"/>
      <c r="E5885" s="2"/>
      <c r="F5885" s="14"/>
      <c r="G5885" s="2"/>
      <c r="H5885" s="2"/>
    </row>
    <row r="5886">
      <c r="A5886" s="2"/>
      <c r="B5886" s="13"/>
      <c r="C5886" s="2"/>
      <c r="D5886" s="2"/>
      <c r="E5886" s="2"/>
      <c r="F5886" s="14"/>
      <c r="G5886" s="2"/>
      <c r="H5886" s="2"/>
    </row>
    <row r="5887">
      <c r="A5887" s="2"/>
      <c r="B5887" s="13"/>
      <c r="C5887" s="2"/>
      <c r="D5887" s="2"/>
      <c r="E5887" s="2"/>
      <c r="F5887" s="14"/>
      <c r="G5887" s="2"/>
      <c r="H5887" s="2"/>
    </row>
    <row r="5888">
      <c r="A5888" s="2"/>
      <c r="B5888" s="13"/>
      <c r="C5888" s="2"/>
      <c r="D5888" s="2"/>
      <c r="E5888" s="2"/>
      <c r="F5888" s="14"/>
      <c r="G5888" s="2"/>
      <c r="H5888" s="2"/>
    </row>
    <row r="5889">
      <c r="A5889" s="2"/>
      <c r="B5889" s="13"/>
      <c r="C5889" s="2"/>
      <c r="D5889" s="2"/>
      <c r="E5889" s="2"/>
      <c r="F5889" s="14"/>
      <c r="G5889" s="2"/>
      <c r="H5889" s="2"/>
    </row>
    <row r="5890">
      <c r="A5890" s="2"/>
      <c r="B5890" s="13"/>
      <c r="C5890" s="2"/>
      <c r="D5890" s="2"/>
      <c r="E5890" s="2"/>
      <c r="F5890" s="14"/>
      <c r="G5890" s="2"/>
      <c r="H5890" s="2"/>
    </row>
    <row r="5891">
      <c r="A5891" s="2"/>
      <c r="B5891" s="13"/>
      <c r="C5891" s="2"/>
      <c r="D5891" s="2"/>
      <c r="E5891" s="2"/>
      <c r="F5891" s="14"/>
      <c r="G5891" s="2"/>
      <c r="H5891" s="2"/>
    </row>
    <row r="5892">
      <c r="A5892" s="2"/>
      <c r="B5892" s="13"/>
      <c r="C5892" s="2"/>
      <c r="D5892" s="2"/>
      <c r="E5892" s="2"/>
      <c r="F5892" s="14"/>
      <c r="G5892" s="2"/>
      <c r="H5892" s="2"/>
    </row>
    <row r="5893">
      <c r="A5893" s="2"/>
      <c r="B5893" s="13"/>
      <c r="C5893" s="2"/>
      <c r="D5893" s="2"/>
      <c r="E5893" s="2"/>
      <c r="F5893" s="14"/>
      <c r="G5893" s="2"/>
      <c r="H5893" s="2"/>
    </row>
    <row r="5894">
      <c r="A5894" s="2"/>
      <c r="B5894" s="13"/>
      <c r="C5894" s="2"/>
      <c r="D5894" s="2"/>
      <c r="E5894" s="2"/>
      <c r="F5894" s="14"/>
      <c r="G5894" s="2"/>
      <c r="H5894" s="2"/>
    </row>
    <row r="5895">
      <c r="A5895" s="2"/>
      <c r="B5895" s="13"/>
      <c r="C5895" s="2"/>
      <c r="D5895" s="2"/>
      <c r="E5895" s="2"/>
      <c r="F5895" s="14"/>
      <c r="G5895" s="2"/>
      <c r="H5895" s="2"/>
    </row>
    <row r="5896">
      <c r="A5896" s="2"/>
      <c r="B5896" s="13"/>
      <c r="C5896" s="2"/>
      <c r="D5896" s="2"/>
      <c r="E5896" s="2"/>
      <c r="F5896" s="14"/>
      <c r="G5896" s="2"/>
      <c r="H5896" s="2"/>
    </row>
    <row r="5897">
      <c r="A5897" s="2"/>
      <c r="B5897" s="13"/>
      <c r="C5897" s="2"/>
      <c r="D5897" s="2"/>
      <c r="E5897" s="2"/>
      <c r="F5897" s="14"/>
      <c r="G5897" s="2"/>
      <c r="H5897" s="2"/>
    </row>
    <row r="5898">
      <c r="A5898" s="2"/>
      <c r="B5898" s="13"/>
      <c r="C5898" s="2"/>
      <c r="D5898" s="2"/>
      <c r="E5898" s="2"/>
      <c r="F5898" s="14"/>
      <c r="G5898" s="2"/>
      <c r="H5898" s="2"/>
    </row>
    <row r="5899">
      <c r="A5899" s="2"/>
      <c r="B5899" s="13"/>
      <c r="C5899" s="2"/>
      <c r="D5899" s="2"/>
      <c r="E5899" s="2"/>
      <c r="F5899" s="14"/>
      <c r="G5899" s="2"/>
      <c r="H5899" s="2"/>
    </row>
    <row r="5900">
      <c r="A5900" s="2"/>
      <c r="B5900" s="13"/>
      <c r="C5900" s="2"/>
      <c r="D5900" s="2"/>
      <c r="E5900" s="2"/>
      <c r="F5900" s="14"/>
      <c r="G5900" s="2"/>
      <c r="H5900" s="2"/>
    </row>
    <row r="5901">
      <c r="A5901" s="2"/>
      <c r="B5901" s="13"/>
      <c r="C5901" s="2"/>
      <c r="D5901" s="2"/>
      <c r="E5901" s="2"/>
      <c r="F5901" s="14"/>
      <c r="G5901" s="2"/>
      <c r="H5901" s="2"/>
    </row>
    <row r="5902">
      <c r="A5902" s="2"/>
      <c r="B5902" s="13"/>
      <c r="C5902" s="2"/>
      <c r="D5902" s="2"/>
      <c r="E5902" s="2"/>
      <c r="F5902" s="14"/>
      <c r="G5902" s="2"/>
      <c r="H5902" s="2"/>
    </row>
    <row r="5903">
      <c r="A5903" s="2"/>
      <c r="B5903" s="13"/>
      <c r="C5903" s="2"/>
      <c r="D5903" s="2"/>
      <c r="E5903" s="2"/>
      <c r="F5903" s="14"/>
      <c r="G5903" s="2"/>
      <c r="H5903" s="2"/>
    </row>
    <row r="5904">
      <c r="A5904" s="2"/>
      <c r="B5904" s="13"/>
      <c r="C5904" s="2"/>
      <c r="D5904" s="2"/>
      <c r="E5904" s="2"/>
      <c r="F5904" s="14"/>
      <c r="G5904" s="2"/>
      <c r="H5904" s="2"/>
    </row>
    <row r="5905">
      <c r="A5905" s="2"/>
      <c r="B5905" s="13"/>
      <c r="C5905" s="2"/>
      <c r="D5905" s="2"/>
      <c r="E5905" s="2"/>
      <c r="F5905" s="14"/>
      <c r="G5905" s="2"/>
      <c r="H5905" s="2"/>
    </row>
    <row r="5906">
      <c r="A5906" s="2"/>
      <c r="B5906" s="13"/>
      <c r="C5906" s="2"/>
      <c r="D5906" s="2"/>
      <c r="E5906" s="2"/>
      <c r="F5906" s="14"/>
      <c r="G5906" s="2"/>
      <c r="H5906" s="2"/>
    </row>
    <row r="5907">
      <c r="A5907" s="2"/>
      <c r="B5907" s="13"/>
      <c r="C5907" s="2"/>
      <c r="D5907" s="2"/>
      <c r="E5907" s="2"/>
      <c r="F5907" s="14"/>
      <c r="G5907" s="2"/>
      <c r="H5907" s="2"/>
    </row>
    <row r="5908">
      <c r="A5908" s="2"/>
      <c r="B5908" s="13"/>
      <c r="C5908" s="2"/>
      <c r="D5908" s="2"/>
      <c r="E5908" s="2"/>
      <c r="F5908" s="14"/>
      <c r="G5908" s="2"/>
      <c r="H5908" s="2"/>
    </row>
    <row r="5909">
      <c r="A5909" s="2"/>
      <c r="B5909" s="13"/>
      <c r="C5909" s="2"/>
      <c r="D5909" s="2"/>
      <c r="E5909" s="2"/>
      <c r="F5909" s="14"/>
      <c r="G5909" s="2"/>
      <c r="H5909" s="2"/>
    </row>
    <row r="5910">
      <c r="A5910" s="2"/>
      <c r="B5910" s="13"/>
      <c r="C5910" s="2"/>
      <c r="D5910" s="2"/>
      <c r="E5910" s="2"/>
      <c r="F5910" s="14"/>
      <c r="G5910" s="2"/>
      <c r="H5910" s="2"/>
    </row>
    <row r="5911">
      <c r="A5911" s="2"/>
      <c r="B5911" s="13"/>
      <c r="C5911" s="2"/>
      <c r="D5911" s="2"/>
      <c r="E5911" s="2"/>
      <c r="F5911" s="14"/>
      <c r="G5911" s="2"/>
      <c r="H5911" s="2"/>
    </row>
    <row r="5912">
      <c r="A5912" s="2"/>
      <c r="B5912" s="13"/>
      <c r="C5912" s="2"/>
      <c r="D5912" s="2"/>
      <c r="E5912" s="2"/>
      <c r="F5912" s="14"/>
      <c r="G5912" s="2"/>
      <c r="H5912" s="2"/>
    </row>
    <row r="5913">
      <c r="A5913" s="2"/>
      <c r="B5913" s="13"/>
      <c r="C5913" s="2"/>
      <c r="D5913" s="2"/>
      <c r="E5913" s="2"/>
      <c r="F5913" s="14"/>
      <c r="G5913" s="2"/>
      <c r="H5913" s="2"/>
    </row>
    <row r="5914">
      <c r="A5914" s="2"/>
      <c r="B5914" s="13"/>
      <c r="C5914" s="2"/>
      <c r="D5914" s="2"/>
      <c r="E5914" s="2"/>
      <c r="F5914" s="14"/>
      <c r="G5914" s="2"/>
      <c r="H5914" s="2"/>
    </row>
    <row r="5915">
      <c r="A5915" s="2"/>
      <c r="B5915" s="13"/>
      <c r="C5915" s="2"/>
      <c r="D5915" s="2"/>
      <c r="E5915" s="2"/>
      <c r="F5915" s="14"/>
      <c r="G5915" s="2"/>
      <c r="H5915" s="2"/>
    </row>
    <row r="5916">
      <c r="A5916" s="2"/>
      <c r="B5916" s="13"/>
      <c r="C5916" s="2"/>
      <c r="D5916" s="2"/>
      <c r="E5916" s="2"/>
      <c r="F5916" s="14"/>
      <c r="G5916" s="2"/>
      <c r="H5916" s="2"/>
    </row>
    <row r="5917">
      <c r="A5917" s="2"/>
      <c r="B5917" s="13"/>
      <c r="C5917" s="2"/>
      <c r="D5917" s="2"/>
      <c r="E5917" s="2"/>
      <c r="F5917" s="14"/>
      <c r="G5917" s="2"/>
      <c r="H5917" s="2"/>
    </row>
    <row r="5918">
      <c r="A5918" s="2"/>
      <c r="B5918" s="13"/>
      <c r="C5918" s="2"/>
      <c r="D5918" s="2"/>
      <c r="E5918" s="2"/>
      <c r="F5918" s="14"/>
      <c r="G5918" s="2"/>
      <c r="H5918" s="2"/>
    </row>
    <row r="5919">
      <c r="A5919" s="2"/>
      <c r="B5919" s="13"/>
      <c r="C5919" s="2"/>
      <c r="D5919" s="2"/>
      <c r="E5919" s="2"/>
      <c r="F5919" s="14"/>
      <c r="G5919" s="2"/>
      <c r="H5919" s="2"/>
    </row>
    <row r="5920">
      <c r="A5920" s="2"/>
      <c r="B5920" s="13"/>
      <c r="C5920" s="2"/>
      <c r="D5920" s="2"/>
      <c r="E5920" s="2"/>
      <c r="F5920" s="14"/>
      <c r="G5920" s="2"/>
      <c r="H5920" s="2"/>
    </row>
    <row r="5921">
      <c r="A5921" s="2"/>
      <c r="B5921" s="13"/>
      <c r="C5921" s="2"/>
      <c r="D5921" s="2"/>
      <c r="E5921" s="2"/>
      <c r="F5921" s="14"/>
      <c r="G5921" s="2"/>
      <c r="H5921" s="2"/>
    </row>
    <row r="5922">
      <c r="A5922" s="2"/>
      <c r="B5922" s="13"/>
      <c r="C5922" s="2"/>
      <c r="D5922" s="2"/>
      <c r="E5922" s="2"/>
      <c r="F5922" s="14"/>
      <c r="G5922" s="2"/>
      <c r="H5922" s="2"/>
    </row>
    <row r="5923">
      <c r="A5923" s="2"/>
      <c r="B5923" s="13"/>
      <c r="C5923" s="2"/>
      <c r="D5923" s="2"/>
      <c r="E5923" s="2"/>
      <c r="F5923" s="14"/>
      <c r="G5923" s="2"/>
      <c r="H5923" s="2"/>
    </row>
    <row r="5924">
      <c r="A5924" s="2"/>
      <c r="B5924" s="13"/>
      <c r="C5924" s="2"/>
      <c r="D5924" s="2"/>
      <c r="E5924" s="2"/>
      <c r="F5924" s="14"/>
      <c r="G5924" s="2"/>
      <c r="H5924" s="2"/>
    </row>
    <row r="5925">
      <c r="A5925" s="2"/>
      <c r="B5925" s="13"/>
      <c r="C5925" s="2"/>
      <c r="D5925" s="2"/>
      <c r="E5925" s="2"/>
      <c r="F5925" s="14"/>
      <c r="G5925" s="2"/>
      <c r="H5925" s="2"/>
    </row>
    <row r="5926">
      <c r="A5926" s="2"/>
      <c r="B5926" s="13"/>
      <c r="C5926" s="2"/>
      <c r="D5926" s="2"/>
      <c r="E5926" s="2"/>
      <c r="F5926" s="14"/>
      <c r="G5926" s="2"/>
      <c r="H5926" s="2"/>
    </row>
    <row r="5927">
      <c r="A5927" s="2"/>
      <c r="B5927" s="13"/>
      <c r="C5927" s="2"/>
      <c r="D5927" s="2"/>
      <c r="E5927" s="2"/>
      <c r="F5927" s="14"/>
      <c r="G5927" s="2"/>
      <c r="H5927" s="2"/>
    </row>
    <row r="5928">
      <c r="A5928" s="2"/>
      <c r="B5928" s="13"/>
      <c r="C5928" s="2"/>
      <c r="D5928" s="2"/>
      <c r="E5928" s="2"/>
      <c r="F5928" s="14"/>
      <c r="G5928" s="2"/>
      <c r="H5928" s="2"/>
    </row>
    <row r="5929">
      <c r="A5929" s="2"/>
      <c r="B5929" s="13"/>
      <c r="C5929" s="2"/>
      <c r="D5929" s="2"/>
      <c r="E5929" s="2"/>
      <c r="F5929" s="14"/>
      <c r="G5929" s="2"/>
      <c r="H5929" s="2"/>
    </row>
    <row r="5930">
      <c r="A5930" s="2"/>
      <c r="B5930" s="13"/>
      <c r="C5930" s="2"/>
      <c r="D5930" s="2"/>
      <c r="E5930" s="2"/>
      <c r="F5930" s="14"/>
      <c r="G5930" s="2"/>
      <c r="H5930" s="2"/>
    </row>
    <row r="5931">
      <c r="A5931" s="2"/>
      <c r="B5931" s="13"/>
      <c r="C5931" s="2"/>
      <c r="D5931" s="2"/>
      <c r="E5931" s="2"/>
      <c r="F5931" s="14"/>
      <c r="G5931" s="2"/>
      <c r="H5931" s="2"/>
    </row>
    <row r="5932">
      <c r="A5932" s="2"/>
      <c r="B5932" s="13"/>
      <c r="C5932" s="2"/>
      <c r="D5932" s="2"/>
      <c r="E5932" s="2"/>
      <c r="F5932" s="14"/>
      <c r="G5932" s="2"/>
      <c r="H5932" s="2"/>
    </row>
    <row r="5933">
      <c r="A5933" s="2"/>
      <c r="B5933" s="13"/>
      <c r="C5933" s="2"/>
      <c r="D5933" s="2"/>
      <c r="E5933" s="2"/>
      <c r="F5933" s="14"/>
      <c r="G5933" s="2"/>
      <c r="H5933" s="2"/>
    </row>
    <row r="5934">
      <c r="A5934" s="2"/>
      <c r="B5934" s="13"/>
      <c r="C5934" s="2"/>
      <c r="D5934" s="2"/>
      <c r="E5934" s="2"/>
      <c r="F5934" s="14"/>
      <c r="G5934" s="2"/>
      <c r="H5934" s="2"/>
    </row>
    <row r="5935">
      <c r="A5935" s="2"/>
      <c r="B5935" s="13"/>
      <c r="C5935" s="2"/>
      <c r="D5935" s="2"/>
      <c r="E5935" s="2"/>
      <c r="F5935" s="14"/>
      <c r="G5935" s="2"/>
      <c r="H5935" s="2"/>
    </row>
    <row r="5936">
      <c r="A5936" s="2"/>
      <c r="B5936" s="13"/>
      <c r="C5936" s="2"/>
      <c r="D5936" s="2"/>
      <c r="E5936" s="2"/>
      <c r="F5936" s="14"/>
      <c r="G5936" s="2"/>
      <c r="H5936" s="2"/>
    </row>
    <row r="5937">
      <c r="A5937" s="2"/>
      <c r="B5937" s="13"/>
      <c r="C5937" s="2"/>
      <c r="D5937" s="2"/>
      <c r="E5937" s="2"/>
      <c r="F5937" s="14"/>
      <c r="G5937" s="2"/>
      <c r="H5937" s="2"/>
    </row>
    <row r="5938">
      <c r="A5938" s="2"/>
      <c r="B5938" s="13"/>
      <c r="C5938" s="2"/>
      <c r="D5938" s="2"/>
      <c r="E5938" s="2"/>
      <c r="F5938" s="14"/>
      <c r="G5938" s="2"/>
      <c r="H5938" s="2"/>
    </row>
    <row r="5939">
      <c r="A5939" s="2"/>
      <c r="B5939" s="13"/>
      <c r="C5939" s="2"/>
      <c r="D5939" s="2"/>
      <c r="E5939" s="2"/>
      <c r="F5939" s="14"/>
      <c r="G5939" s="2"/>
      <c r="H5939" s="2"/>
    </row>
    <row r="5940">
      <c r="A5940" s="2"/>
      <c r="B5940" s="13"/>
      <c r="C5940" s="2"/>
      <c r="D5940" s="2"/>
      <c r="E5940" s="2"/>
      <c r="F5940" s="14"/>
      <c r="G5940" s="2"/>
      <c r="H5940" s="2"/>
    </row>
    <row r="5941">
      <c r="A5941" s="2"/>
      <c r="B5941" s="13"/>
      <c r="C5941" s="2"/>
      <c r="D5941" s="2"/>
      <c r="E5941" s="2"/>
      <c r="F5941" s="14"/>
      <c r="G5941" s="2"/>
      <c r="H5941" s="2"/>
    </row>
    <row r="5942">
      <c r="A5942" s="2"/>
      <c r="B5942" s="13"/>
      <c r="C5942" s="2"/>
      <c r="D5942" s="2"/>
      <c r="E5942" s="2"/>
      <c r="F5942" s="14"/>
      <c r="G5942" s="2"/>
      <c r="H5942" s="2"/>
    </row>
    <row r="5943">
      <c r="A5943" s="2"/>
      <c r="B5943" s="13"/>
      <c r="C5943" s="2"/>
      <c r="D5943" s="2"/>
      <c r="E5943" s="2"/>
      <c r="F5943" s="14"/>
      <c r="G5943" s="2"/>
      <c r="H5943" s="2"/>
    </row>
    <row r="5944">
      <c r="A5944" s="2"/>
      <c r="B5944" s="13"/>
      <c r="C5944" s="2"/>
      <c r="D5944" s="2"/>
      <c r="E5944" s="2"/>
      <c r="F5944" s="14"/>
      <c r="G5944" s="2"/>
      <c r="H5944" s="2"/>
    </row>
    <row r="5945">
      <c r="A5945" s="2"/>
      <c r="B5945" s="13"/>
      <c r="C5945" s="2"/>
      <c r="D5945" s="2"/>
      <c r="E5945" s="2"/>
      <c r="F5945" s="14"/>
      <c r="G5945" s="2"/>
      <c r="H5945" s="2"/>
    </row>
    <row r="5946">
      <c r="A5946" s="2"/>
      <c r="B5946" s="13"/>
      <c r="C5946" s="2"/>
      <c r="D5946" s="2"/>
      <c r="E5946" s="2"/>
      <c r="F5946" s="14"/>
      <c r="G5946" s="2"/>
      <c r="H5946" s="2"/>
    </row>
    <row r="5947">
      <c r="A5947" s="2"/>
      <c r="B5947" s="13"/>
      <c r="C5947" s="2"/>
      <c r="D5947" s="2"/>
      <c r="E5947" s="2"/>
      <c r="F5947" s="14"/>
      <c r="G5947" s="2"/>
      <c r="H5947" s="2"/>
    </row>
    <row r="5948">
      <c r="A5948" s="2"/>
      <c r="B5948" s="13"/>
      <c r="C5948" s="2"/>
      <c r="D5948" s="2"/>
      <c r="E5948" s="2"/>
      <c r="F5948" s="14"/>
      <c r="G5948" s="2"/>
      <c r="H5948" s="2"/>
    </row>
    <row r="5949">
      <c r="A5949" s="2"/>
      <c r="B5949" s="13"/>
      <c r="C5949" s="2"/>
      <c r="D5949" s="2"/>
      <c r="E5949" s="2"/>
      <c r="F5949" s="14"/>
      <c r="G5949" s="2"/>
      <c r="H5949" s="2"/>
    </row>
    <row r="5950">
      <c r="A5950" s="2"/>
      <c r="B5950" s="13"/>
      <c r="C5950" s="2"/>
      <c r="D5950" s="2"/>
      <c r="E5950" s="2"/>
      <c r="F5950" s="14"/>
      <c r="G5950" s="2"/>
      <c r="H5950" s="2"/>
    </row>
    <row r="5951">
      <c r="A5951" s="2"/>
      <c r="B5951" s="13"/>
      <c r="C5951" s="2"/>
      <c r="D5951" s="2"/>
      <c r="E5951" s="2"/>
      <c r="F5951" s="14"/>
      <c r="G5951" s="2"/>
      <c r="H5951" s="2"/>
    </row>
    <row r="5952">
      <c r="A5952" s="2"/>
      <c r="B5952" s="13"/>
      <c r="C5952" s="2"/>
      <c r="D5952" s="2"/>
      <c r="E5952" s="2"/>
      <c r="F5952" s="14"/>
      <c r="G5952" s="2"/>
      <c r="H5952" s="2"/>
    </row>
    <row r="5953">
      <c r="A5953" s="2"/>
      <c r="B5953" s="13"/>
      <c r="C5953" s="2"/>
      <c r="D5953" s="2"/>
      <c r="E5953" s="2"/>
      <c r="F5953" s="14"/>
      <c r="G5953" s="2"/>
      <c r="H5953" s="2"/>
    </row>
    <row r="5954">
      <c r="A5954" s="2"/>
      <c r="B5954" s="13"/>
      <c r="C5954" s="2"/>
      <c r="D5954" s="2"/>
      <c r="E5954" s="2"/>
      <c r="F5954" s="14"/>
      <c r="G5954" s="2"/>
      <c r="H5954" s="2"/>
    </row>
    <row r="5955">
      <c r="A5955" s="2"/>
      <c r="B5955" s="13"/>
      <c r="C5955" s="2"/>
      <c r="D5955" s="2"/>
      <c r="E5955" s="2"/>
      <c r="F5955" s="14"/>
      <c r="G5955" s="2"/>
      <c r="H5955" s="2"/>
    </row>
    <row r="5956">
      <c r="A5956" s="2"/>
      <c r="B5956" s="13"/>
      <c r="C5956" s="2"/>
      <c r="D5956" s="2"/>
      <c r="E5956" s="2"/>
      <c r="F5956" s="14"/>
      <c r="G5956" s="2"/>
      <c r="H5956" s="2"/>
    </row>
    <row r="5957">
      <c r="A5957" s="2"/>
      <c r="B5957" s="13"/>
      <c r="C5957" s="2"/>
      <c r="D5957" s="2"/>
      <c r="E5957" s="2"/>
      <c r="F5957" s="14"/>
      <c r="G5957" s="2"/>
      <c r="H5957" s="2"/>
    </row>
    <row r="5958">
      <c r="A5958" s="2"/>
      <c r="B5958" s="13"/>
      <c r="C5958" s="2"/>
      <c r="D5958" s="2"/>
      <c r="E5958" s="2"/>
      <c r="F5958" s="14"/>
      <c r="G5958" s="2"/>
      <c r="H5958" s="2"/>
    </row>
    <row r="5959">
      <c r="A5959" s="2"/>
      <c r="B5959" s="13"/>
      <c r="C5959" s="2"/>
      <c r="D5959" s="2"/>
      <c r="E5959" s="2"/>
      <c r="F5959" s="14"/>
      <c r="G5959" s="2"/>
      <c r="H5959" s="2"/>
    </row>
    <row r="5960">
      <c r="A5960" s="2"/>
      <c r="B5960" s="13"/>
      <c r="C5960" s="2"/>
      <c r="D5960" s="2"/>
      <c r="E5960" s="2"/>
      <c r="F5960" s="14"/>
      <c r="G5960" s="2"/>
      <c r="H5960" s="2"/>
    </row>
    <row r="5961">
      <c r="A5961" s="2"/>
      <c r="B5961" s="13"/>
      <c r="C5961" s="2"/>
      <c r="D5961" s="2"/>
      <c r="E5961" s="2"/>
      <c r="F5961" s="14"/>
      <c r="G5961" s="2"/>
      <c r="H5961" s="2"/>
    </row>
    <row r="5962">
      <c r="A5962" s="2"/>
      <c r="B5962" s="13"/>
      <c r="C5962" s="2"/>
      <c r="D5962" s="2"/>
      <c r="E5962" s="2"/>
      <c r="F5962" s="14"/>
      <c r="G5962" s="2"/>
      <c r="H5962" s="2"/>
    </row>
    <row r="5963">
      <c r="A5963" s="2"/>
      <c r="B5963" s="13"/>
      <c r="C5963" s="2"/>
      <c r="D5963" s="2"/>
      <c r="E5963" s="2"/>
      <c r="F5963" s="14"/>
      <c r="G5963" s="2"/>
      <c r="H5963" s="2"/>
    </row>
    <row r="5964">
      <c r="A5964" s="2"/>
      <c r="B5964" s="13"/>
      <c r="C5964" s="2"/>
      <c r="D5964" s="2"/>
      <c r="E5964" s="2"/>
      <c r="F5964" s="14"/>
      <c r="G5964" s="2"/>
      <c r="H5964" s="2"/>
    </row>
    <row r="5965">
      <c r="A5965" s="2"/>
      <c r="B5965" s="13"/>
      <c r="C5965" s="2"/>
      <c r="D5965" s="2"/>
      <c r="E5965" s="2"/>
      <c r="F5965" s="14"/>
      <c r="G5965" s="2"/>
      <c r="H5965" s="2"/>
    </row>
    <row r="5966">
      <c r="A5966" s="2"/>
      <c r="B5966" s="13"/>
      <c r="C5966" s="2"/>
      <c r="D5966" s="2"/>
      <c r="E5966" s="2"/>
      <c r="F5966" s="14"/>
      <c r="G5966" s="2"/>
      <c r="H5966" s="2"/>
    </row>
    <row r="5967">
      <c r="A5967" s="2"/>
      <c r="B5967" s="13"/>
      <c r="C5967" s="2"/>
      <c r="D5967" s="2"/>
      <c r="E5967" s="2"/>
      <c r="F5967" s="14"/>
      <c r="G5967" s="2"/>
      <c r="H5967" s="2"/>
    </row>
    <row r="5968">
      <c r="A5968" s="2"/>
      <c r="B5968" s="13"/>
      <c r="C5968" s="2"/>
      <c r="D5968" s="2"/>
      <c r="E5968" s="2"/>
      <c r="F5968" s="14"/>
      <c r="G5968" s="2"/>
      <c r="H5968" s="2"/>
    </row>
    <row r="5969">
      <c r="A5969" s="2"/>
      <c r="B5969" s="13"/>
      <c r="C5969" s="2"/>
      <c r="D5969" s="2"/>
      <c r="E5969" s="2"/>
      <c r="F5969" s="14"/>
      <c r="G5969" s="2"/>
      <c r="H5969" s="2"/>
    </row>
    <row r="5970">
      <c r="A5970" s="2"/>
      <c r="B5970" s="13"/>
      <c r="C5970" s="2"/>
      <c r="D5970" s="2"/>
      <c r="E5970" s="2"/>
      <c r="F5970" s="14"/>
      <c r="G5970" s="2"/>
      <c r="H5970" s="2"/>
    </row>
    <row r="5971">
      <c r="A5971" s="2"/>
      <c r="B5971" s="13"/>
      <c r="C5971" s="2"/>
      <c r="D5971" s="2"/>
      <c r="E5971" s="2"/>
      <c r="F5971" s="14"/>
      <c r="G5971" s="2"/>
      <c r="H5971" s="2"/>
    </row>
    <row r="5972">
      <c r="A5972" s="2"/>
      <c r="B5972" s="13"/>
      <c r="C5972" s="2"/>
      <c r="D5972" s="2"/>
      <c r="E5972" s="2"/>
      <c r="F5972" s="14"/>
      <c r="G5972" s="2"/>
      <c r="H5972" s="2"/>
    </row>
    <row r="5973">
      <c r="A5973" s="2"/>
      <c r="B5973" s="13"/>
      <c r="C5973" s="2"/>
      <c r="D5973" s="2"/>
      <c r="E5973" s="2"/>
      <c r="F5973" s="14"/>
      <c r="G5973" s="2"/>
      <c r="H5973" s="2"/>
    </row>
    <row r="5974">
      <c r="A5974" s="2"/>
      <c r="B5974" s="13"/>
      <c r="C5974" s="2"/>
      <c r="D5974" s="2"/>
      <c r="E5974" s="2"/>
      <c r="F5974" s="14"/>
      <c r="G5974" s="2"/>
      <c r="H5974" s="2"/>
    </row>
    <row r="5975">
      <c r="A5975" s="2"/>
      <c r="B5975" s="13"/>
      <c r="C5975" s="2"/>
      <c r="D5975" s="2"/>
      <c r="E5975" s="2"/>
      <c r="F5975" s="14"/>
      <c r="G5975" s="2"/>
      <c r="H5975" s="2"/>
    </row>
    <row r="5976">
      <c r="A5976" s="2"/>
      <c r="B5976" s="13"/>
      <c r="C5976" s="2"/>
      <c r="D5976" s="2"/>
      <c r="E5976" s="2"/>
      <c r="F5976" s="14"/>
      <c r="G5976" s="2"/>
      <c r="H5976" s="2"/>
    </row>
    <row r="5977">
      <c r="A5977" s="2"/>
      <c r="B5977" s="13"/>
      <c r="C5977" s="2"/>
      <c r="D5977" s="2"/>
      <c r="E5977" s="2"/>
      <c r="F5977" s="14"/>
      <c r="G5977" s="2"/>
      <c r="H5977" s="2"/>
    </row>
    <row r="5978">
      <c r="A5978" s="2"/>
      <c r="B5978" s="13"/>
      <c r="C5978" s="2"/>
      <c r="D5978" s="2"/>
      <c r="E5978" s="2"/>
      <c r="F5978" s="14"/>
      <c r="G5978" s="2"/>
      <c r="H5978" s="2"/>
    </row>
    <row r="5979">
      <c r="A5979" s="2"/>
      <c r="B5979" s="13"/>
      <c r="C5979" s="2"/>
      <c r="D5979" s="2"/>
      <c r="E5979" s="2"/>
      <c r="F5979" s="14"/>
      <c r="G5979" s="2"/>
      <c r="H5979" s="2"/>
    </row>
    <row r="5980">
      <c r="A5980" s="2"/>
      <c r="B5980" s="13"/>
      <c r="C5980" s="2"/>
      <c r="D5980" s="2"/>
      <c r="E5980" s="2"/>
      <c r="F5980" s="14"/>
      <c r="G5980" s="2"/>
      <c r="H5980" s="2"/>
    </row>
    <row r="5981">
      <c r="A5981" s="2"/>
      <c r="B5981" s="13"/>
      <c r="C5981" s="2"/>
      <c r="D5981" s="2"/>
      <c r="E5981" s="2"/>
      <c r="F5981" s="14"/>
      <c r="G5981" s="2"/>
      <c r="H5981" s="2"/>
    </row>
    <row r="5982">
      <c r="A5982" s="2"/>
      <c r="B5982" s="13"/>
      <c r="C5982" s="2"/>
      <c r="D5982" s="2"/>
      <c r="E5982" s="2"/>
      <c r="F5982" s="14"/>
      <c r="G5982" s="2"/>
      <c r="H5982" s="2"/>
    </row>
    <row r="5983">
      <c r="A5983" s="2"/>
      <c r="B5983" s="13"/>
      <c r="C5983" s="2"/>
      <c r="D5983" s="2"/>
      <c r="E5983" s="2"/>
      <c r="F5983" s="14"/>
      <c r="G5983" s="2"/>
      <c r="H5983" s="2"/>
    </row>
    <row r="5984">
      <c r="A5984" s="2"/>
      <c r="B5984" s="13"/>
      <c r="C5984" s="2"/>
      <c r="D5984" s="2"/>
      <c r="E5984" s="2"/>
      <c r="F5984" s="14"/>
      <c r="G5984" s="2"/>
      <c r="H5984" s="2"/>
    </row>
    <row r="5985">
      <c r="A5985" s="2"/>
      <c r="B5985" s="13"/>
      <c r="C5985" s="2"/>
      <c r="D5985" s="2"/>
      <c r="E5985" s="2"/>
      <c r="F5985" s="14"/>
      <c r="G5985" s="2"/>
      <c r="H5985" s="2"/>
    </row>
    <row r="5986">
      <c r="A5986" s="2"/>
      <c r="B5986" s="13"/>
      <c r="C5986" s="2"/>
      <c r="D5986" s="2"/>
      <c r="E5986" s="2"/>
      <c r="F5986" s="14"/>
      <c r="G5986" s="2"/>
      <c r="H5986" s="2"/>
    </row>
    <row r="5987">
      <c r="A5987" s="2"/>
      <c r="B5987" s="13"/>
      <c r="C5987" s="2"/>
      <c r="D5987" s="2"/>
      <c r="E5987" s="2"/>
      <c r="F5987" s="14"/>
      <c r="G5987" s="2"/>
      <c r="H5987" s="2"/>
    </row>
    <row r="5988">
      <c r="A5988" s="2"/>
      <c r="B5988" s="13"/>
      <c r="C5988" s="2"/>
      <c r="D5988" s="2"/>
      <c r="E5988" s="2"/>
      <c r="F5988" s="14"/>
      <c r="G5988" s="2"/>
      <c r="H5988" s="2"/>
    </row>
    <row r="5989">
      <c r="A5989" s="2"/>
      <c r="B5989" s="13"/>
      <c r="C5989" s="2"/>
      <c r="D5989" s="2"/>
      <c r="E5989" s="2"/>
      <c r="F5989" s="14"/>
      <c r="G5989" s="2"/>
      <c r="H5989" s="2"/>
    </row>
    <row r="5990">
      <c r="A5990" s="2"/>
      <c r="B5990" s="13"/>
      <c r="C5990" s="2"/>
      <c r="D5990" s="2"/>
      <c r="E5990" s="2"/>
      <c r="F5990" s="14"/>
      <c r="G5990" s="2"/>
      <c r="H5990" s="2"/>
    </row>
    <row r="5991">
      <c r="A5991" s="2"/>
      <c r="B5991" s="13"/>
      <c r="C5991" s="2"/>
      <c r="D5991" s="2"/>
      <c r="E5991" s="2"/>
      <c r="F5991" s="14"/>
      <c r="G5991" s="2"/>
      <c r="H5991" s="2"/>
    </row>
    <row r="5992">
      <c r="A5992" s="2"/>
      <c r="B5992" s="13"/>
      <c r="C5992" s="2"/>
      <c r="D5992" s="2"/>
      <c r="E5992" s="2"/>
      <c r="F5992" s="14"/>
      <c r="G5992" s="2"/>
      <c r="H5992" s="2"/>
    </row>
    <row r="5993">
      <c r="A5993" s="2"/>
      <c r="B5993" s="13"/>
      <c r="C5993" s="2"/>
      <c r="D5993" s="2"/>
      <c r="E5993" s="2"/>
      <c r="F5993" s="14"/>
      <c r="G5993" s="2"/>
      <c r="H5993" s="2"/>
    </row>
    <row r="5994">
      <c r="A5994" s="2"/>
      <c r="B5994" s="13"/>
      <c r="C5994" s="2"/>
      <c r="D5994" s="2"/>
      <c r="E5994" s="2"/>
      <c r="F5994" s="14"/>
      <c r="G5994" s="2"/>
      <c r="H5994" s="2"/>
    </row>
    <row r="5995">
      <c r="A5995" s="2"/>
      <c r="B5995" s="13"/>
      <c r="C5995" s="2"/>
      <c r="D5995" s="2"/>
      <c r="E5995" s="2"/>
      <c r="F5995" s="14"/>
      <c r="G5995" s="2"/>
      <c r="H5995" s="2"/>
    </row>
    <row r="5996">
      <c r="A5996" s="2"/>
      <c r="B5996" s="13"/>
      <c r="C5996" s="2"/>
      <c r="D5996" s="2"/>
      <c r="E5996" s="2"/>
      <c r="F5996" s="14"/>
      <c r="G5996" s="2"/>
      <c r="H5996" s="2"/>
    </row>
    <row r="5997">
      <c r="A5997" s="2"/>
      <c r="B5997" s="13"/>
      <c r="C5997" s="2"/>
      <c r="D5997" s="2"/>
      <c r="E5997" s="2"/>
      <c r="F5997" s="14"/>
      <c r="G5997" s="2"/>
      <c r="H5997" s="2"/>
    </row>
    <row r="5998">
      <c r="A5998" s="2"/>
      <c r="B5998" s="13"/>
      <c r="C5998" s="2"/>
      <c r="D5998" s="2"/>
      <c r="E5998" s="2"/>
      <c r="F5998" s="14"/>
      <c r="G5998" s="2"/>
      <c r="H5998" s="2"/>
    </row>
    <row r="5999">
      <c r="A5999" s="2"/>
      <c r="B5999" s="13"/>
      <c r="C5999" s="2"/>
      <c r="D5999" s="2"/>
      <c r="E5999" s="2"/>
      <c r="F5999" s="14"/>
      <c r="G5999" s="2"/>
      <c r="H5999" s="2"/>
    </row>
    <row r="6000">
      <c r="A6000" s="2"/>
      <c r="B6000" s="13"/>
      <c r="C6000" s="2"/>
      <c r="D6000" s="2"/>
      <c r="E6000" s="2"/>
      <c r="F6000" s="14"/>
      <c r="G6000" s="2"/>
      <c r="H6000" s="2"/>
    </row>
    <row r="6001">
      <c r="A6001" s="2"/>
      <c r="B6001" s="13"/>
      <c r="C6001" s="2"/>
      <c r="D6001" s="2"/>
      <c r="E6001" s="2"/>
      <c r="F6001" s="14"/>
      <c r="G6001" s="2"/>
      <c r="H6001" s="2"/>
    </row>
    <row r="6002">
      <c r="A6002" s="2"/>
      <c r="B6002" s="13"/>
      <c r="C6002" s="2"/>
      <c r="D6002" s="2"/>
      <c r="E6002" s="2"/>
      <c r="F6002" s="14"/>
      <c r="G6002" s="2"/>
      <c r="H6002" s="2"/>
    </row>
    <row r="6003">
      <c r="A6003" s="2"/>
      <c r="B6003" s="13"/>
      <c r="C6003" s="2"/>
      <c r="D6003" s="2"/>
      <c r="E6003" s="2"/>
      <c r="F6003" s="14"/>
      <c r="G6003" s="2"/>
      <c r="H6003" s="2"/>
    </row>
    <row r="6004">
      <c r="A6004" s="2"/>
      <c r="B6004" s="13"/>
      <c r="C6004" s="2"/>
      <c r="D6004" s="2"/>
      <c r="E6004" s="2"/>
      <c r="F6004" s="14"/>
      <c r="G6004" s="2"/>
      <c r="H6004" s="2"/>
    </row>
    <row r="6005">
      <c r="A6005" s="2"/>
      <c r="B6005" s="13"/>
      <c r="C6005" s="2"/>
      <c r="D6005" s="2"/>
      <c r="E6005" s="2"/>
      <c r="F6005" s="14"/>
      <c r="G6005" s="2"/>
      <c r="H6005" s="2"/>
    </row>
    <row r="6006">
      <c r="A6006" s="2"/>
      <c r="B6006" s="13"/>
      <c r="C6006" s="2"/>
      <c r="D6006" s="2"/>
      <c r="E6006" s="2"/>
      <c r="F6006" s="14"/>
      <c r="G6006" s="2"/>
      <c r="H6006" s="2"/>
    </row>
    <row r="6007">
      <c r="A6007" s="2"/>
      <c r="B6007" s="13"/>
      <c r="C6007" s="2"/>
      <c r="D6007" s="2"/>
      <c r="E6007" s="2"/>
      <c r="F6007" s="14"/>
      <c r="G6007" s="2"/>
      <c r="H6007" s="2"/>
    </row>
    <row r="6008">
      <c r="A6008" s="2"/>
      <c r="B6008" s="13"/>
      <c r="C6008" s="2"/>
      <c r="D6008" s="2"/>
      <c r="E6008" s="2"/>
      <c r="F6008" s="14"/>
      <c r="G6008" s="2"/>
      <c r="H6008" s="2"/>
    </row>
    <row r="6009">
      <c r="A6009" s="2"/>
      <c r="B6009" s="13"/>
      <c r="C6009" s="2"/>
      <c r="D6009" s="2"/>
      <c r="E6009" s="2"/>
      <c r="F6009" s="14"/>
      <c r="G6009" s="2"/>
      <c r="H6009" s="2"/>
    </row>
    <row r="6010">
      <c r="A6010" s="2"/>
      <c r="B6010" s="13"/>
      <c r="C6010" s="2"/>
      <c r="D6010" s="2"/>
      <c r="E6010" s="2"/>
      <c r="F6010" s="14"/>
      <c r="G6010" s="2"/>
      <c r="H6010" s="2"/>
    </row>
    <row r="6011">
      <c r="A6011" s="2"/>
      <c r="B6011" s="13"/>
      <c r="C6011" s="2"/>
      <c r="D6011" s="2"/>
      <c r="E6011" s="2"/>
      <c r="F6011" s="14"/>
      <c r="G6011" s="2"/>
      <c r="H6011" s="2"/>
    </row>
    <row r="6012">
      <c r="A6012" s="2"/>
      <c r="B6012" s="13"/>
      <c r="C6012" s="2"/>
      <c r="D6012" s="2"/>
      <c r="E6012" s="2"/>
      <c r="F6012" s="14"/>
      <c r="G6012" s="2"/>
      <c r="H6012" s="2"/>
    </row>
    <row r="6013">
      <c r="A6013" s="2"/>
      <c r="B6013" s="13"/>
      <c r="C6013" s="2"/>
      <c r="D6013" s="2"/>
      <c r="E6013" s="2"/>
      <c r="F6013" s="14"/>
      <c r="G6013" s="2"/>
      <c r="H6013" s="2"/>
    </row>
    <row r="6014">
      <c r="A6014" s="2"/>
      <c r="B6014" s="13"/>
      <c r="C6014" s="2"/>
      <c r="D6014" s="2"/>
      <c r="E6014" s="2"/>
      <c r="F6014" s="14"/>
      <c r="G6014" s="2"/>
      <c r="H6014" s="2"/>
    </row>
    <row r="6015">
      <c r="A6015" s="2"/>
      <c r="B6015" s="13"/>
      <c r="C6015" s="2"/>
      <c r="D6015" s="2"/>
      <c r="E6015" s="2"/>
      <c r="F6015" s="14"/>
      <c r="G6015" s="2"/>
      <c r="H6015" s="2"/>
    </row>
    <row r="6016">
      <c r="A6016" s="2"/>
      <c r="B6016" s="13"/>
      <c r="C6016" s="2"/>
      <c r="D6016" s="2"/>
      <c r="E6016" s="2"/>
      <c r="F6016" s="14"/>
      <c r="G6016" s="2"/>
      <c r="H6016" s="2"/>
    </row>
    <row r="6017">
      <c r="A6017" s="2"/>
      <c r="B6017" s="13"/>
      <c r="C6017" s="2"/>
      <c r="D6017" s="2"/>
      <c r="E6017" s="2"/>
      <c r="F6017" s="14"/>
      <c r="G6017" s="2"/>
      <c r="H6017" s="2"/>
    </row>
    <row r="6018">
      <c r="A6018" s="2"/>
      <c r="B6018" s="13"/>
      <c r="C6018" s="2"/>
      <c r="D6018" s="2"/>
      <c r="E6018" s="2"/>
      <c r="F6018" s="14"/>
      <c r="G6018" s="2"/>
      <c r="H6018" s="2"/>
    </row>
    <row r="6019">
      <c r="A6019" s="2"/>
      <c r="B6019" s="13"/>
      <c r="C6019" s="2"/>
      <c r="D6019" s="2"/>
      <c r="E6019" s="2"/>
      <c r="F6019" s="14"/>
      <c r="G6019" s="2"/>
      <c r="H6019" s="2"/>
    </row>
    <row r="6020">
      <c r="A6020" s="2"/>
      <c r="B6020" s="13"/>
      <c r="C6020" s="2"/>
      <c r="D6020" s="2"/>
      <c r="E6020" s="2"/>
      <c r="F6020" s="14"/>
      <c r="G6020" s="2"/>
      <c r="H6020" s="2"/>
    </row>
    <row r="6021">
      <c r="A6021" s="2"/>
      <c r="B6021" s="13"/>
      <c r="C6021" s="2"/>
      <c r="D6021" s="2"/>
      <c r="E6021" s="2"/>
      <c r="F6021" s="14"/>
      <c r="G6021" s="2"/>
      <c r="H6021" s="2"/>
    </row>
    <row r="6022">
      <c r="A6022" s="2"/>
      <c r="B6022" s="13"/>
      <c r="C6022" s="2"/>
      <c r="D6022" s="2"/>
      <c r="E6022" s="2"/>
      <c r="F6022" s="14"/>
      <c r="G6022" s="2"/>
      <c r="H6022" s="2"/>
    </row>
    <row r="6023">
      <c r="A6023" s="2"/>
      <c r="B6023" s="13"/>
      <c r="C6023" s="2"/>
      <c r="D6023" s="2"/>
      <c r="E6023" s="2"/>
      <c r="F6023" s="14"/>
      <c r="G6023" s="2"/>
      <c r="H6023" s="2"/>
    </row>
    <row r="6024">
      <c r="A6024" s="2"/>
      <c r="B6024" s="13"/>
      <c r="C6024" s="2"/>
      <c r="D6024" s="2"/>
      <c r="E6024" s="2"/>
      <c r="F6024" s="14"/>
      <c r="G6024" s="2"/>
      <c r="H6024" s="2"/>
    </row>
    <row r="6025">
      <c r="A6025" s="2"/>
      <c r="B6025" s="13"/>
      <c r="C6025" s="2"/>
      <c r="D6025" s="2"/>
      <c r="E6025" s="2"/>
      <c r="F6025" s="14"/>
      <c r="G6025" s="2"/>
      <c r="H6025" s="2"/>
    </row>
    <row r="6026">
      <c r="A6026" s="2"/>
      <c r="B6026" s="13"/>
      <c r="C6026" s="2"/>
      <c r="D6026" s="2"/>
      <c r="E6026" s="2"/>
      <c r="F6026" s="14"/>
      <c r="G6026" s="2"/>
      <c r="H6026" s="2"/>
    </row>
    <row r="6027">
      <c r="A6027" s="2"/>
      <c r="B6027" s="13"/>
      <c r="C6027" s="2"/>
      <c r="D6027" s="2"/>
      <c r="E6027" s="2"/>
      <c r="F6027" s="14"/>
      <c r="G6027" s="2"/>
      <c r="H6027" s="2"/>
    </row>
    <row r="6028">
      <c r="A6028" s="2"/>
      <c r="B6028" s="13"/>
      <c r="C6028" s="2"/>
      <c r="D6028" s="2"/>
      <c r="E6028" s="2"/>
      <c r="F6028" s="14"/>
      <c r="G6028" s="2"/>
      <c r="H6028" s="2"/>
    </row>
    <row r="6029">
      <c r="A6029" s="2"/>
      <c r="B6029" s="13"/>
      <c r="C6029" s="2"/>
      <c r="D6029" s="2"/>
      <c r="E6029" s="2"/>
      <c r="F6029" s="14"/>
      <c r="G6029" s="2"/>
      <c r="H6029" s="2"/>
    </row>
    <row r="6030">
      <c r="A6030" s="2"/>
      <c r="B6030" s="13"/>
      <c r="C6030" s="2"/>
      <c r="D6030" s="2"/>
      <c r="E6030" s="2"/>
      <c r="F6030" s="14"/>
      <c r="G6030" s="2"/>
      <c r="H6030" s="2"/>
    </row>
    <row r="6031">
      <c r="A6031" s="2"/>
      <c r="B6031" s="13"/>
      <c r="C6031" s="2"/>
      <c r="D6031" s="2"/>
      <c r="E6031" s="2"/>
      <c r="F6031" s="14"/>
      <c r="G6031" s="2"/>
      <c r="H6031" s="2"/>
    </row>
    <row r="6032">
      <c r="A6032" s="2"/>
      <c r="B6032" s="13"/>
      <c r="C6032" s="2"/>
      <c r="D6032" s="2"/>
      <c r="E6032" s="2"/>
      <c r="F6032" s="14"/>
      <c r="G6032" s="2"/>
      <c r="H6032" s="2"/>
    </row>
    <row r="6033">
      <c r="A6033" s="2"/>
      <c r="B6033" s="13"/>
      <c r="C6033" s="2"/>
      <c r="D6033" s="2"/>
      <c r="E6033" s="2"/>
      <c r="F6033" s="14"/>
      <c r="G6033" s="2"/>
      <c r="H6033" s="2"/>
    </row>
    <row r="6034">
      <c r="A6034" s="2"/>
      <c r="B6034" s="13"/>
      <c r="C6034" s="2"/>
      <c r="D6034" s="2"/>
      <c r="E6034" s="2"/>
      <c r="F6034" s="14"/>
      <c r="G6034" s="2"/>
      <c r="H6034" s="2"/>
    </row>
    <row r="6035">
      <c r="A6035" s="2"/>
      <c r="B6035" s="13"/>
      <c r="C6035" s="2"/>
      <c r="D6035" s="2"/>
      <c r="E6035" s="2"/>
      <c r="F6035" s="14"/>
      <c r="G6035" s="2"/>
      <c r="H6035" s="2"/>
    </row>
    <row r="6036">
      <c r="A6036" s="2"/>
      <c r="B6036" s="13"/>
      <c r="C6036" s="2"/>
      <c r="D6036" s="2"/>
      <c r="E6036" s="2"/>
      <c r="F6036" s="14"/>
      <c r="G6036" s="2"/>
      <c r="H6036" s="2"/>
    </row>
    <row r="6037">
      <c r="A6037" s="2"/>
      <c r="B6037" s="13"/>
      <c r="C6037" s="2"/>
      <c r="D6037" s="2"/>
      <c r="E6037" s="2"/>
      <c r="F6037" s="14"/>
      <c r="G6037" s="2"/>
      <c r="H6037" s="2"/>
    </row>
    <row r="6038">
      <c r="A6038" s="2"/>
      <c r="B6038" s="13"/>
      <c r="C6038" s="2"/>
      <c r="D6038" s="2"/>
      <c r="E6038" s="2"/>
      <c r="F6038" s="14"/>
      <c r="G6038" s="2"/>
      <c r="H6038" s="2"/>
    </row>
    <row r="6039">
      <c r="A6039" s="2"/>
      <c r="B6039" s="13"/>
      <c r="C6039" s="2"/>
      <c r="D6039" s="2"/>
      <c r="E6039" s="2"/>
      <c r="F6039" s="14"/>
      <c r="G6039" s="2"/>
      <c r="H6039" s="2"/>
    </row>
    <row r="6040">
      <c r="A6040" s="2"/>
      <c r="B6040" s="13"/>
      <c r="C6040" s="2"/>
      <c r="D6040" s="2"/>
      <c r="E6040" s="2"/>
      <c r="F6040" s="14"/>
      <c r="G6040" s="2"/>
      <c r="H6040" s="2"/>
    </row>
    <row r="6041">
      <c r="A6041" s="2"/>
      <c r="B6041" s="13"/>
      <c r="C6041" s="2"/>
      <c r="D6041" s="2"/>
      <c r="E6041" s="2"/>
      <c r="F6041" s="14"/>
      <c r="G6041" s="2"/>
      <c r="H6041" s="2"/>
    </row>
    <row r="6042">
      <c r="A6042" s="2"/>
      <c r="B6042" s="13"/>
      <c r="C6042" s="2"/>
      <c r="D6042" s="2"/>
      <c r="E6042" s="2"/>
      <c r="F6042" s="14"/>
      <c r="G6042" s="2"/>
      <c r="H6042" s="2"/>
    </row>
    <row r="6043">
      <c r="A6043" s="2"/>
      <c r="B6043" s="13"/>
      <c r="C6043" s="2"/>
      <c r="D6043" s="2"/>
      <c r="E6043" s="2"/>
      <c r="F6043" s="14"/>
      <c r="G6043" s="2"/>
      <c r="H6043" s="2"/>
    </row>
    <row r="6044">
      <c r="A6044" s="2"/>
      <c r="B6044" s="13"/>
      <c r="C6044" s="2"/>
      <c r="D6044" s="2"/>
      <c r="E6044" s="2"/>
      <c r="F6044" s="14"/>
      <c r="G6044" s="2"/>
      <c r="H6044" s="2"/>
    </row>
    <row r="6045">
      <c r="A6045" s="2"/>
      <c r="B6045" s="13"/>
      <c r="C6045" s="2"/>
      <c r="D6045" s="2"/>
      <c r="E6045" s="2"/>
      <c r="F6045" s="14"/>
      <c r="G6045" s="2"/>
      <c r="H6045" s="2"/>
    </row>
    <row r="6046">
      <c r="A6046" s="2"/>
      <c r="B6046" s="13"/>
      <c r="C6046" s="2"/>
      <c r="D6046" s="2"/>
      <c r="E6046" s="2"/>
      <c r="F6046" s="14"/>
      <c r="G6046" s="2"/>
      <c r="H6046" s="2"/>
    </row>
    <row r="6047">
      <c r="A6047" s="2"/>
      <c r="B6047" s="13"/>
      <c r="C6047" s="2"/>
      <c r="D6047" s="2"/>
      <c r="E6047" s="2"/>
      <c r="F6047" s="14"/>
      <c r="G6047" s="2"/>
      <c r="H6047" s="2"/>
    </row>
    <row r="6048">
      <c r="A6048" s="2"/>
      <c r="B6048" s="13"/>
      <c r="C6048" s="2"/>
      <c r="D6048" s="2"/>
      <c r="E6048" s="2"/>
      <c r="F6048" s="14"/>
      <c r="G6048" s="2"/>
      <c r="H6048" s="2"/>
    </row>
    <row r="6049">
      <c r="A6049" s="2"/>
      <c r="B6049" s="13"/>
      <c r="C6049" s="2"/>
      <c r="D6049" s="2"/>
      <c r="E6049" s="2"/>
      <c r="F6049" s="14"/>
      <c r="G6049" s="2"/>
      <c r="H6049" s="2"/>
    </row>
    <row r="6050">
      <c r="A6050" s="2"/>
      <c r="B6050" s="13"/>
      <c r="C6050" s="2"/>
      <c r="D6050" s="2"/>
      <c r="E6050" s="2"/>
      <c r="F6050" s="14"/>
      <c r="G6050" s="2"/>
      <c r="H6050" s="2"/>
    </row>
    <row r="6051">
      <c r="A6051" s="2"/>
      <c r="B6051" s="13"/>
      <c r="C6051" s="2"/>
      <c r="D6051" s="2"/>
      <c r="E6051" s="2"/>
      <c r="F6051" s="14"/>
      <c r="G6051" s="2"/>
      <c r="H6051" s="2"/>
    </row>
    <row r="6052">
      <c r="A6052" s="2"/>
      <c r="B6052" s="13"/>
      <c r="C6052" s="2"/>
      <c r="D6052" s="2"/>
      <c r="E6052" s="2"/>
      <c r="F6052" s="14"/>
      <c r="G6052" s="2"/>
      <c r="H6052" s="2"/>
    </row>
    <row r="6053">
      <c r="A6053" s="2"/>
      <c r="B6053" s="13"/>
      <c r="C6053" s="2"/>
      <c r="D6053" s="2"/>
      <c r="E6053" s="2"/>
      <c r="F6053" s="14"/>
      <c r="G6053" s="2"/>
      <c r="H6053" s="2"/>
    </row>
    <row r="6054">
      <c r="A6054" s="2"/>
      <c r="B6054" s="13"/>
      <c r="C6054" s="2"/>
      <c r="D6054" s="2"/>
      <c r="E6054" s="2"/>
      <c r="F6054" s="14"/>
      <c r="G6054" s="2"/>
      <c r="H6054" s="2"/>
    </row>
    <row r="6055">
      <c r="A6055" s="2"/>
      <c r="B6055" s="13"/>
      <c r="C6055" s="2"/>
      <c r="D6055" s="2"/>
      <c r="E6055" s="2"/>
      <c r="F6055" s="14"/>
      <c r="G6055" s="2"/>
      <c r="H6055" s="2"/>
    </row>
    <row r="6056">
      <c r="A6056" s="2"/>
      <c r="B6056" s="13"/>
      <c r="C6056" s="2"/>
      <c r="D6056" s="2"/>
      <c r="E6056" s="2"/>
      <c r="F6056" s="14"/>
      <c r="G6056" s="2"/>
      <c r="H6056" s="2"/>
    </row>
    <row r="6057">
      <c r="A6057" s="2"/>
      <c r="B6057" s="13"/>
      <c r="C6057" s="2"/>
      <c r="D6057" s="2"/>
      <c r="E6057" s="2"/>
      <c r="F6057" s="14"/>
      <c r="G6057" s="2"/>
      <c r="H6057" s="2"/>
    </row>
    <row r="6058">
      <c r="A6058" s="2"/>
      <c r="B6058" s="13"/>
      <c r="C6058" s="2"/>
      <c r="D6058" s="2"/>
      <c r="E6058" s="2"/>
      <c r="F6058" s="14"/>
      <c r="G6058" s="2"/>
      <c r="H6058" s="2"/>
    </row>
    <row r="6059">
      <c r="A6059" s="2"/>
      <c r="B6059" s="13"/>
      <c r="C6059" s="2"/>
      <c r="D6059" s="2"/>
      <c r="E6059" s="2"/>
      <c r="F6059" s="14"/>
      <c r="G6059" s="2"/>
      <c r="H6059" s="2"/>
    </row>
    <row r="6060">
      <c r="A6060" s="2"/>
      <c r="B6060" s="13"/>
      <c r="C6060" s="2"/>
      <c r="D6060" s="2"/>
      <c r="E6060" s="2"/>
      <c r="F6060" s="14"/>
      <c r="G6060" s="2"/>
      <c r="H6060" s="2"/>
    </row>
    <row r="6061">
      <c r="A6061" s="2"/>
      <c r="B6061" s="13"/>
      <c r="C6061" s="2"/>
      <c r="D6061" s="2"/>
      <c r="E6061" s="2"/>
      <c r="F6061" s="14"/>
      <c r="G6061" s="2"/>
      <c r="H6061" s="2"/>
    </row>
    <row r="6062">
      <c r="A6062" s="2"/>
      <c r="B6062" s="13"/>
      <c r="C6062" s="2"/>
      <c r="D6062" s="2"/>
      <c r="E6062" s="2"/>
      <c r="F6062" s="14"/>
      <c r="G6062" s="2"/>
      <c r="H6062" s="2"/>
    </row>
    <row r="6063">
      <c r="A6063" s="2"/>
      <c r="B6063" s="13"/>
      <c r="C6063" s="2"/>
      <c r="D6063" s="2"/>
      <c r="E6063" s="2"/>
      <c r="F6063" s="14"/>
      <c r="G6063" s="2"/>
      <c r="H6063" s="2"/>
    </row>
    <row r="6064">
      <c r="A6064" s="2"/>
      <c r="B6064" s="13"/>
      <c r="C6064" s="2"/>
      <c r="D6064" s="2"/>
      <c r="E6064" s="2"/>
      <c r="F6064" s="14"/>
      <c r="G6064" s="2"/>
      <c r="H6064" s="2"/>
    </row>
    <row r="6065">
      <c r="A6065" s="2"/>
      <c r="B6065" s="13"/>
      <c r="C6065" s="2"/>
      <c r="D6065" s="2"/>
      <c r="E6065" s="2"/>
      <c r="F6065" s="14"/>
      <c r="G6065" s="2"/>
      <c r="H6065" s="2"/>
    </row>
    <row r="6066">
      <c r="A6066" s="2"/>
      <c r="B6066" s="13"/>
      <c r="C6066" s="2"/>
      <c r="D6066" s="2"/>
      <c r="E6066" s="2"/>
      <c r="F6066" s="14"/>
      <c r="G6066" s="2"/>
      <c r="H6066" s="2"/>
    </row>
    <row r="6067">
      <c r="A6067" s="2"/>
      <c r="B6067" s="13"/>
      <c r="C6067" s="2"/>
      <c r="D6067" s="2"/>
      <c r="E6067" s="2"/>
      <c r="F6067" s="14"/>
      <c r="G6067" s="2"/>
      <c r="H6067" s="2"/>
    </row>
    <row r="6068">
      <c r="A6068" s="2"/>
      <c r="B6068" s="13"/>
      <c r="C6068" s="2"/>
      <c r="D6068" s="2"/>
      <c r="E6068" s="2"/>
      <c r="F6068" s="14"/>
      <c r="G6068" s="2"/>
      <c r="H6068" s="2"/>
    </row>
    <row r="6069">
      <c r="A6069" s="2"/>
      <c r="B6069" s="13"/>
      <c r="C6069" s="2"/>
      <c r="D6069" s="2"/>
      <c r="E6069" s="2"/>
      <c r="F6069" s="14"/>
      <c r="G6069" s="2"/>
      <c r="H6069" s="2"/>
    </row>
    <row r="6070">
      <c r="A6070" s="2"/>
      <c r="B6070" s="13"/>
      <c r="C6070" s="2"/>
      <c r="D6070" s="2"/>
      <c r="E6070" s="2"/>
      <c r="F6070" s="14"/>
      <c r="G6070" s="2"/>
      <c r="H6070" s="2"/>
    </row>
    <row r="6071">
      <c r="A6071" s="2"/>
      <c r="B6071" s="13"/>
      <c r="C6071" s="2"/>
      <c r="D6071" s="2"/>
      <c r="E6071" s="2"/>
      <c r="F6071" s="14"/>
      <c r="G6071" s="2"/>
      <c r="H6071" s="2"/>
    </row>
    <row r="6072">
      <c r="A6072" s="2"/>
      <c r="B6072" s="13"/>
      <c r="C6072" s="2"/>
      <c r="D6072" s="2"/>
      <c r="E6072" s="2"/>
      <c r="F6072" s="14"/>
      <c r="G6072" s="2"/>
      <c r="H6072" s="2"/>
    </row>
    <row r="6073">
      <c r="A6073" s="2"/>
      <c r="B6073" s="13"/>
      <c r="C6073" s="2"/>
      <c r="D6073" s="2"/>
      <c r="E6073" s="2"/>
      <c r="F6073" s="14"/>
      <c r="G6073" s="2"/>
      <c r="H6073" s="2"/>
    </row>
    <row r="6074">
      <c r="A6074" s="2"/>
      <c r="B6074" s="13"/>
      <c r="C6074" s="2"/>
      <c r="D6074" s="2"/>
      <c r="E6074" s="2"/>
      <c r="F6074" s="14"/>
      <c r="G6074" s="2"/>
      <c r="H6074" s="2"/>
    </row>
    <row r="6075">
      <c r="A6075" s="2"/>
      <c r="B6075" s="13"/>
      <c r="C6075" s="2"/>
      <c r="D6075" s="2"/>
      <c r="E6075" s="2"/>
      <c r="F6075" s="14"/>
      <c r="G6075" s="2"/>
      <c r="H6075" s="2"/>
    </row>
    <row r="6076">
      <c r="A6076" s="2"/>
      <c r="B6076" s="13"/>
      <c r="C6076" s="2"/>
      <c r="D6076" s="2"/>
      <c r="E6076" s="2"/>
      <c r="F6076" s="14"/>
      <c r="G6076" s="2"/>
      <c r="H6076" s="2"/>
    </row>
    <row r="6077">
      <c r="A6077" s="2"/>
      <c r="B6077" s="13"/>
      <c r="C6077" s="2"/>
      <c r="D6077" s="2"/>
      <c r="E6077" s="2"/>
      <c r="F6077" s="14"/>
      <c r="G6077" s="2"/>
      <c r="H6077" s="2"/>
    </row>
    <row r="6078">
      <c r="A6078" s="2"/>
      <c r="B6078" s="13"/>
      <c r="C6078" s="2"/>
      <c r="D6078" s="2"/>
      <c r="E6078" s="2"/>
      <c r="F6078" s="14"/>
      <c r="G6078" s="2"/>
      <c r="H6078" s="2"/>
    </row>
    <row r="6079">
      <c r="A6079" s="2"/>
      <c r="B6079" s="13"/>
      <c r="C6079" s="2"/>
      <c r="D6079" s="2"/>
      <c r="E6079" s="2"/>
      <c r="F6079" s="14"/>
      <c r="G6079" s="2"/>
      <c r="H6079" s="2"/>
    </row>
    <row r="6080">
      <c r="A6080" s="2"/>
      <c r="B6080" s="13"/>
      <c r="C6080" s="2"/>
      <c r="D6080" s="2"/>
      <c r="E6080" s="2"/>
      <c r="F6080" s="14"/>
      <c r="G6080" s="2"/>
      <c r="H6080" s="2"/>
    </row>
    <row r="6081">
      <c r="A6081" s="2"/>
      <c r="B6081" s="13"/>
      <c r="C6081" s="2"/>
      <c r="D6081" s="2"/>
      <c r="E6081" s="2"/>
      <c r="F6081" s="14"/>
      <c r="G6081" s="2"/>
      <c r="H6081" s="2"/>
    </row>
    <row r="6082">
      <c r="A6082" s="2"/>
      <c r="B6082" s="13"/>
      <c r="C6082" s="2"/>
      <c r="D6082" s="2"/>
      <c r="E6082" s="2"/>
      <c r="F6082" s="14"/>
      <c r="G6082" s="2"/>
      <c r="H6082" s="2"/>
    </row>
    <row r="6083">
      <c r="A6083" s="2"/>
      <c r="B6083" s="13"/>
      <c r="C6083" s="2"/>
      <c r="D6083" s="2"/>
      <c r="E6083" s="2"/>
      <c r="F6083" s="14"/>
      <c r="G6083" s="2"/>
      <c r="H6083" s="2"/>
    </row>
    <row r="6084">
      <c r="A6084" s="2"/>
      <c r="B6084" s="13"/>
      <c r="C6084" s="2"/>
      <c r="D6084" s="2"/>
      <c r="E6084" s="2"/>
      <c r="F6084" s="14"/>
      <c r="G6084" s="2"/>
      <c r="H6084" s="2"/>
    </row>
    <row r="6085">
      <c r="A6085" s="2"/>
      <c r="B6085" s="13"/>
      <c r="C6085" s="2"/>
      <c r="D6085" s="2"/>
      <c r="E6085" s="2"/>
      <c r="F6085" s="14"/>
      <c r="G6085" s="2"/>
      <c r="H6085" s="2"/>
    </row>
    <row r="6086">
      <c r="A6086" s="2"/>
      <c r="B6086" s="13"/>
      <c r="C6086" s="2"/>
      <c r="D6086" s="2"/>
      <c r="E6086" s="2"/>
      <c r="F6086" s="14"/>
      <c r="G6086" s="2"/>
      <c r="H6086" s="2"/>
    </row>
    <row r="6087">
      <c r="A6087" s="2"/>
      <c r="B6087" s="13"/>
      <c r="C6087" s="2"/>
      <c r="D6087" s="2"/>
      <c r="E6087" s="2"/>
      <c r="F6087" s="14"/>
      <c r="G6087" s="2"/>
      <c r="H6087" s="2"/>
    </row>
    <row r="6088">
      <c r="A6088" s="2"/>
      <c r="B6088" s="13"/>
      <c r="C6088" s="2"/>
      <c r="D6088" s="2"/>
      <c r="E6088" s="2"/>
      <c r="F6088" s="14"/>
      <c r="G6088" s="2"/>
      <c r="H6088" s="2"/>
    </row>
    <row r="6089">
      <c r="A6089" s="2"/>
      <c r="B6089" s="13"/>
      <c r="C6089" s="2"/>
      <c r="D6089" s="2"/>
      <c r="E6089" s="2"/>
      <c r="F6089" s="14"/>
      <c r="G6089" s="2"/>
      <c r="H6089" s="2"/>
    </row>
    <row r="6090">
      <c r="A6090" s="2"/>
      <c r="B6090" s="13"/>
      <c r="C6090" s="2"/>
      <c r="D6090" s="2"/>
      <c r="E6090" s="2"/>
      <c r="F6090" s="14"/>
      <c r="G6090" s="2"/>
      <c r="H6090" s="2"/>
    </row>
    <row r="6091">
      <c r="A6091" s="2"/>
      <c r="B6091" s="13"/>
      <c r="C6091" s="2"/>
      <c r="D6091" s="2"/>
      <c r="E6091" s="2"/>
      <c r="F6091" s="14"/>
      <c r="G6091" s="2"/>
      <c r="H6091" s="2"/>
    </row>
    <row r="6092">
      <c r="A6092" s="2"/>
      <c r="B6092" s="13"/>
      <c r="C6092" s="2"/>
      <c r="D6092" s="2"/>
      <c r="E6092" s="2"/>
      <c r="F6092" s="14"/>
      <c r="G6092" s="2"/>
      <c r="H6092" s="2"/>
    </row>
    <row r="6093">
      <c r="A6093" s="2"/>
      <c r="B6093" s="13"/>
      <c r="C6093" s="2"/>
      <c r="D6093" s="2"/>
      <c r="E6093" s="2"/>
      <c r="F6093" s="14"/>
      <c r="G6093" s="2"/>
      <c r="H6093" s="2"/>
    </row>
    <row r="6094">
      <c r="A6094" s="2"/>
      <c r="B6094" s="13"/>
      <c r="C6094" s="2"/>
      <c r="D6094" s="2"/>
      <c r="E6094" s="2"/>
      <c r="F6094" s="14"/>
      <c r="G6094" s="2"/>
      <c r="H6094" s="2"/>
    </row>
    <row r="6095">
      <c r="A6095" s="2"/>
      <c r="B6095" s="13"/>
      <c r="C6095" s="2"/>
      <c r="D6095" s="2"/>
      <c r="E6095" s="2"/>
      <c r="F6095" s="14"/>
      <c r="G6095" s="2"/>
      <c r="H6095" s="2"/>
    </row>
    <row r="6096">
      <c r="A6096" s="2"/>
      <c r="B6096" s="13"/>
      <c r="C6096" s="2"/>
      <c r="D6096" s="2"/>
      <c r="E6096" s="2"/>
      <c r="F6096" s="14"/>
      <c r="G6096" s="2"/>
      <c r="H6096" s="2"/>
    </row>
    <row r="6097">
      <c r="A6097" s="2"/>
      <c r="B6097" s="13"/>
      <c r="C6097" s="2"/>
      <c r="D6097" s="2"/>
      <c r="E6097" s="2"/>
      <c r="F6097" s="14"/>
      <c r="G6097" s="2"/>
      <c r="H6097" s="2"/>
    </row>
    <row r="6098">
      <c r="A6098" s="2"/>
      <c r="B6098" s="13"/>
      <c r="C6098" s="2"/>
      <c r="D6098" s="2"/>
      <c r="E6098" s="2"/>
      <c r="F6098" s="14"/>
      <c r="G6098" s="2"/>
      <c r="H6098" s="2"/>
    </row>
    <row r="6099">
      <c r="A6099" s="2"/>
      <c r="B6099" s="13"/>
      <c r="C6099" s="2"/>
      <c r="D6099" s="2"/>
      <c r="E6099" s="2"/>
      <c r="F6099" s="14"/>
      <c r="G6099" s="2"/>
      <c r="H6099" s="2"/>
    </row>
    <row r="6100">
      <c r="A6100" s="2"/>
      <c r="B6100" s="13"/>
      <c r="C6100" s="2"/>
      <c r="D6100" s="2"/>
      <c r="E6100" s="2"/>
      <c r="F6100" s="14"/>
      <c r="G6100" s="2"/>
      <c r="H6100" s="2"/>
    </row>
    <row r="6101">
      <c r="A6101" s="2"/>
      <c r="B6101" s="13"/>
      <c r="C6101" s="2"/>
      <c r="D6101" s="2"/>
      <c r="E6101" s="2"/>
      <c r="F6101" s="14"/>
      <c r="G6101" s="2"/>
      <c r="H6101" s="2"/>
    </row>
    <row r="6102">
      <c r="A6102" s="2"/>
      <c r="B6102" s="13"/>
      <c r="C6102" s="2"/>
      <c r="D6102" s="2"/>
      <c r="E6102" s="2"/>
      <c r="F6102" s="14"/>
      <c r="G6102" s="2"/>
      <c r="H6102" s="2"/>
    </row>
    <row r="6103">
      <c r="A6103" s="2"/>
      <c r="B6103" s="13"/>
      <c r="C6103" s="2"/>
      <c r="D6103" s="2"/>
      <c r="E6103" s="2"/>
      <c r="F6103" s="14"/>
      <c r="G6103" s="2"/>
      <c r="H6103" s="2"/>
    </row>
    <row r="6104">
      <c r="A6104" s="2"/>
      <c r="B6104" s="13"/>
      <c r="C6104" s="2"/>
      <c r="D6104" s="2"/>
      <c r="E6104" s="2"/>
      <c r="F6104" s="14"/>
      <c r="G6104" s="2"/>
      <c r="H6104" s="2"/>
    </row>
    <row r="6105">
      <c r="A6105" s="2"/>
      <c r="B6105" s="13"/>
      <c r="C6105" s="2"/>
      <c r="D6105" s="2"/>
      <c r="E6105" s="2"/>
      <c r="F6105" s="14"/>
      <c r="G6105" s="2"/>
      <c r="H6105" s="2"/>
    </row>
    <row r="6106">
      <c r="A6106" s="2"/>
      <c r="B6106" s="13"/>
      <c r="C6106" s="2"/>
      <c r="D6106" s="2"/>
      <c r="E6106" s="2"/>
      <c r="F6106" s="14"/>
      <c r="G6106" s="2"/>
      <c r="H6106" s="2"/>
    </row>
    <row r="6107">
      <c r="A6107" s="2"/>
      <c r="B6107" s="13"/>
      <c r="C6107" s="2"/>
      <c r="D6107" s="2"/>
      <c r="E6107" s="2"/>
      <c r="F6107" s="14"/>
      <c r="G6107" s="2"/>
      <c r="H6107" s="2"/>
    </row>
    <row r="6108">
      <c r="A6108" s="2"/>
      <c r="B6108" s="13"/>
      <c r="C6108" s="2"/>
      <c r="D6108" s="2"/>
      <c r="E6108" s="2"/>
      <c r="F6108" s="14"/>
      <c r="G6108" s="2"/>
      <c r="H6108" s="2"/>
    </row>
    <row r="6109">
      <c r="A6109" s="2"/>
      <c r="B6109" s="13"/>
      <c r="C6109" s="2"/>
      <c r="D6109" s="2"/>
      <c r="E6109" s="2"/>
      <c r="F6109" s="14"/>
      <c r="G6109" s="2"/>
      <c r="H6109" s="2"/>
    </row>
    <row r="6110">
      <c r="A6110" s="2"/>
      <c r="B6110" s="13"/>
      <c r="C6110" s="2"/>
      <c r="D6110" s="2"/>
      <c r="E6110" s="2"/>
      <c r="F6110" s="14"/>
      <c r="G6110" s="2"/>
      <c r="H6110" s="2"/>
    </row>
    <row r="6111">
      <c r="A6111" s="2"/>
      <c r="B6111" s="13"/>
      <c r="C6111" s="2"/>
      <c r="D6111" s="2"/>
      <c r="E6111" s="2"/>
      <c r="F6111" s="14"/>
      <c r="G6111" s="2"/>
      <c r="H6111" s="2"/>
    </row>
    <row r="6112">
      <c r="A6112" s="2"/>
      <c r="B6112" s="13"/>
      <c r="C6112" s="2"/>
      <c r="D6112" s="2"/>
      <c r="E6112" s="2"/>
      <c r="F6112" s="14"/>
      <c r="G6112" s="2"/>
      <c r="H6112" s="2"/>
    </row>
    <row r="6113">
      <c r="A6113" s="2"/>
      <c r="B6113" s="13"/>
      <c r="C6113" s="2"/>
      <c r="D6113" s="2"/>
      <c r="E6113" s="2"/>
      <c r="F6113" s="14"/>
      <c r="G6113" s="2"/>
      <c r="H6113" s="2"/>
    </row>
    <row r="6114">
      <c r="A6114" s="2"/>
      <c r="B6114" s="13"/>
      <c r="C6114" s="2"/>
      <c r="D6114" s="2"/>
      <c r="E6114" s="2"/>
      <c r="F6114" s="14"/>
      <c r="G6114" s="2"/>
      <c r="H6114" s="2"/>
    </row>
    <row r="6115">
      <c r="A6115" s="2"/>
      <c r="B6115" s="13"/>
      <c r="C6115" s="2"/>
      <c r="D6115" s="2"/>
      <c r="E6115" s="2"/>
      <c r="F6115" s="14"/>
      <c r="G6115" s="2"/>
      <c r="H6115" s="2"/>
    </row>
    <row r="6116">
      <c r="A6116" s="2"/>
      <c r="B6116" s="13"/>
      <c r="C6116" s="2"/>
      <c r="D6116" s="2"/>
      <c r="E6116" s="2"/>
      <c r="F6116" s="14"/>
      <c r="G6116" s="2"/>
      <c r="H6116" s="2"/>
    </row>
    <row r="6117">
      <c r="A6117" s="2"/>
      <c r="B6117" s="13"/>
      <c r="C6117" s="2"/>
      <c r="D6117" s="2"/>
      <c r="E6117" s="2"/>
      <c r="F6117" s="14"/>
      <c r="G6117" s="2"/>
      <c r="H6117" s="2"/>
    </row>
    <row r="6118">
      <c r="A6118" s="2"/>
      <c r="B6118" s="13"/>
      <c r="C6118" s="2"/>
      <c r="D6118" s="2"/>
      <c r="E6118" s="2"/>
      <c r="F6118" s="14"/>
      <c r="G6118" s="2"/>
      <c r="H6118" s="2"/>
    </row>
    <row r="6119">
      <c r="A6119" s="2"/>
      <c r="B6119" s="13"/>
      <c r="C6119" s="2"/>
      <c r="D6119" s="2"/>
      <c r="E6119" s="2"/>
      <c r="F6119" s="14"/>
      <c r="G6119" s="2"/>
      <c r="H6119" s="2"/>
    </row>
    <row r="6120">
      <c r="A6120" s="2"/>
      <c r="B6120" s="13"/>
      <c r="C6120" s="2"/>
      <c r="D6120" s="2"/>
      <c r="E6120" s="2"/>
      <c r="F6120" s="14"/>
      <c r="G6120" s="2"/>
      <c r="H6120" s="2"/>
    </row>
    <row r="6121">
      <c r="A6121" s="2"/>
      <c r="B6121" s="13"/>
      <c r="C6121" s="2"/>
      <c r="D6121" s="2"/>
      <c r="E6121" s="2"/>
      <c r="F6121" s="14"/>
      <c r="G6121" s="2"/>
      <c r="H6121" s="2"/>
    </row>
    <row r="6122">
      <c r="A6122" s="2"/>
      <c r="B6122" s="13"/>
      <c r="C6122" s="2"/>
      <c r="D6122" s="2"/>
      <c r="E6122" s="2"/>
      <c r="F6122" s="14"/>
      <c r="G6122" s="2"/>
      <c r="H6122" s="2"/>
    </row>
    <row r="6123">
      <c r="A6123" s="2"/>
      <c r="B6123" s="13"/>
      <c r="C6123" s="2"/>
      <c r="D6123" s="2"/>
      <c r="E6123" s="2"/>
      <c r="F6123" s="14"/>
      <c r="G6123" s="2"/>
      <c r="H6123" s="2"/>
    </row>
    <row r="6124">
      <c r="A6124" s="2"/>
      <c r="B6124" s="13"/>
      <c r="C6124" s="2"/>
      <c r="D6124" s="2"/>
      <c r="E6124" s="2"/>
      <c r="F6124" s="14"/>
      <c r="G6124" s="2"/>
      <c r="H6124" s="2"/>
    </row>
    <row r="6125">
      <c r="A6125" s="2"/>
      <c r="B6125" s="13"/>
      <c r="C6125" s="2"/>
      <c r="D6125" s="2"/>
      <c r="E6125" s="2"/>
      <c r="F6125" s="14"/>
      <c r="G6125" s="2"/>
      <c r="H6125" s="2"/>
    </row>
    <row r="6126">
      <c r="A6126" s="2"/>
      <c r="B6126" s="13"/>
      <c r="C6126" s="2"/>
      <c r="D6126" s="2"/>
      <c r="E6126" s="2"/>
      <c r="F6126" s="14"/>
      <c r="G6126" s="2"/>
      <c r="H6126" s="2"/>
    </row>
    <row r="6127">
      <c r="A6127" s="2"/>
      <c r="B6127" s="13"/>
      <c r="C6127" s="2"/>
      <c r="D6127" s="2"/>
      <c r="E6127" s="2"/>
      <c r="F6127" s="14"/>
      <c r="G6127" s="2"/>
      <c r="H6127" s="2"/>
    </row>
    <row r="6128">
      <c r="A6128" s="2"/>
      <c r="B6128" s="13"/>
      <c r="C6128" s="2"/>
      <c r="D6128" s="2"/>
      <c r="E6128" s="2"/>
      <c r="F6128" s="14"/>
      <c r="G6128" s="2"/>
      <c r="H6128" s="2"/>
    </row>
    <row r="6129">
      <c r="A6129" s="2"/>
      <c r="B6129" s="13"/>
      <c r="C6129" s="2"/>
      <c r="D6129" s="2"/>
      <c r="E6129" s="2"/>
      <c r="F6129" s="14"/>
      <c r="G6129" s="2"/>
      <c r="H6129" s="2"/>
    </row>
    <row r="6130">
      <c r="A6130" s="2"/>
      <c r="B6130" s="13"/>
      <c r="C6130" s="2"/>
      <c r="D6130" s="2"/>
      <c r="E6130" s="2"/>
      <c r="F6130" s="14"/>
      <c r="G6130" s="2"/>
      <c r="H6130" s="2"/>
    </row>
    <row r="6131">
      <c r="A6131" s="2"/>
      <c r="B6131" s="13"/>
      <c r="C6131" s="2"/>
      <c r="D6131" s="2"/>
      <c r="E6131" s="2"/>
      <c r="F6131" s="14"/>
      <c r="G6131" s="2"/>
      <c r="H6131" s="2"/>
    </row>
    <row r="6132">
      <c r="A6132" s="2"/>
      <c r="B6132" s="13"/>
      <c r="C6132" s="2"/>
      <c r="D6132" s="2"/>
      <c r="E6132" s="2"/>
      <c r="F6132" s="14"/>
      <c r="G6132" s="2"/>
      <c r="H6132" s="2"/>
    </row>
    <row r="6133">
      <c r="A6133" s="2"/>
      <c r="B6133" s="13"/>
      <c r="C6133" s="2"/>
      <c r="D6133" s="2"/>
      <c r="E6133" s="2"/>
      <c r="F6133" s="14"/>
      <c r="G6133" s="2"/>
      <c r="H6133" s="2"/>
    </row>
    <row r="6134">
      <c r="A6134" s="2"/>
      <c r="B6134" s="13"/>
      <c r="C6134" s="2"/>
      <c r="D6134" s="2"/>
      <c r="E6134" s="2"/>
      <c r="F6134" s="14"/>
      <c r="G6134" s="2"/>
      <c r="H6134" s="2"/>
    </row>
    <row r="6135">
      <c r="A6135" s="2"/>
      <c r="B6135" s="13"/>
      <c r="C6135" s="2"/>
      <c r="D6135" s="2"/>
      <c r="E6135" s="2"/>
      <c r="F6135" s="14"/>
      <c r="G6135" s="2"/>
      <c r="H6135" s="2"/>
    </row>
    <row r="6136">
      <c r="A6136" s="2"/>
      <c r="B6136" s="13"/>
      <c r="C6136" s="2"/>
      <c r="D6136" s="2"/>
      <c r="E6136" s="2"/>
      <c r="F6136" s="14"/>
      <c r="G6136" s="2"/>
      <c r="H6136" s="2"/>
    </row>
    <row r="6137">
      <c r="A6137" s="2"/>
      <c r="B6137" s="13"/>
      <c r="C6137" s="2"/>
      <c r="D6137" s="2"/>
      <c r="E6137" s="2"/>
      <c r="F6137" s="14"/>
      <c r="G6137" s="2"/>
      <c r="H6137" s="2"/>
    </row>
    <row r="6138">
      <c r="A6138" s="2"/>
      <c r="B6138" s="13"/>
      <c r="C6138" s="2"/>
      <c r="D6138" s="2"/>
      <c r="E6138" s="2"/>
      <c r="F6138" s="14"/>
      <c r="G6138" s="2"/>
      <c r="H6138" s="2"/>
    </row>
    <row r="6139">
      <c r="A6139" s="2"/>
      <c r="B6139" s="13"/>
      <c r="C6139" s="2"/>
      <c r="D6139" s="2"/>
      <c r="E6139" s="2"/>
      <c r="F6139" s="14"/>
      <c r="G6139" s="2"/>
      <c r="H6139" s="2"/>
    </row>
    <row r="6140">
      <c r="A6140" s="2"/>
      <c r="B6140" s="13"/>
      <c r="C6140" s="2"/>
      <c r="D6140" s="2"/>
      <c r="E6140" s="2"/>
      <c r="F6140" s="14"/>
      <c r="G6140" s="2"/>
      <c r="H6140" s="2"/>
    </row>
    <row r="6141">
      <c r="A6141" s="2"/>
      <c r="B6141" s="13"/>
      <c r="C6141" s="2"/>
      <c r="D6141" s="2"/>
      <c r="E6141" s="2"/>
      <c r="F6141" s="14"/>
      <c r="G6141" s="2"/>
      <c r="H6141" s="2"/>
    </row>
    <row r="6142">
      <c r="A6142" s="2"/>
      <c r="B6142" s="13"/>
      <c r="C6142" s="2"/>
      <c r="D6142" s="2"/>
      <c r="E6142" s="2"/>
      <c r="F6142" s="14"/>
      <c r="G6142" s="2"/>
      <c r="H6142" s="2"/>
    </row>
    <row r="6143">
      <c r="A6143" s="2"/>
      <c r="B6143" s="13"/>
      <c r="C6143" s="2"/>
      <c r="D6143" s="2"/>
      <c r="E6143" s="2"/>
      <c r="F6143" s="14"/>
      <c r="G6143" s="2"/>
      <c r="H6143" s="2"/>
    </row>
    <row r="6144">
      <c r="A6144" s="2"/>
      <c r="B6144" s="13"/>
      <c r="C6144" s="2"/>
      <c r="D6144" s="2"/>
      <c r="E6144" s="2"/>
      <c r="F6144" s="14"/>
      <c r="G6144" s="2"/>
      <c r="H6144" s="2"/>
    </row>
    <row r="6145">
      <c r="A6145" s="2"/>
      <c r="B6145" s="13"/>
      <c r="C6145" s="2"/>
      <c r="D6145" s="2"/>
      <c r="E6145" s="2"/>
      <c r="F6145" s="14"/>
      <c r="G6145" s="2"/>
      <c r="H6145" s="2"/>
    </row>
    <row r="6146">
      <c r="A6146" s="2"/>
      <c r="B6146" s="13"/>
      <c r="C6146" s="2"/>
      <c r="D6146" s="2"/>
      <c r="E6146" s="2"/>
      <c r="F6146" s="14"/>
      <c r="G6146" s="2"/>
      <c r="H6146" s="2"/>
    </row>
    <row r="6147">
      <c r="A6147" s="2"/>
      <c r="B6147" s="13"/>
      <c r="C6147" s="2"/>
      <c r="D6147" s="2"/>
      <c r="E6147" s="2"/>
      <c r="F6147" s="14"/>
      <c r="G6147" s="2"/>
      <c r="H6147" s="2"/>
    </row>
    <row r="6148">
      <c r="A6148" s="2"/>
      <c r="B6148" s="13"/>
      <c r="C6148" s="2"/>
      <c r="D6148" s="2"/>
      <c r="E6148" s="2"/>
      <c r="F6148" s="14"/>
      <c r="G6148" s="2"/>
      <c r="H6148" s="2"/>
    </row>
    <row r="6149">
      <c r="A6149" s="2"/>
      <c r="B6149" s="13"/>
      <c r="C6149" s="2"/>
      <c r="D6149" s="2"/>
      <c r="E6149" s="2"/>
      <c r="F6149" s="14"/>
      <c r="G6149" s="2"/>
      <c r="H6149" s="2"/>
    </row>
    <row r="6150">
      <c r="A6150" s="2"/>
      <c r="B6150" s="13"/>
      <c r="C6150" s="2"/>
      <c r="D6150" s="2"/>
      <c r="E6150" s="2"/>
      <c r="F6150" s="14"/>
      <c r="G6150" s="2"/>
      <c r="H6150" s="2"/>
    </row>
    <row r="6151">
      <c r="A6151" s="2"/>
      <c r="B6151" s="13"/>
      <c r="C6151" s="2"/>
      <c r="D6151" s="2"/>
      <c r="E6151" s="2"/>
      <c r="F6151" s="14"/>
      <c r="G6151" s="2"/>
      <c r="H6151" s="2"/>
    </row>
    <row r="6152">
      <c r="A6152" s="2"/>
      <c r="B6152" s="13"/>
      <c r="C6152" s="2"/>
      <c r="D6152" s="2"/>
      <c r="E6152" s="2"/>
      <c r="F6152" s="14"/>
      <c r="G6152" s="2"/>
      <c r="H6152" s="2"/>
    </row>
    <row r="6153">
      <c r="A6153" s="2"/>
      <c r="B6153" s="13"/>
      <c r="C6153" s="2"/>
      <c r="D6153" s="2"/>
      <c r="E6153" s="2"/>
      <c r="F6153" s="14"/>
      <c r="G6153" s="2"/>
      <c r="H6153" s="2"/>
    </row>
    <row r="6154">
      <c r="A6154" s="2"/>
      <c r="B6154" s="13"/>
      <c r="C6154" s="2"/>
      <c r="D6154" s="2"/>
      <c r="E6154" s="2"/>
      <c r="F6154" s="14"/>
      <c r="G6154" s="2"/>
      <c r="H6154" s="2"/>
    </row>
    <row r="6155">
      <c r="A6155" s="2"/>
      <c r="B6155" s="13"/>
      <c r="C6155" s="2"/>
      <c r="D6155" s="2"/>
      <c r="E6155" s="2"/>
      <c r="F6155" s="14"/>
      <c r="G6155" s="2"/>
      <c r="H6155" s="2"/>
    </row>
    <row r="6156">
      <c r="A6156" s="2"/>
      <c r="B6156" s="13"/>
      <c r="C6156" s="2"/>
      <c r="D6156" s="2"/>
      <c r="E6156" s="2"/>
      <c r="F6156" s="14"/>
      <c r="G6156" s="2"/>
      <c r="H6156" s="2"/>
    </row>
    <row r="6157">
      <c r="A6157" s="2"/>
      <c r="B6157" s="13"/>
      <c r="C6157" s="2"/>
      <c r="D6157" s="2"/>
      <c r="E6157" s="2"/>
      <c r="F6157" s="14"/>
      <c r="G6157" s="2"/>
      <c r="H6157" s="2"/>
    </row>
    <row r="6158">
      <c r="A6158" s="2"/>
      <c r="B6158" s="13"/>
      <c r="C6158" s="2"/>
      <c r="D6158" s="2"/>
      <c r="E6158" s="2"/>
      <c r="F6158" s="14"/>
      <c r="G6158" s="2"/>
      <c r="H6158" s="2"/>
    </row>
    <row r="6159">
      <c r="A6159" s="2"/>
      <c r="B6159" s="13"/>
      <c r="C6159" s="2"/>
      <c r="D6159" s="2"/>
      <c r="E6159" s="2"/>
      <c r="F6159" s="14"/>
      <c r="G6159" s="2"/>
      <c r="H6159" s="2"/>
    </row>
    <row r="6160">
      <c r="A6160" s="2"/>
      <c r="B6160" s="13"/>
      <c r="C6160" s="2"/>
      <c r="D6160" s="2"/>
      <c r="E6160" s="2"/>
      <c r="F6160" s="14"/>
      <c r="G6160" s="2"/>
      <c r="H6160" s="2"/>
    </row>
    <row r="6161">
      <c r="A6161" s="2"/>
      <c r="B6161" s="13"/>
      <c r="C6161" s="2"/>
      <c r="D6161" s="2"/>
      <c r="E6161" s="2"/>
      <c r="F6161" s="14"/>
      <c r="G6161" s="2"/>
      <c r="H6161" s="2"/>
    </row>
    <row r="6162">
      <c r="A6162" s="2"/>
      <c r="B6162" s="13"/>
      <c r="C6162" s="2"/>
      <c r="D6162" s="2"/>
      <c r="E6162" s="2"/>
      <c r="F6162" s="14"/>
      <c r="G6162" s="2"/>
      <c r="H6162" s="2"/>
    </row>
    <row r="6163">
      <c r="A6163" s="2"/>
      <c r="B6163" s="13"/>
      <c r="C6163" s="2"/>
      <c r="D6163" s="2"/>
      <c r="E6163" s="2"/>
      <c r="F6163" s="14"/>
      <c r="G6163" s="2"/>
      <c r="H6163" s="2"/>
    </row>
    <row r="6164">
      <c r="A6164" s="2"/>
      <c r="B6164" s="13"/>
      <c r="C6164" s="2"/>
      <c r="D6164" s="2"/>
      <c r="E6164" s="2"/>
      <c r="F6164" s="14"/>
      <c r="G6164" s="2"/>
      <c r="H6164" s="2"/>
    </row>
    <row r="6165">
      <c r="A6165" s="2"/>
      <c r="B6165" s="13"/>
      <c r="C6165" s="2"/>
      <c r="D6165" s="2"/>
      <c r="E6165" s="2"/>
      <c r="F6165" s="14"/>
      <c r="G6165" s="2"/>
      <c r="H6165" s="2"/>
    </row>
    <row r="6166">
      <c r="A6166" s="2"/>
      <c r="B6166" s="13"/>
      <c r="C6166" s="2"/>
      <c r="D6166" s="2"/>
      <c r="E6166" s="2"/>
      <c r="F6166" s="14"/>
      <c r="G6166" s="2"/>
      <c r="H6166" s="2"/>
    </row>
    <row r="6167">
      <c r="A6167" s="2"/>
      <c r="B6167" s="13"/>
      <c r="C6167" s="2"/>
      <c r="D6167" s="2"/>
      <c r="E6167" s="2"/>
      <c r="F6167" s="14"/>
      <c r="G6167" s="2"/>
      <c r="H6167" s="2"/>
    </row>
    <row r="6168">
      <c r="A6168" s="2"/>
      <c r="B6168" s="13"/>
      <c r="C6168" s="2"/>
      <c r="D6168" s="2"/>
      <c r="E6168" s="2"/>
      <c r="F6168" s="14"/>
      <c r="G6168" s="2"/>
      <c r="H6168" s="2"/>
    </row>
    <row r="6169">
      <c r="A6169" s="2"/>
      <c r="B6169" s="13"/>
      <c r="C6169" s="2"/>
      <c r="D6169" s="2"/>
      <c r="E6169" s="2"/>
      <c r="F6169" s="14"/>
      <c r="G6169" s="2"/>
      <c r="H6169" s="2"/>
    </row>
    <row r="6170">
      <c r="A6170" s="2"/>
      <c r="B6170" s="13"/>
      <c r="C6170" s="2"/>
      <c r="D6170" s="2"/>
      <c r="E6170" s="2"/>
      <c r="F6170" s="14"/>
      <c r="G6170" s="2"/>
      <c r="H6170" s="2"/>
    </row>
    <row r="6171">
      <c r="A6171" s="2"/>
      <c r="B6171" s="13"/>
      <c r="C6171" s="2"/>
      <c r="D6171" s="2"/>
      <c r="E6171" s="2"/>
      <c r="F6171" s="14"/>
      <c r="G6171" s="2"/>
      <c r="H6171" s="2"/>
    </row>
    <row r="6172">
      <c r="A6172" s="2"/>
      <c r="B6172" s="13"/>
      <c r="C6172" s="2"/>
      <c r="D6172" s="2"/>
      <c r="E6172" s="2"/>
      <c r="F6172" s="14"/>
      <c r="G6172" s="2"/>
      <c r="H6172" s="2"/>
    </row>
    <row r="6173">
      <c r="A6173" s="2"/>
      <c r="B6173" s="13"/>
      <c r="C6173" s="2"/>
      <c r="D6173" s="2"/>
      <c r="E6173" s="2"/>
      <c r="F6173" s="14"/>
      <c r="G6173" s="2"/>
      <c r="H6173" s="2"/>
    </row>
    <row r="6174">
      <c r="A6174" s="2"/>
      <c r="B6174" s="13"/>
      <c r="C6174" s="2"/>
      <c r="D6174" s="2"/>
      <c r="E6174" s="2"/>
      <c r="F6174" s="14"/>
      <c r="G6174" s="2"/>
      <c r="H6174" s="2"/>
    </row>
    <row r="6175">
      <c r="A6175" s="2"/>
      <c r="B6175" s="13"/>
      <c r="C6175" s="2"/>
      <c r="D6175" s="2"/>
      <c r="E6175" s="2"/>
      <c r="F6175" s="14"/>
      <c r="G6175" s="2"/>
      <c r="H6175" s="2"/>
    </row>
    <row r="6176">
      <c r="A6176" s="2"/>
      <c r="B6176" s="13"/>
      <c r="C6176" s="2"/>
      <c r="D6176" s="2"/>
      <c r="E6176" s="2"/>
      <c r="F6176" s="14"/>
      <c r="G6176" s="2"/>
      <c r="H6176" s="2"/>
    </row>
    <row r="6177">
      <c r="A6177" s="2"/>
      <c r="B6177" s="13"/>
      <c r="C6177" s="2"/>
      <c r="D6177" s="2"/>
      <c r="E6177" s="2"/>
      <c r="F6177" s="14"/>
      <c r="G6177" s="2"/>
      <c r="H6177" s="2"/>
    </row>
    <row r="6178">
      <c r="A6178" s="2"/>
      <c r="B6178" s="13"/>
      <c r="C6178" s="2"/>
      <c r="D6178" s="2"/>
      <c r="E6178" s="2"/>
      <c r="F6178" s="14"/>
      <c r="G6178" s="2"/>
      <c r="H6178" s="2"/>
    </row>
    <row r="6179">
      <c r="A6179" s="2"/>
      <c r="B6179" s="13"/>
      <c r="C6179" s="2"/>
      <c r="D6179" s="2"/>
      <c r="E6179" s="2"/>
      <c r="F6179" s="14"/>
      <c r="G6179" s="2"/>
      <c r="H6179" s="2"/>
    </row>
    <row r="6180">
      <c r="A6180" s="2"/>
      <c r="B6180" s="13"/>
      <c r="C6180" s="2"/>
      <c r="D6180" s="2"/>
      <c r="E6180" s="2"/>
      <c r="F6180" s="14"/>
      <c r="G6180" s="2"/>
      <c r="H6180" s="2"/>
    </row>
    <row r="6181">
      <c r="A6181" s="2"/>
      <c r="B6181" s="13"/>
      <c r="C6181" s="2"/>
      <c r="D6181" s="2"/>
      <c r="E6181" s="2"/>
      <c r="F6181" s="14"/>
      <c r="G6181" s="2"/>
      <c r="H6181" s="2"/>
    </row>
    <row r="6182">
      <c r="A6182" s="2"/>
      <c r="B6182" s="13"/>
      <c r="C6182" s="2"/>
      <c r="D6182" s="2"/>
      <c r="E6182" s="2"/>
      <c r="F6182" s="14"/>
      <c r="G6182" s="2"/>
      <c r="H6182" s="2"/>
    </row>
    <row r="6183">
      <c r="A6183" s="2"/>
      <c r="B6183" s="13"/>
      <c r="C6183" s="2"/>
      <c r="D6183" s="2"/>
      <c r="E6183" s="2"/>
      <c r="F6183" s="14"/>
      <c r="G6183" s="2"/>
      <c r="H6183" s="2"/>
    </row>
    <row r="6184">
      <c r="A6184" s="2"/>
      <c r="B6184" s="13"/>
      <c r="C6184" s="2"/>
      <c r="D6184" s="2"/>
      <c r="E6184" s="2"/>
      <c r="F6184" s="14"/>
      <c r="G6184" s="2"/>
      <c r="H6184" s="2"/>
    </row>
    <row r="6185">
      <c r="A6185" s="2"/>
      <c r="B6185" s="13"/>
      <c r="C6185" s="2"/>
      <c r="D6185" s="2"/>
      <c r="E6185" s="2"/>
      <c r="F6185" s="14"/>
      <c r="G6185" s="2"/>
      <c r="H6185" s="2"/>
    </row>
    <row r="6186">
      <c r="A6186" s="2"/>
      <c r="B6186" s="13"/>
      <c r="C6186" s="2"/>
      <c r="D6186" s="2"/>
      <c r="E6186" s="2"/>
      <c r="F6186" s="14"/>
      <c r="G6186" s="2"/>
      <c r="H6186" s="2"/>
    </row>
    <row r="6187">
      <c r="A6187" s="2"/>
      <c r="B6187" s="13"/>
      <c r="C6187" s="2"/>
      <c r="D6187" s="2"/>
      <c r="E6187" s="2"/>
      <c r="F6187" s="14"/>
      <c r="G6187" s="2"/>
      <c r="H6187" s="2"/>
    </row>
    <row r="6188">
      <c r="A6188" s="2"/>
      <c r="B6188" s="13"/>
      <c r="C6188" s="2"/>
      <c r="D6188" s="2"/>
      <c r="E6188" s="2"/>
      <c r="F6188" s="14"/>
      <c r="G6188" s="2"/>
      <c r="H6188" s="2"/>
    </row>
    <row r="6189">
      <c r="A6189" s="2"/>
      <c r="B6189" s="13"/>
      <c r="C6189" s="2"/>
      <c r="D6189" s="2"/>
      <c r="E6189" s="2"/>
      <c r="F6189" s="14"/>
      <c r="G6189" s="2"/>
      <c r="H6189" s="2"/>
    </row>
    <row r="6190">
      <c r="A6190" s="2"/>
      <c r="B6190" s="13"/>
      <c r="C6190" s="2"/>
      <c r="D6190" s="2"/>
      <c r="E6190" s="2"/>
      <c r="F6190" s="14"/>
      <c r="G6190" s="2"/>
      <c r="H6190" s="2"/>
    </row>
    <row r="6191">
      <c r="A6191" s="2"/>
      <c r="B6191" s="13"/>
      <c r="C6191" s="2"/>
      <c r="D6191" s="2"/>
      <c r="E6191" s="2"/>
      <c r="F6191" s="14"/>
      <c r="G6191" s="2"/>
      <c r="H6191" s="2"/>
    </row>
    <row r="6192">
      <c r="A6192" s="2"/>
      <c r="B6192" s="13"/>
      <c r="C6192" s="2"/>
      <c r="D6192" s="2"/>
      <c r="E6192" s="2"/>
      <c r="F6192" s="14"/>
      <c r="G6192" s="2"/>
      <c r="H6192" s="2"/>
    </row>
    <row r="6193">
      <c r="A6193" s="2"/>
      <c r="B6193" s="13"/>
      <c r="C6193" s="2"/>
      <c r="D6193" s="2"/>
      <c r="E6193" s="2"/>
      <c r="F6193" s="14"/>
      <c r="G6193" s="2"/>
      <c r="H6193" s="2"/>
    </row>
    <row r="6194">
      <c r="A6194" s="2"/>
      <c r="B6194" s="13"/>
      <c r="C6194" s="2"/>
      <c r="D6194" s="2"/>
      <c r="E6194" s="2"/>
      <c r="F6194" s="14"/>
      <c r="G6194" s="2"/>
      <c r="H6194" s="2"/>
    </row>
    <row r="6195">
      <c r="A6195" s="2"/>
      <c r="B6195" s="13"/>
      <c r="C6195" s="2"/>
      <c r="D6195" s="2"/>
      <c r="E6195" s="2"/>
      <c r="F6195" s="14"/>
      <c r="G6195" s="2"/>
      <c r="H6195" s="2"/>
    </row>
    <row r="6196">
      <c r="A6196" s="2"/>
      <c r="B6196" s="13"/>
      <c r="C6196" s="2"/>
      <c r="D6196" s="2"/>
      <c r="E6196" s="2"/>
      <c r="F6196" s="14"/>
      <c r="G6196" s="2"/>
      <c r="H6196" s="2"/>
    </row>
    <row r="6197">
      <c r="A6197" s="2"/>
      <c r="B6197" s="13"/>
      <c r="C6197" s="2"/>
      <c r="D6197" s="2"/>
      <c r="E6197" s="2"/>
      <c r="F6197" s="14"/>
      <c r="G6197" s="2"/>
      <c r="H6197" s="2"/>
    </row>
    <row r="6198">
      <c r="A6198" s="2"/>
      <c r="B6198" s="13"/>
      <c r="C6198" s="2"/>
      <c r="D6198" s="2"/>
      <c r="E6198" s="2"/>
      <c r="F6198" s="14"/>
      <c r="G6198" s="2"/>
      <c r="H6198" s="2"/>
    </row>
    <row r="6199">
      <c r="A6199" s="2"/>
      <c r="B6199" s="13"/>
      <c r="C6199" s="2"/>
      <c r="D6199" s="2"/>
      <c r="E6199" s="2"/>
      <c r="F6199" s="14"/>
      <c r="G6199" s="2"/>
      <c r="H6199" s="2"/>
    </row>
    <row r="6200">
      <c r="A6200" s="2"/>
      <c r="B6200" s="13"/>
      <c r="C6200" s="2"/>
      <c r="D6200" s="2"/>
      <c r="E6200" s="2"/>
      <c r="F6200" s="14"/>
      <c r="G6200" s="2"/>
      <c r="H6200" s="2"/>
    </row>
    <row r="6201">
      <c r="A6201" s="2"/>
      <c r="B6201" s="13"/>
      <c r="C6201" s="2"/>
      <c r="D6201" s="2"/>
      <c r="E6201" s="2"/>
      <c r="F6201" s="14"/>
      <c r="G6201" s="2"/>
      <c r="H6201" s="2"/>
    </row>
    <row r="6202">
      <c r="A6202" s="2"/>
      <c r="B6202" s="13"/>
      <c r="C6202" s="2"/>
      <c r="D6202" s="2"/>
      <c r="E6202" s="2"/>
      <c r="F6202" s="14"/>
      <c r="G6202" s="2"/>
      <c r="H6202" s="2"/>
    </row>
    <row r="6203">
      <c r="A6203" s="2"/>
      <c r="B6203" s="13"/>
      <c r="C6203" s="2"/>
      <c r="D6203" s="2"/>
      <c r="E6203" s="2"/>
      <c r="F6203" s="14"/>
      <c r="G6203" s="2"/>
      <c r="H6203" s="2"/>
    </row>
    <row r="6204">
      <c r="A6204" s="2"/>
      <c r="B6204" s="13"/>
      <c r="C6204" s="2"/>
      <c r="D6204" s="2"/>
      <c r="E6204" s="2"/>
      <c r="F6204" s="14"/>
      <c r="G6204" s="2"/>
      <c r="H6204" s="2"/>
    </row>
    <row r="6205">
      <c r="A6205" s="2"/>
      <c r="B6205" s="13"/>
      <c r="C6205" s="2"/>
      <c r="D6205" s="2"/>
      <c r="E6205" s="2"/>
      <c r="F6205" s="14"/>
      <c r="G6205" s="2"/>
      <c r="H6205" s="2"/>
    </row>
    <row r="6206">
      <c r="A6206" s="2"/>
      <c r="B6206" s="13"/>
      <c r="C6206" s="2"/>
      <c r="D6206" s="2"/>
      <c r="E6206" s="2"/>
      <c r="F6206" s="14"/>
      <c r="G6206" s="2"/>
      <c r="H6206" s="2"/>
    </row>
    <row r="6207">
      <c r="A6207" s="2"/>
      <c r="B6207" s="13"/>
      <c r="C6207" s="2"/>
      <c r="D6207" s="2"/>
      <c r="E6207" s="2"/>
      <c r="F6207" s="14"/>
      <c r="G6207" s="2"/>
      <c r="H6207" s="2"/>
    </row>
    <row r="6208">
      <c r="A6208" s="2"/>
      <c r="B6208" s="13"/>
      <c r="C6208" s="2"/>
      <c r="D6208" s="2"/>
      <c r="E6208" s="2"/>
      <c r="F6208" s="14"/>
      <c r="G6208" s="2"/>
      <c r="H6208" s="2"/>
    </row>
    <row r="6209">
      <c r="A6209" s="2"/>
      <c r="B6209" s="13"/>
      <c r="C6209" s="2"/>
      <c r="D6209" s="2"/>
      <c r="E6209" s="2"/>
      <c r="F6209" s="14"/>
      <c r="G6209" s="2"/>
      <c r="H6209" s="2"/>
    </row>
    <row r="6210">
      <c r="A6210" s="2"/>
      <c r="B6210" s="13"/>
      <c r="C6210" s="2"/>
      <c r="D6210" s="2"/>
      <c r="E6210" s="2"/>
      <c r="F6210" s="14"/>
      <c r="G6210" s="2"/>
      <c r="H6210" s="2"/>
    </row>
    <row r="6211">
      <c r="A6211" s="2"/>
      <c r="B6211" s="13"/>
      <c r="C6211" s="2"/>
      <c r="D6211" s="2"/>
      <c r="E6211" s="2"/>
      <c r="F6211" s="14"/>
      <c r="G6211" s="2"/>
      <c r="H6211" s="2"/>
    </row>
    <row r="6212">
      <c r="A6212" s="2"/>
      <c r="B6212" s="13"/>
      <c r="C6212" s="2"/>
      <c r="D6212" s="2"/>
      <c r="E6212" s="2"/>
      <c r="F6212" s="14"/>
      <c r="G6212" s="2"/>
      <c r="H6212" s="2"/>
    </row>
    <row r="6213">
      <c r="A6213" s="2"/>
      <c r="B6213" s="13"/>
      <c r="C6213" s="2"/>
      <c r="D6213" s="2"/>
      <c r="E6213" s="2"/>
      <c r="F6213" s="14"/>
      <c r="G6213" s="2"/>
      <c r="H6213" s="2"/>
    </row>
    <row r="6214">
      <c r="A6214" s="2"/>
      <c r="B6214" s="13"/>
      <c r="C6214" s="2"/>
      <c r="D6214" s="2"/>
      <c r="E6214" s="2"/>
      <c r="F6214" s="14"/>
      <c r="G6214" s="2"/>
      <c r="H6214" s="2"/>
    </row>
    <row r="6215">
      <c r="A6215" s="2"/>
      <c r="B6215" s="13"/>
      <c r="C6215" s="2"/>
      <c r="D6215" s="2"/>
      <c r="E6215" s="2"/>
      <c r="F6215" s="14"/>
      <c r="G6215" s="2"/>
      <c r="H6215" s="2"/>
    </row>
    <row r="6216">
      <c r="A6216" s="2"/>
      <c r="B6216" s="13"/>
      <c r="C6216" s="2"/>
      <c r="D6216" s="2"/>
      <c r="E6216" s="2"/>
      <c r="F6216" s="14"/>
      <c r="G6216" s="2"/>
      <c r="H6216" s="2"/>
    </row>
    <row r="6217">
      <c r="A6217" s="2"/>
      <c r="B6217" s="13"/>
      <c r="C6217" s="2"/>
      <c r="D6217" s="2"/>
      <c r="E6217" s="2"/>
      <c r="F6217" s="14"/>
      <c r="G6217" s="2"/>
      <c r="H6217" s="2"/>
    </row>
    <row r="6218">
      <c r="A6218" s="2"/>
      <c r="B6218" s="13"/>
      <c r="C6218" s="2"/>
      <c r="D6218" s="2"/>
      <c r="E6218" s="2"/>
      <c r="F6218" s="14"/>
      <c r="G6218" s="2"/>
      <c r="H6218" s="2"/>
    </row>
    <row r="6219">
      <c r="A6219" s="2"/>
      <c r="B6219" s="13"/>
      <c r="C6219" s="2"/>
      <c r="D6219" s="2"/>
      <c r="E6219" s="2"/>
      <c r="F6219" s="14"/>
      <c r="G6219" s="2"/>
      <c r="H6219" s="2"/>
    </row>
    <row r="6220">
      <c r="A6220" s="2"/>
      <c r="B6220" s="13"/>
      <c r="C6220" s="2"/>
      <c r="D6220" s="2"/>
      <c r="E6220" s="2"/>
      <c r="F6220" s="14"/>
      <c r="G6220" s="2"/>
      <c r="H6220" s="2"/>
    </row>
    <row r="6221">
      <c r="A6221" s="2"/>
      <c r="B6221" s="13"/>
      <c r="C6221" s="2"/>
      <c r="D6221" s="2"/>
      <c r="E6221" s="2"/>
      <c r="F6221" s="14"/>
      <c r="G6221" s="2"/>
      <c r="H6221" s="2"/>
    </row>
    <row r="6222">
      <c r="A6222" s="2"/>
      <c r="B6222" s="13"/>
      <c r="C6222" s="2"/>
      <c r="D6222" s="2"/>
      <c r="E6222" s="2"/>
      <c r="F6222" s="14"/>
      <c r="G6222" s="2"/>
      <c r="H6222" s="2"/>
    </row>
    <row r="6223">
      <c r="A6223" s="2"/>
      <c r="B6223" s="13"/>
      <c r="C6223" s="2"/>
      <c r="D6223" s="2"/>
      <c r="E6223" s="2"/>
      <c r="F6223" s="14"/>
      <c r="G6223" s="2"/>
      <c r="H6223" s="2"/>
    </row>
    <row r="6224">
      <c r="A6224" s="2"/>
      <c r="B6224" s="13"/>
      <c r="C6224" s="2"/>
      <c r="D6224" s="2"/>
      <c r="E6224" s="2"/>
      <c r="F6224" s="14"/>
      <c r="G6224" s="2"/>
      <c r="H6224" s="2"/>
    </row>
    <row r="6225">
      <c r="A6225" s="2"/>
      <c r="B6225" s="13"/>
      <c r="C6225" s="2"/>
      <c r="D6225" s="2"/>
      <c r="E6225" s="2"/>
      <c r="F6225" s="14"/>
      <c r="G6225" s="2"/>
      <c r="H6225" s="2"/>
    </row>
    <row r="6226">
      <c r="A6226" s="2"/>
      <c r="B6226" s="13"/>
      <c r="C6226" s="2"/>
      <c r="D6226" s="2"/>
      <c r="E6226" s="2"/>
      <c r="F6226" s="14"/>
      <c r="G6226" s="2"/>
      <c r="H6226" s="2"/>
    </row>
    <row r="6227">
      <c r="A6227" s="2"/>
      <c r="B6227" s="13"/>
      <c r="C6227" s="2"/>
      <c r="D6227" s="2"/>
      <c r="E6227" s="2"/>
      <c r="F6227" s="14"/>
      <c r="G6227" s="2"/>
      <c r="H6227" s="2"/>
    </row>
    <row r="6228">
      <c r="A6228" s="2"/>
      <c r="B6228" s="13"/>
      <c r="C6228" s="2"/>
      <c r="D6228" s="2"/>
      <c r="E6228" s="2"/>
      <c r="F6228" s="14"/>
      <c r="G6228" s="2"/>
      <c r="H6228" s="2"/>
    </row>
    <row r="6229">
      <c r="A6229" s="2"/>
      <c r="B6229" s="13"/>
      <c r="C6229" s="2"/>
      <c r="D6229" s="2"/>
      <c r="E6229" s="2"/>
      <c r="F6229" s="14"/>
      <c r="G6229" s="2"/>
      <c r="H6229" s="2"/>
    </row>
    <row r="6230">
      <c r="A6230" s="2"/>
      <c r="B6230" s="13"/>
      <c r="C6230" s="2"/>
      <c r="D6230" s="2"/>
      <c r="E6230" s="2"/>
      <c r="F6230" s="14"/>
      <c r="G6230" s="2"/>
      <c r="H6230" s="2"/>
    </row>
    <row r="6231">
      <c r="A6231" s="2"/>
      <c r="B6231" s="13"/>
      <c r="C6231" s="2"/>
      <c r="D6231" s="2"/>
      <c r="E6231" s="2"/>
      <c r="F6231" s="14"/>
      <c r="G6231" s="2"/>
      <c r="H6231" s="2"/>
    </row>
    <row r="6232">
      <c r="A6232" s="2"/>
      <c r="B6232" s="13"/>
      <c r="C6232" s="2"/>
      <c r="D6232" s="2"/>
      <c r="E6232" s="2"/>
      <c r="F6232" s="14"/>
      <c r="G6232" s="2"/>
      <c r="H6232" s="2"/>
    </row>
    <row r="6233">
      <c r="A6233" s="2"/>
      <c r="B6233" s="13"/>
      <c r="C6233" s="2"/>
      <c r="D6233" s="2"/>
      <c r="E6233" s="2"/>
      <c r="F6233" s="14"/>
      <c r="G6233" s="2"/>
      <c r="H6233" s="2"/>
    </row>
    <row r="6234">
      <c r="A6234" s="2"/>
      <c r="B6234" s="13"/>
      <c r="C6234" s="2"/>
      <c r="D6234" s="2"/>
      <c r="E6234" s="2"/>
      <c r="F6234" s="14"/>
      <c r="G6234" s="2"/>
      <c r="H6234" s="2"/>
    </row>
    <row r="6235">
      <c r="A6235" s="2"/>
      <c r="B6235" s="13"/>
      <c r="C6235" s="2"/>
      <c r="D6235" s="2"/>
      <c r="E6235" s="2"/>
      <c r="F6235" s="14"/>
      <c r="G6235" s="2"/>
      <c r="H6235" s="2"/>
    </row>
    <row r="6236">
      <c r="A6236" s="2"/>
      <c r="B6236" s="13"/>
      <c r="C6236" s="2"/>
      <c r="D6236" s="2"/>
      <c r="E6236" s="2"/>
      <c r="F6236" s="14"/>
      <c r="G6236" s="2"/>
      <c r="H6236" s="2"/>
    </row>
    <row r="6237">
      <c r="A6237" s="2"/>
      <c r="B6237" s="13"/>
      <c r="C6237" s="2"/>
      <c r="D6237" s="2"/>
      <c r="E6237" s="2"/>
      <c r="F6237" s="14"/>
      <c r="G6237" s="2"/>
      <c r="H6237" s="2"/>
    </row>
    <row r="6238">
      <c r="A6238" s="2"/>
      <c r="B6238" s="13"/>
      <c r="C6238" s="2"/>
      <c r="D6238" s="2"/>
      <c r="E6238" s="2"/>
      <c r="F6238" s="14"/>
      <c r="G6238" s="2"/>
      <c r="H6238" s="2"/>
    </row>
    <row r="6239">
      <c r="A6239" s="2"/>
      <c r="B6239" s="13"/>
      <c r="C6239" s="2"/>
      <c r="D6239" s="2"/>
      <c r="E6239" s="2"/>
      <c r="F6239" s="14"/>
      <c r="G6239" s="2"/>
      <c r="H6239" s="2"/>
    </row>
    <row r="6240">
      <c r="A6240" s="2"/>
      <c r="B6240" s="13"/>
      <c r="C6240" s="2"/>
      <c r="D6240" s="2"/>
      <c r="E6240" s="2"/>
      <c r="F6240" s="14"/>
      <c r="G6240" s="2"/>
      <c r="H6240" s="2"/>
    </row>
    <row r="6241">
      <c r="A6241" s="2"/>
      <c r="B6241" s="13"/>
      <c r="C6241" s="2"/>
      <c r="D6241" s="2"/>
      <c r="E6241" s="2"/>
      <c r="F6241" s="14"/>
      <c r="G6241" s="2"/>
      <c r="H6241" s="2"/>
    </row>
    <row r="6242">
      <c r="A6242" s="2"/>
      <c r="B6242" s="13"/>
      <c r="C6242" s="2"/>
      <c r="D6242" s="2"/>
      <c r="E6242" s="2"/>
      <c r="F6242" s="14"/>
      <c r="G6242" s="2"/>
      <c r="H6242" s="2"/>
    </row>
    <row r="6243">
      <c r="A6243" s="2"/>
      <c r="B6243" s="13"/>
      <c r="C6243" s="2"/>
      <c r="D6243" s="2"/>
      <c r="E6243" s="2"/>
      <c r="F6243" s="14"/>
      <c r="G6243" s="2"/>
      <c r="H6243" s="2"/>
    </row>
    <row r="6244">
      <c r="A6244" s="2"/>
      <c r="B6244" s="13"/>
      <c r="C6244" s="2"/>
      <c r="D6244" s="2"/>
      <c r="E6244" s="2"/>
      <c r="F6244" s="14"/>
      <c r="G6244" s="2"/>
      <c r="H6244" s="2"/>
    </row>
    <row r="6245">
      <c r="A6245" s="2"/>
      <c r="B6245" s="13"/>
      <c r="C6245" s="2"/>
      <c r="D6245" s="2"/>
      <c r="E6245" s="2"/>
      <c r="F6245" s="14"/>
      <c r="G6245" s="2"/>
      <c r="H6245" s="2"/>
    </row>
    <row r="6246">
      <c r="A6246" s="2"/>
      <c r="B6246" s="13"/>
      <c r="C6246" s="2"/>
      <c r="D6246" s="2"/>
      <c r="E6246" s="2"/>
      <c r="F6246" s="14"/>
      <c r="G6246" s="2"/>
      <c r="H6246" s="2"/>
    </row>
    <row r="6247">
      <c r="A6247" s="2"/>
      <c r="B6247" s="13"/>
      <c r="C6247" s="2"/>
      <c r="D6247" s="2"/>
      <c r="E6247" s="2"/>
      <c r="F6247" s="14"/>
      <c r="G6247" s="2"/>
      <c r="H6247" s="2"/>
    </row>
    <row r="6248">
      <c r="A6248" s="2"/>
      <c r="B6248" s="13"/>
      <c r="C6248" s="2"/>
      <c r="D6248" s="2"/>
      <c r="E6248" s="2"/>
      <c r="F6248" s="14"/>
      <c r="G6248" s="2"/>
      <c r="H6248" s="2"/>
    </row>
    <row r="6249">
      <c r="A6249" s="2"/>
      <c r="B6249" s="13"/>
      <c r="C6249" s="2"/>
      <c r="D6249" s="2"/>
      <c r="E6249" s="2"/>
      <c r="F6249" s="14"/>
      <c r="G6249" s="2"/>
      <c r="H6249" s="2"/>
    </row>
    <row r="6250">
      <c r="A6250" s="2"/>
      <c r="B6250" s="13"/>
      <c r="C6250" s="2"/>
      <c r="D6250" s="2"/>
      <c r="E6250" s="2"/>
      <c r="F6250" s="14"/>
      <c r="G6250" s="2"/>
      <c r="H6250" s="2"/>
    </row>
    <row r="6251">
      <c r="A6251" s="2"/>
      <c r="B6251" s="13"/>
      <c r="C6251" s="2"/>
      <c r="D6251" s="2"/>
      <c r="E6251" s="2"/>
      <c r="F6251" s="14"/>
      <c r="G6251" s="2"/>
      <c r="H6251" s="2"/>
    </row>
    <row r="6252">
      <c r="A6252" s="2"/>
      <c r="B6252" s="13"/>
      <c r="C6252" s="2"/>
      <c r="D6252" s="2"/>
      <c r="E6252" s="2"/>
      <c r="F6252" s="14"/>
      <c r="G6252" s="2"/>
      <c r="H6252" s="2"/>
    </row>
    <row r="6253">
      <c r="A6253" s="2"/>
      <c r="B6253" s="13"/>
      <c r="C6253" s="2"/>
      <c r="D6253" s="2"/>
      <c r="E6253" s="2"/>
      <c r="F6253" s="14"/>
      <c r="G6253" s="2"/>
      <c r="H6253" s="2"/>
    </row>
    <row r="6254">
      <c r="A6254" s="2"/>
      <c r="B6254" s="13"/>
      <c r="C6254" s="2"/>
      <c r="D6254" s="2"/>
      <c r="E6254" s="2"/>
      <c r="F6254" s="14"/>
      <c r="G6254" s="2"/>
      <c r="H6254" s="2"/>
    </row>
    <row r="6255">
      <c r="A6255" s="2"/>
      <c r="B6255" s="13"/>
      <c r="C6255" s="2"/>
      <c r="D6255" s="2"/>
      <c r="E6255" s="2"/>
      <c r="F6255" s="14"/>
      <c r="G6255" s="2"/>
      <c r="H6255" s="2"/>
    </row>
    <row r="6256">
      <c r="A6256" s="2"/>
      <c r="B6256" s="13"/>
      <c r="C6256" s="2"/>
      <c r="D6256" s="2"/>
      <c r="E6256" s="2"/>
      <c r="F6256" s="14"/>
      <c r="G6256" s="2"/>
      <c r="H6256" s="2"/>
    </row>
    <row r="6257">
      <c r="A6257" s="2"/>
      <c r="B6257" s="13"/>
      <c r="C6257" s="2"/>
      <c r="D6257" s="2"/>
      <c r="E6257" s="2"/>
      <c r="F6257" s="14"/>
      <c r="G6257" s="2"/>
      <c r="H6257" s="2"/>
    </row>
    <row r="6258">
      <c r="A6258" s="2"/>
      <c r="B6258" s="13"/>
      <c r="C6258" s="2"/>
      <c r="D6258" s="2"/>
      <c r="E6258" s="2"/>
      <c r="F6258" s="14"/>
      <c r="G6258" s="2"/>
      <c r="H6258" s="2"/>
    </row>
    <row r="6259">
      <c r="A6259" s="2"/>
      <c r="B6259" s="13"/>
      <c r="C6259" s="2"/>
      <c r="D6259" s="2"/>
      <c r="E6259" s="2"/>
      <c r="F6259" s="14"/>
      <c r="G6259" s="2"/>
      <c r="H6259" s="2"/>
    </row>
    <row r="6260">
      <c r="A6260" s="2"/>
      <c r="B6260" s="13"/>
      <c r="C6260" s="2"/>
      <c r="D6260" s="2"/>
      <c r="E6260" s="2"/>
      <c r="F6260" s="14"/>
      <c r="G6260" s="2"/>
      <c r="H6260" s="2"/>
    </row>
    <row r="6261">
      <c r="A6261" s="2"/>
      <c r="B6261" s="13"/>
      <c r="C6261" s="2"/>
      <c r="D6261" s="2"/>
      <c r="E6261" s="2"/>
      <c r="F6261" s="14"/>
      <c r="G6261" s="2"/>
      <c r="H6261" s="2"/>
    </row>
    <row r="6262">
      <c r="A6262" s="2"/>
      <c r="B6262" s="13"/>
      <c r="C6262" s="2"/>
      <c r="D6262" s="2"/>
      <c r="E6262" s="2"/>
      <c r="F6262" s="14"/>
      <c r="G6262" s="2"/>
      <c r="H6262" s="2"/>
    </row>
    <row r="6263">
      <c r="A6263" s="2"/>
      <c r="B6263" s="13"/>
      <c r="C6263" s="2"/>
      <c r="D6263" s="2"/>
      <c r="E6263" s="2"/>
      <c r="F6263" s="14"/>
      <c r="G6263" s="2"/>
      <c r="H6263" s="2"/>
    </row>
    <row r="6264">
      <c r="A6264" s="2"/>
      <c r="B6264" s="13"/>
      <c r="C6264" s="2"/>
      <c r="D6264" s="2"/>
      <c r="E6264" s="2"/>
      <c r="F6264" s="14"/>
      <c r="G6264" s="2"/>
      <c r="H6264" s="2"/>
    </row>
    <row r="6265">
      <c r="A6265" s="2"/>
      <c r="B6265" s="13"/>
      <c r="C6265" s="2"/>
      <c r="D6265" s="2"/>
      <c r="E6265" s="2"/>
      <c r="F6265" s="14"/>
      <c r="G6265" s="2"/>
      <c r="H6265" s="2"/>
    </row>
    <row r="6266">
      <c r="A6266" s="2"/>
      <c r="B6266" s="13"/>
      <c r="C6266" s="2"/>
      <c r="D6266" s="2"/>
      <c r="E6266" s="2"/>
      <c r="F6266" s="14"/>
      <c r="G6266" s="2"/>
      <c r="H6266" s="2"/>
    </row>
    <row r="6267">
      <c r="A6267" s="2"/>
      <c r="B6267" s="13"/>
      <c r="C6267" s="2"/>
      <c r="D6267" s="2"/>
      <c r="E6267" s="2"/>
      <c r="F6267" s="14"/>
      <c r="G6267" s="2"/>
      <c r="H6267" s="2"/>
    </row>
    <row r="6268">
      <c r="A6268" s="2"/>
      <c r="B6268" s="13"/>
      <c r="C6268" s="2"/>
      <c r="D6268" s="2"/>
      <c r="E6268" s="2"/>
      <c r="F6268" s="14"/>
      <c r="G6268" s="2"/>
      <c r="H6268" s="2"/>
    </row>
    <row r="6269">
      <c r="A6269" s="2"/>
      <c r="B6269" s="13"/>
      <c r="C6269" s="2"/>
      <c r="D6269" s="2"/>
      <c r="E6269" s="2"/>
      <c r="F6269" s="14"/>
      <c r="G6269" s="2"/>
      <c r="H6269" s="2"/>
    </row>
    <row r="6270">
      <c r="A6270" s="2"/>
      <c r="B6270" s="13"/>
      <c r="C6270" s="2"/>
      <c r="D6270" s="2"/>
      <c r="E6270" s="2"/>
      <c r="F6270" s="14"/>
      <c r="G6270" s="2"/>
      <c r="H6270" s="2"/>
    </row>
    <row r="6271">
      <c r="A6271" s="2"/>
      <c r="B6271" s="13"/>
      <c r="C6271" s="2"/>
      <c r="D6271" s="2"/>
      <c r="E6271" s="2"/>
      <c r="F6271" s="14"/>
      <c r="G6271" s="2"/>
      <c r="H6271" s="2"/>
    </row>
    <row r="6272">
      <c r="A6272" s="2"/>
      <c r="B6272" s="13"/>
      <c r="C6272" s="2"/>
      <c r="D6272" s="2"/>
      <c r="E6272" s="2"/>
      <c r="F6272" s="14"/>
      <c r="G6272" s="2"/>
      <c r="H6272" s="2"/>
    </row>
    <row r="6273">
      <c r="A6273" s="2"/>
      <c r="B6273" s="13"/>
      <c r="C6273" s="2"/>
      <c r="D6273" s="2"/>
      <c r="E6273" s="2"/>
      <c r="F6273" s="14"/>
      <c r="G6273" s="2"/>
      <c r="H6273" s="2"/>
    </row>
    <row r="6274">
      <c r="A6274" s="2"/>
      <c r="B6274" s="13"/>
      <c r="C6274" s="2"/>
      <c r="D6274" s="2"/>
      <c r="E6274" s="2"/>
      <c r="F6274" s="14"/>
      <c r="G6274" s="2"/>
      <c r="H6274" s="2"/>
    </row>
    <row r="6275">
      <c r="A6275" s="2"/>
      <c r="B6275" s="13"/>
      <c r="C6275" s="2"/>
      <c r="D6275" s="2"/>
      <c r="E6275" s="2"/>
      <c r="F6275" s="14"/>
      <c r="G6275" s="2"/>
      <c r="H6275" s="2"/>
    </row>
    <row r="6276">
      <c r="A6276" s="2"/>
      <c r="B6276" s="13"/>
      <c r="C6276" s="2"/>
      <c r="D6276" s="2"/>
      <c r="E6276" s="2"/>
      <c r="F6276" s="14"/>
      <c r="G6276" s="2"/>
      <c r="H6276" s="2"/>
    </row>
    <row r="6277">
      <c r="A6277" s="2"/>
      <c r="B6277" s="13"/>
      <c r="C6277" s="2"/>
      <c r="D6277" s="2"/>
      <c r="E6277" s="2"/>
      <c r="F6277" s="14"/>
      <c r="G6277" s="2"/>
      <c r="H6277" s="2"/>
    </row>
    <row r="6278">
      <c r="A6278" s="2"/>
      <c r="B6278" s="13"/>
      <c r="C6278" s="2"/>
      <c r="D6278" s="2"/>
      <c r="E6278" s="2"/>
      <c r="F6278" s="14"/>
      <c r="G6278" s="2"/>
      <c r="H6278" s="2"/>
    </row>
    <row r="6279">
      <c r="A6279" s="2"/>
      <c r="B6279" s="13"/>
      <c r="C6279" s="2"/>
      <c r="D6279" s="2"/>
      <c r="E6279" s="2"/>
      <c r="F6279" s="14"/>
      <c r="G6279" s="2"/>
      <c r="H6279" s="2"/>
    </row>
    <row r="6280">
      <c r="A6280" s="2"/>
      <c r="B6280" s="13"/>
      <c r="C6280" s="2"/>
      <c r="D6280" s="2"/>
      <c r="E6280" s="2"/>
      <c r="F6280" s="14"/>
      <c r="G6280" s="2"/>
      <c r="H6280" s="2"/>
    </row>
    <row r="6281">
      <c r="A6281" s="2"/>
      <c r="B6281" s="13"/>
      <c r="C6281" s="2"/>
      <c r="D6281" s="2"/>
      <c r="E6281" s="2"/>
      <c r="F6281" s="14"/>
      <c r="G6281" s="2"/>
      <c r="H6281" s="2"/>
    </row>
    <row r="6282">
      <c r="A6282" s="2"/>
      <c r="B6282" s="13"/>
      <c r="C6282" s="2"/>
      <c r="D6282" s="2"/>
      <c r="E6282" s="2"/>
      <c r="F6282" s="14"/>
      <c r="G6282" s="2"/>
      <c r="H6282" s="2"/>
    </row>
    <row r="6283">
      <c r="A6283" s="2"/>
      <c r="B6283" s="13"/>
      <c r="C6283" s="2"/>
      <c r="D6283" s="2"/>
      <c r="E6283" s="2"/>
      <c r="F6283" s="14"/>
      <c r="G6283" s="2"/>
      <c r="H6283" s="2"/>
    </row>
    <row r="6284">
      <c r="A6284" s="2"/>
      <c r="B6284" s="13"/>
      <c r="C6284" s="2"/>
      <c r="D6284" s="2"/>
      <c r="E6284" s="2"/>
      <c r="F6284" s="14"/>
      <c r="G6284" s="2"/>
      <c r="H6284" s="2"/>
    </row>
    <row r="6285">
      <c r="A6285" s="2"/>
      <c r="B6285" s="13"/>
      <c r="C6285" s="2"/>
      <c r="D6285" s="2"/>
      <c r="E6285" s="2"/>
      <c r="F6285" s="14"/>
      <c r="G6285" s="2"/>
      <c r="H6285" s="2"/>
    </row>
    <row r="6286">
      <c r="A6286" s="2"/>
      <c r="B6286" s="13"/>
      <c r="C6286" s="2"/>
      <c r="D6286" s="2"/>
      <c r="E6286" s="2"/>
      <c r="F6286" s="14"/>
      <c r="G6286" s="2"/>
      <c r="H6286" s="2"/>
    </row>
    <row r="6287">
      <c r="A6287" s="2"/>
      <c r="B6287" s="13"/>
      <c r="C6287" s="2"/>
      <c r="D6287" s="2"/>
      <c r="E6287" s="2"/>
      <c r="F6287" s="14"/>
      <c r="G6287" s="2"/>
      <c r="H6287" s="2"/>
    </row>
    <row r="6288">
      <c r="A6288" s="2"/>
      <c r="B6288" s="13"/>
      <c r="C6288" s="2"/>
      <c r="D6288" s="2"/>
      <c r="E6288" s="2"/>
      <c r="F6288" s="14"/>
      <c r="G6288" s="2"/>
      <c r="H6288" s="2"/>
    </row>
    <row r="6289">
      <c r="A6289" s="2"/>
      <c r="B6289" s="13"/>
      <c r="C6289" s="2"/>
      <c r="D6289" s="2"/>
      <c r="E6289" s="2"/>
      <c r="F6289" s="14"/>
      <c r="G6289" s="2"/>
      <c r="H6289" s="2"/>
    </row>
    <row r="6290">
      <c r="A6290" s="2"/>
      <c r="B6290" s="13"/>
      <c r="C6290" s="2"/>
      <c r="D6290" s="2"/>
      <c r="E6290" s="2"/>
      <c r="F6290" s="14"/>
      <c r="G6290" s="2"/>
      <c r="H6290" s="2"/>
    </row>
    <row r="6291">
      <c r="A6291" s="2"/>
      <c r="B6291" s="13"/>
      <c r="C6291" s="2"/>
      <c r="D6291" s="2"/>
      <c r="E6291" s="2"/>
      <c r="F6291" s="14"/>
      <c r="G6291" s="2"/>
      <c r="H6291" s="2"/>
    </row>
    <row r="6292">
      <c r="A6292" s="2"/>
      <c r="B6292" s="13"/>
      <c r="C6292" s="2"/>
      <c r="D6292" s="2"/>
      <c r="E6292" s="2"/>
      <c r="F6292" s="14"/>
      <c r="G6292" s="2"/>
      <c r="H6292" s="2"/>
    </row>
    <row r="6293">
      <c r="A6293" s="2"/>
      <c r="B6293" s="13"/>
      <c r="C6293" s="2"/>
      <c r="D6293" s="2"/>
      <c r="E6293" s="2"/>
      <c r="F6293" s="14"/>
      <c r="G6293" s="2"/>
      <c r="H6293" s="2"/>
    </row>
    <row r="6294">
      <c r="A6294" s="2"/>
      <c r="B6294" s="13"/>
      <c r="C6294" s="2"/>
      <c r="D6294" s="2"/>
      <c r="E6294" s="2"/>
      <c r="F6294" s="14"/>
      <c r="G6294" s="2"/>
      <c r="H6294" s="2"/>
    </row>
    <row r="6295">
      <c r="A6295" s="2"/>
      <c r="B6295" s="13"/>
      <c r="C6295" s="2"/>
      <c r="D6295" s="2"/>
      <c r="E6295" s="2"/>
      <c r="F6295" s="14"/>
      <c r="G6295" s="2"/>
      <c r="H6295" s="2"/>
    </row>
    <row r="6296">
      <c r="A6296" s="2"/>
      <c r="B6296" s="13"/>
      <c r="C6296" s="2"/>
      <c r="D6296" s="2"/>
      <c r="E6296" s="2"/>
      <c r="F6296" s="14"/>
      <c r="G6296" s="2"/>
      <c r="H6296" s="2"/>
    </row>
    <row r="6297">
      <c r="A6297" s="2"/>
      <c r="B6297" s="13"/>
      <c r="C6297" s="2"/>
      <c r="D6297" s="2"/>
      <c r="E6297" s="2"/>
      <c r="F6297" s="14"/>
      <c r="G6297" s="2"/>
      <c r="H6297" s="2"/>
    </row>
    <row r="6298">
      <c r="A6298" s="2"/>
      <c r="B6298" s="13"/>
      <c r="C6298" s="2"/>
      <c r="D6298" s="2"/>
      <c r="E6298" s="2"/>
      <c r="F6298" s="14"/>
      <c r="G6298" s="2"/>
      <c r="H6298" s="2"/>
    </row>
    <row r="6299">
      <c r="A6299" s="2"/>
      <c r="B6299" s="13"/>
      <c r="C6299" s="2"/>
      <c r="D6299" s="2"/>
      <c r="E6299" s="2"/>
      <c r="F6299" s="14"/>
      <c r="G6299" s="2"/>
      <c r="H6299" s="2"/>
    </row>
    <row r="6300">
      <c r="A6300" s="2"/>
      <c r="B6300" s="13"/>
      <c r="C6300" s="2"/>
      <c r="D6300" s="2"/>
      <c r="E6300" s="2"/>
      <c r="F6300" s="14"/>
      <c r="G6300" s="2"/>
      <c r="H6300" s="2"/>
    </row>
    <row r="6301">
      <c r="A6301" s="2"/>
      <c r="B6301" s="13"/>
      <c r="C6301" s="2"/>
      <c r="D6301" s="2"/>
      <c r="E6301" s="2"/>
      <c r="F6301" s="14"/>
      <c r="G6301" s="2"/>
      <c r="H6301" s="2"/>
    </row>
    <row r="6302">
      <c r="A6302" s="2"/>
      <c r="B6302" s="13"/>
      <c r="C6302" s="2"/>
      <c r="D6302" s="2"/>
      <c r="E6302" s="2"/>
      <c r="F6302" s="14"/>
      <c r="G6302" s="2"/>
      <c r="H6302" s="2"/>
    </row>
    <row r="6303">
      <c r="A6303" s="2"/>
      <c r="B6303" s="13"/>
      <c r="C6303" s="2"/>
      <c r="D6303" s="2"/>
      <c r="E6303" s="2"/>
      <c r="F6303" s="14"/>
      <c r="G6303" s="2"/>
      <c r="H6303" s="2"/>
    </row>
    <row r="6304">
      <c r="A6304" s="2"/>
      <c r="B6304" s="13"/>
      <c r="C6304" s="2"/>
      <c r="D6304" s="2"/>
      <c r="E6304" s="2"/>
      <c r="F6304" s="14"/>
      <c r="G6304" s="2"/>
      <c r="H6304" s="2"/>
    </row>
    <row r="6305">
      <c r="A6305" s="2"/>
      <c r="B6305" s="13"/>
      <c r="C6305" s="2"/>
      <c r="D6305" s="2"/>
      <c r="E6305" s="2"/>
      <c r="F6305" s="14"/>
      <c r="G6305" s="2"/>
      <c r="H6305" s="2"/>
    </row>
    <row r="6306">
      <c r="A6306" s="2"/>
      <c r="B6306" s="13"/>
      <c r="C6306" s="2"/>
      <c r="D6306" s="2"/>
      <c r="E6306" s="2"/>
      <c r="F6306" s="14"/>
      <c r="G6306" s="2"/>
      <c r="H6306" s="2"/>
    </row>
    <row r="6307">
      <c r="A6307" s="2"/>
      <c r="B6307" s="13"/>
      <c r="C6307" s="2"/>
      <c r="D6307" s="2"/>
      <c r="E6307" s="2"/>
      <c r="F6307" s="14"/>
      <c r="G6307" s="2"/>
      <c r="H6307" s="2"/>
    </row>
    <row r="6308">
      <c r="A6308" s="2"/>
      <c r="B6308" s="13"/>
      <c r="C6308" s="2"/>
      <c r="D6308" s="2"/>
      <c r="E6308" s="2"/>
      <c r="F6308" s="14"/>
      <c r="G6308" s="2"/>
      <c r="H6308" s="2"/>
    </row>
    <row r="6309">
      <c r="A6309" s="2"/>
      <c r="B6309" s="13"/>
      <c r="C6309" s="2"/>
      <c r="D6309" s="2"/>
      <c r="E6309" s="2"/>
      <c r="F6309" s="14"/>
      <c r="G6309" s="2"/>
      <c r="H6309" s="2"/>
    </row>
    <row r="6310">
      <c r="A6310" s="2"/>
      <c r="B6310" s="13"/>
      <c r="C6310" s="2"/>
      <c r="D6310" s="2"/>
      <c r="E6310" s="2"/>
      <c r="F6310" s="14"/>
      <c r="G6310" s="2"/>
      <c r="H6310" s="2"/>
    </row>
    <row r="6311">
      <c r="A6311" s="2"/>
      <c r="B6311" s="13"/>
      <c r="C6311" s="2"/>
      <c r="D6311" s="2"/>
      <c r="E6311" s="2"/>
      <c r="F6311" s="14"/>
      <c r="G6311" s="2"/>
      <c r="H6311" s="2"/>
    </row>
    <row r="6312">
      <c r="A6312" s="2"/>
      <c r="B6312" s="13"/>
      <c r="C6312" s="2"/>
      <c r="D6312" s="2"/>
      <c r="E6312" s="2"/>
      <c r="F6312" s="14"/>
      <c r="G6312" s="2"/>
      <c r="H6312" s="2"/>
    </row>
    <row r="6313">
      <c r="A6313" s="2"/>
      <c r="B6313" s="13"/>
      <c r="C6313" s="2"/>
      <c r="D6313" s="2"/>
      <c r="E6313" s="2"/>
      <c r="F6313" s="14"/>
      <c r="G6313" s="2"/>
      <c r="H6313" s="2"/>
    </row>
    <row r="6314">
      <c r="A6314" s="2"/>
      <c r="B6314" s="13"/>
      <c r="C6314" s="2"/>
      <c r="D6314" s="2"/>
      <c r="E6314" s="2"/>
      <c r="F6314" s="14"/>
      <c r="G6314" s="2"/>
      <c r="H6314" s="2"/>
    </row>
    <row r="6315">
      <c r="A6315" s="2"/>
      <c r="B6315" s="13"/>
      <c r="C6315" s="2"/>
      <c r="D6315" s="2"/>
      <c r="E6315" s="2"/>
      <c r="F6315" s="14"/>
      <c r="G6315" s="2"/>
      <c r="H6315" s="2"/>
    </row>
    <row r="6316">
      <c r="A6316" s="2"/>
      <c r="B6316" s="13"/>
      <c r="C6316" s="2"/>
      <c r="D6316" s="2"/>
      <c r="E6316" s="2"/>
      <c r="F6316" s="14"/>
      <c r="G6316" s="2"/>
      <c r="H6316" s="2"/>
    </row>
    <row r="6317">
      <c r="A6317" s="2"/>
      <c r="B6317" s="13"/>
      <c r="C6317" s="2"/>
      <c r="D6317" s="2"/>
      <c r="E6317" s="2"/>
      <c r="F6317" s="14"/>
      <c r="G6317" s="2"/>
      <c r="H6317" s="2"/>
    </row>
    <row r="6318">
      <c r="A6318" s="2"/>
      <c r="B6318" s="13"/>
      <c r="C6318" s="2"/>
      <c r="D6318" s="2"/>
      <c r="E6318" s="2"/>
      <c r="F6318" s="14"/>
      <c r="G6318" s="2"/>
      <c r="H6318" s="2"/>
    </row>
    <row r="6319">
      <c r="A6319" s="2"/>
      <c r="B6319" s="13"/>
      <c r="C6319" s="2"/>
      <c r="D6319" s="2"/>
      <c r="E6319" s="2"/>
      <c r="F6319" s="14"/>
      <c r="G6319" s="2"/>
      <c r="H6319" s="2"/>
    </row>
    <row r="6320">
      <c r="A6320" s="2"/>
      <c r="B6320" s="13"/>
      <c r="C6320" s="2"/>
      <c r="D6320" s="2"/>
      <c r="E6320" s="2"/>
      <c r="F6320" s="14"/>
      <c r="G6320" s="2"/>
      <c r="H6320" s="2"/>
    </row>
    <row r="6321">
      <c r="A6321" s="2"/>
      <c r="B6321" s="13"/>
      <c r="C6321" s="2"/>
      <c r="D6321" s="2"/>
      <c r="E6321" s="2"/>
      <c r="F6321" s="14"/>
      <c r="G6321" s="2"/>
      <c r="H6321" s="2"/>
    </row>
    <row r="6322">
      <c r="A6322" s="2"/>
      <c r="B6322" s="13"/>
      <c r="C6322" s="2"/>
      <c r="D6322" s="2"/>
      <c r="E6322" s="2"/>
      <c r="F6322" s="14"/>
      <c r="G6322" s="2"/>
      <c r="H6322" s="2"/>
    </row>
    <row r="6323">
      <c r="A6323" s="2"/>
      <c r="B6323" s="13"/>
      <c r="C6323" s="2"/>
      <c r="D6323" s="2"/>
      <c r="E6323" s="2"/>
      <c r="F6323" s="14"/>
      <c r="G6323" s="2"/>
      <c r="H6323" s="2"/>
    </row>
    <row r="6324">
      <c r="A6324" s="2"/>
      <c r="B6324" s="13"/>
      <c r="C6324" s="2"/>
      <c r="D6324" s="2"/>
      <c r="E6324" s="2"/>
      <c r="F6324" s="14"/>
      <c r="G6324" s="2"/>
      <c r="H6324" s="2"/>
    </row>
    <row r="6325">
      <c r="A6325" s="2"/>
      <c r="B6325" s="13"/>
      <c r="C6325" s="2"/>
      <c r="D6325" s="2"/>
      <c r="E6325" s="2"/>
      <c r="F6325" s="14"/>
      <c r="G6325" s="2"/>
      <c r="H6325" s="2"/>
    </row>
    <row r="6326">
      <c r="A6326" s="2"/>
      <c r="B6326" s="13"/>
      <c r="C6326" s="2"/>
      <c r="D6326" s="2"/>
      <c r="E6326" s="2"/>
      <c r="F6326" s="14"/>
      <c r="G6326" s="2"/>
      <c r="H6326" s="2"/>
    </row>
    <row r="6327">
      <c r="A6327" s="2"/>
      <c r="B6327" s="13"/>
      <c r="C6327" s="2"/>
      <c r="D6327" s="2"/>
      <c r="E6327" s="2"/>
      <c r="F6327" s="14"/>
      <c r="G6327" s="2"/>
      <c r="H6327" s="2"/>
    </row>
    <row r="6328">
      <c r="A6328" s="2"/>
      <c r="B6328" s="13"/>
      <c r="C6328" s="2"/>
      <c r="D6328" s="2"/>
      <c r="E6328" s="2"/>
      <c r="F6328" s="14"/>
      <c r="G6328" s="2"/>
      <c r="H6328" s="2"/>
    </row>
    <row r="6329">
      <c r="A6329" s="2"/>
      <c r="B6329" s="13"/>
      <c r="C6329" s="2"/>
      <c r="D6329" s="2"/>
      <c r="E6329" s="2"/>
      <c r="F6329" s="14"/>
      <c r="G6329" s="2"/>
      <c r="H6329" s="2"/>
    </row>
    <row r="6330">
      <c r="A6330" s="2"/>
      <c r="B6330" s="13"/>
      <c r="C6330" s="2"/>
      <c r="D6330" s="2"/>
      <c r="E6330" s="2"/>
      <c r="F6330" s="14"/>
      <c r="G6330" s="2"/>
      <c r="H6330" s="2"/>
    </row>
    <row r="6331">
      <c r="A6331" s="2"/>
      <c r="B6331" s="13"/>
      <c r="C6331" s="2"/>
      <c r="D6331" s="2"/>
      <c r="E6331" s="2"/>
      <c r="F6331" s="14"/>
      <c r="G6331" s="2"/>
      <c r="H6331" s="2"/>
    </row>
    <row r="6332">
      <c r="A6332" s="2"/>
      <c r="B6332" s="13"/>
      <c r="C6332" s="2"/>
      <c r="D6332" s="2"/>
      <c r="E6332" s="2"/>
      <c r="F6332" s="14"/>
      <c r="G6332" s="2"/>
      <c r="H6332" s="2"/>
    </row>
    <row r="6333">
      <c r="A6333" s="2"/>
      <c r="B6333" s="13"/>
      <c r="C6333" s="2"/>
      <c r="D6333" s="2"/>
      <c r="E6333" s="2"/>
      <c r="F6333" s="14"/>
      <c r="G6333" s="2"/>
      <c r="H6333" s="2"/>
    </row>
    <row r="6334">
      <c r="A6334" s="2"/>
      <c r="B6334" s="13"/>
      <c r="C6334" s="2"/>
      <c r="D6334" s="2"/>
      <c r="E6334" s="2"/>
      <c r="F6334" s="14"/>
      <c r="G6334" s="2"/>
      <c r="H6334" s="2"/>
    </row>
    <row r="6335">
      <c r="A6335" s="2"/>
      <c r="B6335" s="13"/>
      <c r="C6335" s="2"/>
      <c r="D6335" s="2"/>
      <c r="E6335" s="2"/>
      <c r="F6335" s="14"/>
      <c r="G6335" s="2"/>
      <c r="H6335" s="2"/>
    </row>
    <row r="6336">
      <c r="A6336" s="2"/>
      <c r="B6336" s="13"/>
      <c r="C6336" s="2"/>
      <c r="D6336" s="2"/>
      <c r="E6336" s="2"/>
      <c r="F6336" s="14"/>
      <c r="G6336" s="2"/>
      <c r="H6336" s="2"/>
    </row>
    <row r="6337">
      <c r="A6337" s="2"/>
      <c r="B6337" s="13"/>
      <c r="C6337" s="2"/>
      <c r="D6337" s="2"/>
      <c r="E6337" s="2"/>
      <c r="F6337" s="14"/>
      <c r="G6337" s="2"/>
      <c r="H6337" s="2"/>
    </row>
    <row r="6338">
      <c r="A6338" s="2"/>
      <c r="B6338" s="13"/>
      <c r="C6338" s="2"/>
      <c r="D6338" s="2"/>
      <c r="E6338" s="2"/>
      <c r="F6338" s="14"/>
      <c r="G6338" s="2"/>
      <c r="H6338" s="2"/>
    </row>
    <row r="6339">
      <c r="A6339" s="2"/>
      <c r="B6339" s="13"/>
      <c r="C6339" s="2"/>
      <c r="D6339" s="2"/>
      <c r="E6339" s="2"/>
      <c r="F6339" s="14"/>
      <c r="G6339" s="2"/>
      <c r="H6339" s="2"/>
    </row>
    <row r="6340">
      <c r="A6340" s="2"/>
      <c r="B6340" s="13"/>
      <c r="C6340" s="2"/>
      <c r="D6340" s="2"/>
      <c r="E6340" s="2"/>
      <c r="F6340" s="14"/>
      <c r="G6340" s="2"/>
      <c r="H6340" s="2"/>
    </row>
    <row r="6341">
      <c r="A6341" s="2"/>
      <c r="B6341" s="13"/>
      <c r="C6341" s="2"/>
      <c r="D6341" s="2"/>
      <c r="E6341" s="2"/>
      <c r="F6341" s="14"/>
      <c r="G6341" s="2"/>
      <c r="H6341" s="2"/>
    </row>
    <row r="6342">
      <c r="A6342" s="2"/>
      <c r="B6342" s="13"/>
      <c r="C6342" s="2"/>
      <c r="D6342" s="2"/>
      <c r="E6342" s="2"/>
      <c r="F6342" s="14"/>
      <c r="G6342" s="2"/>
      <c r="H6342" s="2"/>
    </row>
    <row r="6343">
      <c r="A6343" s="2"/>
      <c r="B6343" s="13"/>
      <c r="C6343" s="2"/>
      <c r="D6343" s="2"/>
      <c r="E6343" s="2"/>
      <c r="F6343" s="14"/>
      <c r="G6343" s="2"/>
      <c r="H6343" s="2"/>
    </row>
    <row r="6344">
      <c r="A6344" s="2"/>
      <c r="B6344" s="13"/>
      <c r="C6344" s="2"/>
      <c r="D6344" s="2"/>
      <c r="E6344" s="2"/>
      <c r="F6344" s="14"/>
      <c r="G6344" s="2"/>
      <c r="H6344" s="2"/>
    </row>
    <row r="6345">
      <c r="A6345" s="2"/>
      <c r="B6345" s="13"/>
      <c r="C6345" s="2"/>
      <c r="D6345" s="2"/>
      <c r="E6345" s="2"/>
      <c r="F6345" s="14"/>
      <c r="G6345" s="2"/>
      <c r="H6345" s="2"/>
    </row>
    <row r="6346">
      <c r="A6346" s="2"/>
      <c r="B6346" s="13"/>
      <c r="C6346" s="2"/>
      <c r="D6346" s="2"/>
      <c r="E6346" s="2"/>
      <c r="F6346" s="14"/>
      <c r="G6346" s="2"/>
      <c r="H6346" s="2"/>
    </row>
    <row r="6347">
      <c r="A6347" s="2"/>
      <c r="B6347" s="13"/>
      <c r="C6347" s="2"/>
      <c r="D6347" s="2"/>
      <c r="E6347" s="2"/>
      <c r="F6347" s="14"/>
      <c r="G6347" s="2"/>
      <c r="H6347" s="2"/>
    </row>
    <row r="6348">
      <c r="A6348" s="2"/>
      <c r="B6348" s="13"/>
      <c r="C6348" s="2"/>
      <c r="D6348" s="2"/>
      <c r="E6348" s="2"/>
      <c r="F6348" s="14"/>
      <c r="G6348" s="2"/>
      <c r="H6348" s="2"/>
    </row>
    <row r="6349">
      <c r="A6349" s="2"/>
      <c r="B6349" s="13"/>
      <c r="C6349" s="2"/>
      <c r="D6349" s="2"/>
      <c r="E6349" s="2"/>
      <c r="F6349" s="14"/>
      <c r="G6349" s="2"/>
      <c r="H6349" s="2"/>
    </row>
    <row r="6350">
      <c r="A6350" s="2"/>
      <c r="B6350" s="13"/>
      <c r="C6350" s="2"/>
      <c r="D6350" s="2"/>
      <c r="E6350" s="2"/>
      <c r="F6350" s="14"/>
      <c r="G6350" s="2"/>
      <c r="H6350" s="2"/>
    </row>
    <row r="6351">
      <c r="A6351" s="2"/>
      <c r="B6351" s="13"/>
      <c r="C6351" s="2"/>
      <c r="D6351" s="2"/>
      <c r="E6351" s="2"/>
      <c r="F6351" s="14"/>
      <c r="G6351" s="2"/>
      <c r="H6351" s="2"/>
    </row>
    <row r="6352">
      <c r="A6352" s="2"/>
      <c r="B6352" s="13"/>
      <c r="C6352" s="2"/>
      <c r="D6352" s="2"/>
      <c r="E6352" s="2"/>
      <c r="F6352" s="14"/>
      <c r="G6352" s="2"/>
      <c r="H6352" s="2"/>
    </row>
    <row r="6353">
      <c r="A6353" s="2"/>
      <c r="B6353" s="13"/>
      <c r="C6353" s="2"/>
      <c r="D6353" s="2"/>
      <c r="E6353" s="2"/>
      <c r="F6353" s="14"/>
      <c r="G6353" s="2"/>
      <c r="H6353" s="2"/>
    </row>
    <row r="6354">
      <c r="A6354" s="2"/>
      <c r="B6354" s="13"/>
      <c r="C6354" s="2"/>
      <c r="D6354" s="2"/>
      <c r="E6354" s="2"/>
      <c r="F6354" s="14"/>
      <c r="G6354" s="2"/>
      <c r="H6354" s="2"/>
    </row>
    <row r="6355">
      <c r="A6355" s="2"/>
      <c r="B6355" s="13"/>
      <c r="C6355" s="2"/>
      <c r="D6355" s="2"/>
      <c r="E6355" s="2"/>
      <c r="F6355" s="14"/>
      <c r="G6355" s="2"/>
      <c r="H6355" s="2"/>
    </row>
    <row r="6356">
      <c r="A6356" s="2"/>
      <c r="B6356" s="13"/>
      <c r="C6356" s="2"/>
      <c r="D6356" s="2"/>
      <c r="E6356" s="2"/>
      <c r="F6356" s="14"/>
      <c r="G6356" s="2"/>
      <c r="H6356" s="2"/>
    </row>
    <row r="6357">
      <c r="A6357" s="2"/>
      <c r="B6357" s="13"/>
      <c r="C6357" s="2"/>
      <c r="D6357" s="2"/>
      <c r="E6357" s="2"/>
      <c r="F6357" s="14"/>
      <c r="G6357" s="2"/>
      <c r="H6357" s="2"/>
    </row>
    <row r="6358">
      <c r="A6358" s="2"/>
      <c r="B6358" s="13"/>
      <c r="C6358" s="2"/>
      <c r="D6358" s="2"/>
      <c r="E6358" s="2"/>
      <c r="F6358" s="14"/>
      <c r="G6358" s="2"/>
      <c r="H6358" s="2"/>
    </row>
    <row r="6359">
      <c r="A6359" s="2"/>
      <c r="B6359" s="13"/>
      <c r="C6359" s="2"/>
      <c r="D6359" s="2"/>
      <c r="E6359" s="2"/>
      <c r="F6359" s="14"/>
      <c r="G6359" s="2"/>
      <c r="H6359" s="2"/>
    </row>
    <row r="6360">
      <c r="A6360" s="2"/>
      <c r="B6360" s="13"/>
      <c r="C6360" s="2"/>
      <c r="D6360" s="2"/>
      <c r="E6360" s="2"/>
      <c r="F6360" s="14"/>
      <c r="G6360" s="2"/>
      <c r="H6360" s="2"/>
    </row>
    <row r="6361">
      <c r="A6361" s="2"/>
      <c r="B6361" s="13"/>
      <c r="C6361" s="2"/>
      <c r="D6361" s="2"/>
      <c r="E6361" s="2"/>
      <c r="F6361" s="14"/>
      <c r="G6361" s="2"/>
      <c r="H6361" s="2"/>
    </row>
    <row r="6362">
      <c r="A6362" s="2"/>
      <c r="B6362" s="13"/>
      <c r="C6362" s="2"/>
      <c r="D6362" s="2"/>
      <c r="E6362" s="2"/>
      <c r="F6362" s="14"/>
      <c r="G6362" s="2"/>
      <c r="H6362" s="2"/>
    </row>
    <row r="6363">
      <c r="A6363" s="2"/>
      <c r="B6363" s="13"/>
      <c r="C6363" s="2"/>
      <c r="D6363" s="2"/>
      <c r="E6363" s="2"/>
      <c r="F6363" s="14"/>
      <c r="G6363" s="2"/>
      <c r="H6363" s="2"/>
    </row>
    <row r="6364">
      <c r="A6364" s="2"/>
      <c r="B6364" s="13"/>
      <c r="C6364" s="2"/>
      <c r="D6364" s="2"/>
      <c r="E6364" s="2"/>
      <c r="F6364" s="14"/>
      <c r="G6364" s="2"/>
      <c r="H6364" s="2"/>
    </row>
    <row r="6365">
      <c r="A6365" s="2"/>
      <c r="B6365" s="13"/>
      <c r="C6365" s="2"/>
      <c r="D6365" s="2"/>
      <c r="E6365" s="2"/>
      <c r="F6365" s="14"/>
      <c r="G6365" s="2"/>
      <c r="H6365" s="2"/>
    </row>
    <row r="6366">
      <c r="A6366" s="2"/>
      <c r="B6366" s="13"/>
      <c r="C6366" s="2"/>
      <c r="D6366" s="2"/>
      <c r="E6366" s="2"/>
      <c r="F6366" s="14"/>
      <c r="G6366" s="2"/>
      <c r="H6366" s="2"/>
    </row>
    <row r="6367">
      <c r="A6367" s="2"/>
      <c r="B6367" s="13"/>
      <c r="C6367" s="2"/>
      <c r="D6367" s="2"/>
      <c r="E6367" s="2"/>
      <c r="F6367" s="14"/>
      <c r="G6367" s="2"/>
      <c r="H6367" s="2"/>
    </row>
    <row r="6368">
      <c r="A6368" s="2"/>
      <c r="B6368" s="13"/>
      <c r="C6368" s="2"/>
      <c r="D6368" s="2"/>
      <c r="E6368" s="2"/>
      <c r="F6368" s="14"/>
      <c r="G6368" s="2"/>
      <c r="H6368" s="2"/>
    </row>
    <row r="6369">
      <c r="A6369" s="2"/>
      <c r="B6369" s="13"/>
      <c r="C6369" s="2"/>
      <c r="D6369" s="2"/>
      <c r="E6369" s="2"/>
      <c r="F6369" s="14"/>
      <c r="G6369" s="2"/>
      <c r="H6369" s="2"/>
    </row>
    <row r="6370">
      <c r="A6370" s="2"/>
      <c r="B6370" s="13"/>
      <c r="C6370" s="2"/>
      <c r="D6370" s="2"/>
      <c r="E6370" s="2"/>
      <c r="F6370" s="14"/>
      <c r="G6370" s="2"/>
      <c r="H6370" s="2"/>
    </row>
    <row r="6371">
      <c r="A6371" s="2"/>
      <c r="B6371" s="13"/>
      <c r="C6371" s="2"/>
      <c r="D6371" s="2"/>
      <c r="E6371" s="2"/>
      <c r="F6371" s="14"/>
      <c r="G6371" s="2"/>
      <c r="H6371" s="2"/>
    </row>
    <row r="6372">
      <c r="A6372" s="2"/>
      <c r="B6372" s="13"/>
      <c r="C6372" s="2"/>
      <c r="D6372" s="2"/>
      <c r="E6372" s="2"/>
      <c r="F6372" s="14"/>
      <c r="G6372" s="2"/>
      <c r="H6372" s="2"/>
    </row>
    <row r="6373">
      <c r="A6373" s="2"/>
      <c r="B6373" s="13"/>
      <c r="C6373" s="2"/>
      <c r="D6373" s="2"/>
      <c r="E6373" s="2"/>
      <c r="F6373" s="14"/>
      <c r="G6373" s="2"/>
      <c r="H6373" s="2"/>
    </row>
    <row r="6374">
      <c r="A6374" s="2"/>
      <c r="B6374" s="13"/>
      <c r="C6374" s="2"/>
      <c r="D6374" s="2"/>
      <c r="E6374" s="2"/>
      <c r="F6374" s="14"/>
      <c r="G6374" s="2"/>
      <c r="H6374" s="2"/>
    </row>
    <row r="6375">
      <c r="A6375" s="2"/>
      <c r="B6375" s="13"/>
      <c r="C6375" s="2"/>
      <c r="D6375" s="2"/>
      <c r="E6375" s="2"/>
      <c r="F6375" s="14"/>
      <c r="G6375" s="2"/>
      <c r="H6375" s="2"/>
    </row>
    <row r="6376">
      <c r="A6376" s="2"/>
      <c r="B6376" s="13"/>
      <c r="C6376" s="2"/>
      <c r="D6376" s="2"/>
      <c r="E6376" s="2"/>
      <c r="F6376" s="14"/>
      <c r="G6376" s="2"/>
      <c r="H6376" s="2"/>
    </row>
    <row r="6377">
      <c r="A6377" s="2"/>
      <c r="B6377" s="13"/>
      <c r="C6377" s="2"/>
      <c r="D6377" s="2"/>
      <c r="E6377" s="2"/>
      <c r="F6377" s="14"/>
      <c r="G6377" s="2"/>
      <c r="H6377" s="2"/>
    </row>
    <row r="6378">
      <c r="A6378" s="2"/>
      <c r="B6378" s="13"/>
      <c r="C6378" s="2"/>
      <c r="D6378" s="2"/>
      <c r="E6378" s="2"/>
      <c r="F6378" s="14"/>
      <c r="G6378" s="2"/>
      <c r="H6378" s="2"/>
    </row>
    <row r="6379">
      <c r="A6379" s="2"/>
      <c r="B6379" s="13"/>
      <c r="C6379" s="2"/>
      <c r="D6379" s="2"/>
      <c r="E6379" s="2"/>
      <c r="F6379" s="14"/>
      <c r="G6379" s="2"/>
      <c r="H6379" s="2"/>
    </row>
    <row r="6380">
      <c r="A6380" s="2"/>
      <c r="B6380" s="13"/>
      <c r="C6380" s="2"/>
      <c r="D6380" s="2"/>
      <c r="E6380" s="2"/>
      <c r="F6380" s="14"/>
      <c r="G6380" s="2"/>
      <c r="H6380" s="2"/>
    </row>
    <row r="6381">
      <c r="A6381" s="2"/>
      <c r="B6381" s="13"/>
      <c r="C6381" s="2"/>
      <c r="D6381" s="2"/>
      <c r="E6381" s="2"/>
      <c r="F6381" s="14"/>
      <c r="G6381" s="2"/>
      <c r="H6381" s="2"/>
    </row>
    <row r="6382">
      <c r="A6382" s="2"/>
      <c r="B6382" s="13"/>
      <c r="C6382" s="2"/>
      <c r="D6382" s="2"/>
      <c r="E6382" s="2"/>
      <c r="F6382" s="14"/>
      <c r="G6382" s="2"/>
      <c r="H6382" s="2"/>
    </row>
    <row r="6383">
      <c r="A6383" s="2"/>
      <c r="B6383" s="13"/>
      <c r="C6383" s="2"/>
      <c r="D6383" s="2"/>
      <c r="E6383" s="2"/>
      <c r="F6383" s="14"/>
      <c r="G6383" s="2"/>
      <c r="H6383" s="2"/>
    </row>
    <row r="6384">
      <c r="A6384" s="2"/>
      <c r="B6384" s="13"/>
      <c r="C6384" s="2"/>
      <c r="D6384" s="2"/>
      <c r="E6384" s="2"/>
      <c r="F6384" s="14"/>
      <c r="G6384" s="2"/>
      <c r="H6384" s="2"/>
    </row>
    <row r="6385">
      <c r="A6385" s="2"/>
      <c r="B6385" s="13"/>
      <c r="C6385" s="2"/>
      <c r="D6385" s="2"/>
      <c r="E6385" s="2"/>
      <c r="F6385" s="14"/>
      <c r="G6385" s="2"/>
      <c r="H6385" s="2"/>
    </row>
    <row r="6386">
      <c r="A6386" s="2"/>
      <c r="B6386" s="13"/>
      <c r="C6386" s="2"/>
      <c r="D6386" s="2"/>
      <c r="E6386" s="2"/>
      <c r="F6386" s="14"/>
      <c r="G6386" s="2"/>
      <c r="H6386" s="2"/>
    </row>
    <row r="6387">
      <c r="A6387" s="2"/>
      <c r="B6387" s="13"/>
      <c r="C6387" s="2"/>
      <c r="D6387" s="2"/>
      <c r="E6387" s="2"/>
      <c r="F6387" s="14"/>
      <c r="G6387" s="2"/>
      <c r="H6387" s="2"/>
    </row>
    <row r="6388">
      <c r="A6388" s="2"/>
      <c r="B6388" s="13"/>
      <c r="C6388" s="2"/>
      <c r="D6388" s="2"/>
      <c r="E6388" s="2"/>
      <c r="F6388" s="14"/>
      <c r="G6388" s="2"/>
      <c r="H6388" s="2"/>
    </row>
    <row r="6389">
      <c r="A6389" s="2"/>
      <c r="B6389" s="13"/>
      <c r="C6389" s="2"/>
      <c r="D6389" s="2"/>
      <c r="E6389" s="2"/>
      <c r="F6389" s="14"/>
      <c r="G6389" s="2"/>
      <c r="H6389" s="2"/>
    </row>
    <row r="6390">
      <c r="A6390" s="2"/>
      <c r="B6390" s="13"/>
      <c r="C6390" s="2"/>
      <c r="D6390" s="2"/>
      <c r="E6390" s="2"/>
      <c r="F6390" s="14"/>
      <c r="G6390" s="2"/>
      <c r="H6390" s="2"/>
    </row>
    <row r="6391">
      <c r="A6391" s="2"/>
      <c r="B6391" s="13"/>
      <c r="C6391" s="2"/>
      <c r="D6391" s="2"/>
      <c r="E6391" s="2"/>
      <c r="F6391" s="14"/>
      <c r="G6391" s="2"/>
      <c r="H6391" s="2"/>
    </row>
    <row r="6392">
      <c r="A6392" s="2"/>
      <c r="B6392" s="13"/>
      <c r="C6392" s="2"/>
      <c r="D6392" s="2"/>
      <c r="E6392" s="2"/>
      <c r="F6392" s="14"/>
      <c r="G6392" s="2"/>
      <c r="H6392" s="2"/>
    </row>
    <row r="6393">
      <c r="A6393" s="2"/>
      <c r="B6393" s="13"/>
      <c r="C6393" s="2"/>
      <c r="D6393" s="2"/>
      <c r="E6393" s="2"/>
      <c r="F6393" s="14"/>
      <c r="G6393" s="2"/>
      <c r="H6393" s="2"/>
    </row>
    <row r="6394">
      <c r="A6394" s="2"/>
      <c r="B6394" s="13"/>
      <c r="C6394" s="2"/>
      <c r="D6394" s="2"/>
      <c r="E6394" s="2"/>
      <c r="F6394" s="14"/>
      <c r="G6394" s="2"/>
      <c r="H6394" s="2"/>
    </row>
    <row r="6395">
      <c r="A6395" s="2"/>
      <c r="B6395" s="13"/>
      <c r="C6395" s="2"/>
      <c r="D6395" s="2"/>
      <c r="E6395" s="2"/>
      <c r="F6395" s="14"/>
      <c r="G6395" s="2"/>
      <c r="H6395" s="2"/>
    </row>
    <row r="6396">
      <c r="A6396" s="2"/>
      <c r="B6396" s="13"/>
      <c r="C6396" s="2"/>
      <c r="D6396" s="2"/>
      <c r="E6396" s="2"/>
      <c r="F6396" s="14"/>
      <c r="G6396" s="2"/>
      <c r="H6396" s="2"/>
    </row>
    <row r="6397">
      <c r="A6397" s="2"/>
      <c r="B6397" s="13"/>
      <c r="C6397" s="2"/>
      <c r="D6397" s="2"/>
      <c r="E6397" s="2"/>
      <c r="F6397" s="14"/>
      <c r="G6397" s="2"/>
      <c r="H6397" s="2"/>
    </row>
    <row r="6398">
      <c r="A6398" s="2"/>
      <c r="B6398" s="13"/>
      <c r="C6398" s="2"/>
      <c r="D6398" s="2"/>
      <c r="E6398" s="2"/>
      <c r="F6398" s="14"/>
      <c r="G6398" s="2"/>
      <c r="H6398" s="2"/>
    </row>
    <row r="6399">
      <c r="A6399" s="2"/>
      <c r="B6399" s="13"/>
      <c r="C6399" s="2"/>
      <c r="D6399" s="2"/>
      <c r="E6399" s="2"/>
      <c r="F6399" s="14"/>
      <c r="G6399" s="2"/>
      <c r="H6399" s="2"/>
    </row>
    <row r="6400">
      <c r="A6400" s="2"/>
      <c r="B6400" s="13"/>
      <c r="C6400" s="2"/>
      <c r="D6400" s="2"/>
      <c r="E6400" s="2"/>
      <c r="F6400" s="14"/>
      <c r="G6400" s="2"/>
      <c r="H6400" s="2"/>
    </row>
    <row r="6401">
      <c r="A6401" s="2"/>
      <c r="B6401" s="13"/>
      <c r="C6401" s="2"/>
      <c r="D6401" s="2"/>
      <c r="E6401" s="2"/>
      <c r="F6401" s="14"/>
      <c r="G6401" s="2"/>
      <c r="H6401" s="2"/>
    </row>
    <row r="6402">
      <c r="A6402" s="2"/>
      <c r="B6402" s="13"/>
      <c r="C6402" s="2"/>
      <c r="D6402" s="2"/>
      <c r="E6402" s="2"/>
      <c r="F6402" s="14"/>
      <c r="G6402" s="2"/>
      <c r="H6402" s="2"/>
    </row>
    <row r="6403">
      <c r="A6403" s="2"/>
      <c r="B6403" s="13"/>
      <c r="C6403" s="2"/>
      <c r="D6403" s="2"/>
      <c r="E6403" s="2"/>
      <c r="F6403" s="14"/>
      <c r="G6403" s="2"/>
      <c r="H6403" s="2"/>
    </row>
    <row r="6404">
      <c r="A6404" s="2"/>
      <c r="B6404" s="13"/>
      <c r="C6404" s="2"/>
      <c r="D6404" s="2"/>
      <c r="E6404" s="2"/>
      <c r="F6404" s="14"/>
      <c r="G6404" s="2"/>
      <c r="H6404" s="2"/>
    </row>
    <row r="6405">
      <c r="A6405" s="2"/>
      <c r="B6405" s="13"/>
      <c r="C6405" s="2"/>
      <c r="D6405" s="2"/>
      <c r="E6405" s="2"/>
      <c r="F6405" s="14"/>
      <c r="G6405" s="2"/>
      <c r="H6405" s="2"/>
    </row>
    <row r="6406">
      <c r="A6406" s="2"/>
      <c r="B6406" s="13"/>
      <c r="C6406" s="2"/>
      <c r="D6406" s="2"/>
      <c r="E6406" s="2"/>
      <c r="F6406" s="14"/>
      <c r="G6406" s="2"/>
      <c r="H6406" s="2"/>
    </row>
    <row r="6407">
      <c r="A6407" s="2"/>
      <c r="B6407" s="13"/>
      <c r="C6407" s="2"/>
      <c r="D6407" s="2"/>
      <c r="E6407" s="2"/>
      <c r="F6407" s="14"/>
      <c r="G6407" s="2"/>
      <c r="H6407" s="2"/>
    </row>
    <row r="6408">
      <c r="A6408" s="2"/>
      <c r="B6408" s="13"/>
      <c r="C6408" s="2"/>
      <c r="D6408" s="2"/>
      <c r="E6408" s="2"/>
      <c r="F6408" s="14"/>
      <c r="G6408" s="2"/>
      <c r="H6408" s="2"/>
    </row>
    <row r="6409">
      <c r="A6409" s="2"/>
      <c r="B6409" s="13"/>
      <c r="C6409" s="2"/>
      <c r="D6409" s="2"/>
      <c r="E6409" s="2"/>
      <c r="F6409" s="14"/>
      <c r="G6409" s="2"/>
      <c r="H6409" s="2"/>
    </row>
    <row r="6410">
      <c r="A6410" s="2"/>
      <c r="B6410" s="13"/>
      <c r="C6410" s="2"/>
      <c r="D6410" s="2"/>
      <c r="E6410" s="2"/>
      <c r="F6410" s="14"/>
      <c r="G6410" s="2"/>
      <c r="H6410" s="2"/>
    </row>
    <row r="6411">
      <c r="A6411" s="2"/>
      <c r="B6411" s="13"/>
      <c r="C6411" s="2"/>
      <c r="D6411" s="2"/>
      <c r="E6411" s="2"/>
      <c r="F6411" s="14"/>
      <c r="G6411" s="2"/>
      <c r="H6411" s="2"/>
    </row>
    <row r="6412">
      <c r="A6412" s="2"/>
      <c r="B6412" s="13"/>
      <c r="C6412" s="2"/>
      <c r="D6412" s="2"/>
      <c r="E6412" s="2"/>
      <c r="F6412" s="14"/>
      <c r="G6412" s="2"/>
      <c r="H6412" s="2"/>
    </row>
    <row r="6413">
      <c r="A6413" s="2"/>
      <c r="B6413" s="13"/>
      <c r="C6413" s="2"/>
      <c r="D6413" s="2"/>
      <c r="E6413" s="2"/>
      <c r="F6413" s="14"/>
      <c r="G6413" s="2"/>
      <c r="H6413" s="2"/>
    </row>
    <row r="6414">
      <c r="A6414" s="2"/>
      <c r="B6414" s="13"/>
      <c r="C6414" s="2"/>
      <c r="D6414" s="2"/>
      <c r="E6414" s="2"/>
      <c r="F6414" s="14"/>
      <c r="G6414" s="2"/>
      <c r="H6414" s="2"/>
    </row>
    <row r="6415">
      <c r="A6415" s="2"/>
      <c r="B6415" s="13"/>
      <c r="C6415" s="2"/>
      <c r="D6415" s="2"/>
      <c r="E6415" s="2"/>
      <c r="F6415" s="14"/>
      <c r="G6415" s="2"/>
      <c r="H6415" s="2"/>
    </row>
    <row r="6416">
      <c r="A6416" s="2"/>
      <c r="B6416" s="13"/>
      <c r="C6416" s="2"/>
      <c r="D6416" s="2"/>
      <c r="E6416" s="2"/>
      <c r="F6416" s="14"/>
      <c r="G6416" s="2"/>
      <c r="H6416" s="2"/>
    </row>
    <row r="6417">
      <c r="A6417" s="2"/>
      <c r="B6417" s="13"/>
      <c r="C6417" s="2"/>
      <c r="D6417" s="2"/>
      <c r="E6417" s="2"/>
      <c r="F6417" s="14"/>
      <c r="G6417" s="2"/>
      <c r="H6417" s="2"/>
    </row>
    <row r="6418">
      <c r="A6418" s="2"/>
      <c r="B6418" s="13"/>
      <c r="C6418" s="2"/>
      <c r="D6418" s="2"/>
      <c r="E6418" s="2"/>
      <c r="F6418" s="14"/>
      <c r="G6418" s="2"/>
      <c r="H6418" s="2"/>
    </row>
    <row r="6419">
      <c r="A6419" s="2"/>
      <c r="B6419" s="13"/>
      <c r="C6419" s="2"/>
      <c r="D6419" s="2"/>
      <c r="E6419" s="2"/>
      <c r="F6419" s="14"/>
      <c r="G6419" s="2"/>
      <c r="H6419" s="2"/>
    </row>
    <row r="6420">
      <c r="A6420" s="2"/>
      <c r="B6420" s="13"/>
      <c r="C6420" s="2"/>
      <c r="D6420" s="2"/>
      <c r="E6420" s="2"/>
      <c r="F6420" s="14"/>
      <c r="G6420" s="2"/>
      <c r="H6420" s="2"/>
    </row>
    <row r="6421">
      <c r="A6421" s="2"/>
      <c r="B6421" s="13"/>
      <c r="C6421" s="2"/>
      <c r="D6421" s="2"/>
      <c r="E6421" s="2"/>
      <c r="F6421" s="14"/>
      <c r="G6421" s="2"/>
      <c r="H6421" s="2"/>
    </row>
    <row r="6422">
      <c r="A6422" s="2"/>
      <c r="B6422" s="13"/>
      <c r="C6422" s="2"/>
      <c r="D6422" s="2"/>
      <c r="E6422" s="2"/>
      <c r="F6422" s="14"/>
      <c r="G6422" s="2"/>
      <c r="H6422" s="2"/>
    </row>
    <row r="6423">
      <c r="A6423" s="2"/>
      <c r="B6423" s="13"/>
      <c r="C6423" s="2"/>
      <c r="D6423" s="2"/>
      <c r="E6423" s="2"/>
      <c r="F6423" s="14"/>
      <c r="G6423" s="2"/>
      <c r="H6423" s="2"/>
    </row>
    <row r="6424">
      <c r="A6424" s="2"/>
      <c r="B6424" s="13"/>
      <c r="C6424" s="2"/>
      <c r="D6424" s="2"/>
      <c r="E6424" s="2"/>
      <c r="F6424" s="14"/>
      <c r="G6424" s="2"/>
      <c r="H6424" s="2"/>
    </row>
    <row r="6425">
      <c r="A6425" s="2"/>
      <c r="B6425" s="13"/>
      <c r="C6425" s="2"/>
      <c r="D6425" s="2"/>
      <c r="E6425" s="2"/>
      <c r="F6425" s="14"/>
      <c r="G6425" s="2"/>
      <c r="H6425" s="2"/>
    </row>
    <row r="6426">
      <c r="A6426" s="2"/>
      <c r="B6426" s="13"/>
      <c r="C6426" s="2"/>
      <c r="D6426" s="2"/>
      <c r="E6426" s="2"/>
      <c r="F6426" s="14"/>
      <c r="G6426" s="2"/>
      <c r="H6426" s="2"/>
    </row>
    <row r="6427">
      <c r="A6427" s="2"/>
      <c r="B6427" s="13"/>
      <c r="C6427" s="2"/>
      <c r="D6427" s="2"/>
      <c r="E6427" s="2"/>
      <c r="F6427" s="14"/>
      <c r="G6427" s="2"/>
      <c r="H6427" s="2"/>
    </row>
    <row r="6428">
      <c r="A6428" s="2"/>
      <c r="B6428" s="13"/>
      <c r="C6428" s="2"/>
      <c r="D6428" s="2"/>
      <c r="E6428" s="2"/>
      <c r="F6428" s="14"/>
      <c r="G6428" s="2"/>
      <c r="H6428" s="2"/>
    </row>
    <row r="6429">
      <c r="A6429" s="2"/>
      <c r="B6429" s="13"/>
      <c r="C6429" s="2"/>
      <c r="D6429" s="2"/>
      <c r="E6429" s="2"/>
      <c r="F6429" s="14"/>
      <c r="G6429" s="2"/>
      <c r="H6429" s="2"/>
    </row>
    <row r="6430">
      <c r="A6430" s="2"/>
      <c r="B6430" s="13"/>
      <c r="C6430" s="2"/>
      <c r="D6430" s="2"/>
      <c r="E6430" s="2"/>
      <c r="F6430" s="14"/>
      <c r="G6430" s="2"/>
      <c r="H6430" s="2"/>
    </row>
    <row r="6431">
      <c r="A6431" s="2"/>
      <c r="B6431" s="13"/>
      <c r="C6431" s="2"/>
      <c r="D6431" s="2"/>
      <c r="E6431" s="2"/>
      <c r="F6431" s="14"/>
      <c r="G6431" s="2"/>
      <c r="H6431" s="2"/>
    </row>
    <row r="6432">
      <c r="A6432" s="2"/>
      <c r="B6432" s="13"/>
      <c r="C6432" s="2"/>
      <c r="D6432" s="2"/>
      <c r="E6432" s="2"/>
      <c r="F6432" s="14"/>
      <c r="G6432" s="2"/>
      <c r="H6432" s="2"/>
    </row>
    <row r="6433">
      <c r="A6433" s="2"/>
      <c r="B6433" s="13"/>
      <c r="C6433" s="2"/>
      <c r="D6433" s="2"/>
      <c r="E6433" s="2"/>
      <c r="F6433" s="14"/>
      <c r="G6433" s="2"/>
      <c r="H6433" s="2"/>
    </row>
    <row r="6434">
      <c r="A6434" s="2"/>
      <c r="B6434" s="13"/>
      <c r="C6434" s="2"/>
      <c r="D6434" s="2"/>
      <c r="E6434" s="2"/>
      <c r="F6434" s="14"/>
      <c r="G6434" s="2"/>
      <c r="H6434" s="2"/>
    </row>
    <row r="6435">
      <c r="A6435" s="2"/>
      <c r="B6435" s="13"/>
      <c r="C6435" s="2"/>
      <c r="D6435" s="2"/>
      <c r="E6435" s="2"/>
      <c r="F6435" s="14"/>
      <c r="G6435" s="2"/>
      <c r="H6435" s="2"/>
    </row>
    <row r="6436">
      <c r="A6436" s="2"/>
      <c r="B6436" s="13"/>
      <c r="C6436" s="2"/>
      <c r="D6436" s="2"/>
      <c r="E6436" s="2"/>
      <c r="F6436" s="14"/>
      <c r="G6436" s="2"/>
      <c r="H6436" s="2"/>
    </row>
    <row r="6437">
      <c r="A6437" s="2"/>
      <c r="B6437" s="13"/>
      <c r="C6437" s="2"/>
      <c r="D6437" s="2"/>
      <c r="E6437" s="2"/>
      <c r="F6437" s="14"/>
      <c r="G6437" s="2"/>
      <c r="H6437" s="2"/>
    </row>
    <row r="6438">
      <c r="A6438" s="2"/>
      <c r="B6438" s="13"/>
      <c r="C6438" s="2"/>
      <c r="D6438" s="2"/>
      <c r="E6438" s="2"/>
      <c r="F6438" s="14"/>
      <c r="G6438" s="2"/>
      <c r="H6438" s="2"/>
    </row>
    <row r="6439">
      <c r="A6439" s="2"/>
      <c r="B6439" s="13"/>
      <c r="C6439" s="2"/>
      <c r="D6439" s="2"/>
      <c r="E6439" s="2"/>
      <c r="F6439" s="14"/>
      <c r="G6439" s="2"/>
      <c r="H6439" s="2"/>
    </row>
    <row r="6440">
      <c r="A6440" s="2"/>
      <c r="B6440" s="13"/>
      <c r="C6440" s="2"/>
      <c r="D6440" s="2"/>
      <c r="E6440" s="2"/>
      <c r="F6440" s="14"/>
      <c r="G6440" s="2"/>
      <c r="H6440" s="2"/>
    </row>
    <row r="6441">
      <c r="A6441" s="2"/>
      <c r="B6441" s="13"/>
      <c r="C6441" s="2"/>
      <c r="D6441" s="2"/>
      <c r="E6441" s="2"/>
      <c r="F6441" s="14"/>
      <c r="G6441" s="2"/>
      <c r="H6441" s="2"/>
    </row>
    <row r="6442">
      <c r="A6442" s="2"/>
      <c r="B6442" s="13"/>
      <c r="C6442" s="2"/>
      <c r="D6442" s="2"/>
      <c r="E6442" s="2"/>
      <c r="F6442" s="14"/>
      <c r="G6442" s="2"/>
      <c r="H6442" s="2"/>
    </row>
    <row r="6443">
      <c r="A6443" s="2"/>
      <c r="B6443" s="13"/>
      <c r="C6443" s="2"/>
      <c r="D6443" s="2"/>
      <c r="E6443" s="2"/>
      <c r="F6443" s="14"/>
      <c r="G6443" s="2"/>
      <c r="H6443" s="2"/>
    </row>
    <row r="6444">
      <c r="A6444" s="2"/>
      <c r="B6444" s="13"/>
      <c r="C6444" s="2"/>
      <c r="D6444" s="2"/>
      <c r="E6444" s="2"/>
      <c r="F6444" s="14"/>
      <c r="G6444" s="2"/>
      <c r="H6444" s="2"/>
    </row>
    <row r="6445">
      <c r="A6445" s="2"/>
      <c r="B6445" s="13"/>
      <c r="C6445" s="2"/>
      <c r="D6445" s="2"/>
      <c r="E6445" s="2"/>
      <c r="F6445" s="14"/>
      <c r="G6445" s="2"/>
      <c r="H6445" s="2"/>
    </row>
    <row r="6446">
      <c r="A6446" s="2"/>
      <c r="B6446" s="13"/>
      <c r="C6446" s="2"/>
      <c r="D6446" s="2"/>
      <c r="E6446" s="2"/>
      <c r="F6446" s="14"/>
      <c r="G6446" s="2"/>
      <c r="H6446" s="2"/>
    </row>
    <row r="6447">
      <c r="A6447" s="2"/>
      <c r="B6447" s="13"/>
      <c r="C6447" s="2"/>
      <c r="D6447" s="2"/>
      <c r="E6447" s="2"/>
      <c r="F6447" s="14"/>
      <c r="G6447" s="2"/>
      <c r="H6447" s="2"/>
    </row>
    <row r="6448">
      <c r="A6448" s="2"/>
      <c r="B6448" s="13"/>
      <c r="C6448" s="2"/>
      <c r="D6448" s="2"/>
      <c r="E6448" s="2"/>
      <c r="F6448" s="14"/>
      <c r="G6448" s="2"/>
      <c r="H6448" s="2"/>
    </row>
    <row r="6449">
      <c r="A6449" s="2"/>
      <c r="B6449" s="13"/>
      <c r="C6449" s="2"/>
      <c r="D6449" s="2"/>
      <c r="E6449" s="2"/>
      <c r="F6449" s="14"/>
      <c r="G6449" s="2"/>
      <c r="H6449" s="2"/>
    </row>
    <row r="6450">
      <c r="A6450" s="2"/>
      <c r="B6450" s="13"/>
      <c r="C6450" s="2"/>
      <c r="D6450" s="2"/>
      <c r="E6450" s="2"/>
      <c r="F6450" s="14"/>
      <c r="G6450" s="2"/>
      <c r="H6450" s="2"/>
    </row>
    <row r="6451">
      <c r="A6451" s="2"/>
      <c r="B6451" s="13"/>
      <c r="C6451" s="2"/>
      <c r="D6451" s="2"/>
      <c r="E6451" s="2"/>
      <c r="F6451" s="14"/>
      <c r="G6451" s="2"/>
      <c r="H6451" s="2"/>
    </row>
    <row r="6452">
      <c r="A6452" s="2"/>
      <c r="B6452" s="13"/>
      <c r="C6452" s="2"/>
      <c r="D6452" s="2"/>
      <c r="E6452" s="2"/>
      <c r="F6452" s="14"/>
      <c r="G6452" s="2"/>
      <c r="H6452" s="2"/>
    </row>
    <row r="6453">
      <c r="A6453" s="2"/>
      <c r="B6453" s="13"/>
      <c r="C6453" s="2"/>
      <c r="D6453" s="2"/>
      <c r="E6453" s="2"/>
      <c r="F6453" s="14"/>
      <c r="G6453" s="2"/>
      <c r="H6453" s="2"/>
    </row>
    <row r="6454">
      <c r="A6454" s="2"/>
      <c r="B6454" s="13"/>
      <c r="C6454" s="2"/>
      <c r="D6454" s="2"/>
      <c r="E6454" s="2"/>
      <c r="F6454" s="14"/>
      <c r="G6454" s="2"/>
      <c r="H6454" s="2"/>
    </row>
    <row r="6455">
      <c r="A6455" s="2"/>
      <c r="B6455" s="13"/>
      <c r="C6455" s="2"/>
      <c r="D6455" s="2"/>
      <c r="E6455" s="2"/>
      <c r="F6455" s="14"/>
      <c r="G6455" s="2"/>
      <c r="H6455" s="2"/>
    </row>
    <row r="6456">
      <c r="A6456" s="2"/>
      <c r="B6456" s="13"/>
      <c r="C6456" s="2"/>
      <c r="D6456" s="2"/>
      <c r="E6456" s="2"/>
      <c r="F6456" s="14"/>
      <c r="G6456" s="2"/>
      <c r="H6456" s="2"/>
    </row>
    <row r="6457">
      <c r="A6457" s="2"/>
      <c r="B6457" s="13"/>
      <c r="C6457" s="2"/>
      <c r="D6457" s="2"/>
      <c r="E6457" s="2"/>
      <c r="F6457" s="14"/>
      <c r="G6457" s="2"/>
      <c r="H6457" s="2"/>
    </row>
    <row r="6458">
      <c r="A6458" s="2"/>
      <c r="B6458" s="13"/>
      <c r="C6458" s="2"/>
      <c r="D6458" s="2"/>
      <c r="E6458" s="2"/>
      <c r="F6458" s="14"/>
      <c r="G6458" s="2"/>
      <c r="H6458" s="2"/>
    </row>
    <row r="6459">
      <c r="A6459" s="2"/>
      <c r="B6459" s="13"/>
      <c r="C6459" s="2"/>
      <c r="D6459" s="2"/>
      <c r="E6459" s="2"/>
      <c r="F6459" s="14"/>
      <c r="G6459" s="2"/>
      <c r="H6459" s="2"/>
    </row>
    <row r="6460">
      <c r="A6460" s="2"/>
      <c r="B6460" s="13"/>
      <c r="C6460" s="2"/>
      <c r="D6460" s="2"/>
      <c r="E6460" s="2"/>
      <c r="F6460" s="14"/>
      <c r="G6460" s="2"/>
      <c r="H6460" s="2"/>
    </row>
    <row r="6461">
      <c r="A6461" s="2"/>
      <c r="B6461" s="13"/>
      <c r="C6461" s="2"/>
      <c r="D6461" s="2"/>
      <c r="E6461" s="2"/>
      <c r="F6461" s="14"/>
      <c r="G6461" s="2"/>
      <c r="H6461" s="2"/>
    </row>
    <row r="6462">
      <c r="A6462" s="2"/>
      <c r="B6462" s="13"/>
      <c r="C6462" s="2"/>
      <c r="D6462" s="2"/>
      <c r="E6462" s="2"/>
      <c r="F6462" s="14"/>
      <c r="G6462" s="2"/>
      <c r="H6462" s="2"/>
    </row>
    <row r="6463">
      <c r="A6463" s="2"/>
      <c r="B6463" s="13"/>
      <c r="C6463" s="2"/>
      <c r="D6463" s="2"/>
      <c r="E6463" s="2"/>
      <c r="F6463" s="14"/>
      <c r="G6463" s="2"/>
      <c r="H6463" s="2"/>
    </row>
    <row r="6464">
      <c r="A6464" s="2"/>
      <c r="B6464" s="13"/>
      <c r="C6464" s="2"/>
      <c r="D6464" s="2"/>
      <c r="E6464" s="2"/>
      <c r="F6464" s="14"/>
      <c r="G6464" s="2"/>
      <c r="H6464" s="2"/>
    </row>
    <row r="6465">
      <c r="A6465" s="2"/>
      <c r="B6465" s="13"/>
      <c r="C6465" s="2"/>
      <c r="D6465" s="2"/>
      <c r="E6465" s="2"/>
      <c r="F6465" s="14"/>
      <c r="G6465" s="2"/>
      <c r="H6465" s="2"/>
    </row>
    <row r="6466">
      <c r="A6466" s="2"/>
      <c r="B6466" s="13"/>
      <c r="C6466" s="2"/>
      <c r="D6466" s="2"/>
      <c r="E6466" s="2"/>
      <c r="F6466" s="14"/>
      <c r="G6466" s="2"/>
      <c r="H6466" s="2"/>
    </row>
    <row r="6467">
      <c r="A6467" s="2"/>
      <c r="B6467" s="13"/>
      <c r="C6467" s="2"/>
      <c r="D6467" s="2"/>
      <c r="E6467" s="2"/>
      <c r="F6467" s="14"/>
      <c r="G6467" s="2"/>
      <c r="H6467" s="2"/>
    </row>
    <row r="6468">
      <c r="A6468" s="2"/>
      <c r="B6468" s="13"/>
      <c r="C6468" s="2"/>
      <c r="D6468" s="2"/>
      <c r="E6468" s="2"/>
      <c r="F6468" s="14"/>
      <c r="G6468" s="2"/>
      <c r="H6468" s="2"/>
    </row>
    <row r="6469">
      <c r="A6469" s="2"/>
      <c r="B6469" s="13"/>
      <c r="C6469" s="2"/>
      <c r="D6469" s="2"/>
      <c r="E6469" s="2"/>
      <c r="F6469" s="14"/>
      <c r="G6469" s="2"/>
      <c r="H6469" s="2"/>
    </row>
    <row r="6470">
      <c r="A6470" s="2"/>
      <c r="B6470" s="13"/>
      <c r="C6470" s="2"/>
      <c r="D6470" s="2"/>
      <c r="E6470" s="2"/>
      <c r="F6470" s="14"/>
      <c r="G6470" s="2"/>
      <c r="H6470" s="2"/>
    </row>
    <row r="6471">
      <c r="A6471" s="2"/>
      <c r="B6471" s="13"/>
      <c r="C6471" s="2"/>
      <c r="D6471" s="2"/>
      <c r="E6471" s="2"/>
      <c r="F6471" s="14"/>
      <c r="G6471" s="2"/>
      <c r="H6471" s="2"/>
    </row>
    <row r="6472">
      <c r="A6472" s="2"/>
      <c r="B6472" s="13"/>
      <c r="C6472" s="2"/>
      <c r="D6472" s="2"/>
      <c r="E6472" s="2"/>
      <c r="F6472" s="14"/>
      <c r="G6472" s="2"/>
      <c r="H6472" s="2"/>
    </row>
    <row r="6473">
      <c r="A6473" s="2"/>
      <c r="B6473" s="13"/>
      <c r="C6473" s="2"/>
      <c r="D6473" s="2"/>
      <c r="E6473" s="2"/>
      <c r="F6473" s="14"/>
      <c r="G6473" s="2"/>
      <c r="H6473" s="2"/>
    </row>
    <row r="6474">
      <c r="A6474" s="2"/>
      <c r="B6474" s="13"/>
      <c r="C6474" s="2"/>
      <c r="D6474" s="2"/>
      <c r="E6474" s="2"/>
      <c r="F6474" s="14"/>
      <c r="G6474" s="2"/>
      <c r="H6474" s="2"/>
    </row>
    <row r="6475">
      <c r="A6475" s="2"/>
      <c r="B6475" s="13"/>
      <c r="C6475" s="2"/>
      <c r="D6475" s="2"/>
      <c r="E6475" s="2"/>
      <c r="F6475" s="14"/>
      <c r="G6475" s="2"/>
      <c r="H6475" s="2"/>
    </row>
    <row r="6476">
      <c r="A6476" s="2"/>
      <c r="B6476" s="13"/>
      <c r="C6476" s="2"/>
      <c r="D6476" s="2"/>
      <c r="E6476" s="2"/>
      <c r="F6476" s="14"/>
      <c r="G6476" s="2"/>
      <c r="H6476" s="2"/>
    </row>
    <row r="6477">
      <c r="A6477" s="2"/>
      <c r="B6477" s="13"/>
      <c r="C6477" s="2"/>
      <c r="D6477" s="2"/>
      <c r="E6477" s="2"/>
      <c r="F6477" s="14"/>
      <c r="G6477" s="2"/>
      <c r="H6477" s="2"/>
    </row>
    <row r="6478">
      <c r="A6478" s="2"/>
      <c r="B6478" s="13"/>
      <c r="C6478" s="2"/>
      <c r="D6478" s="2"/>
      <c r="E6478" s="2"/>
      <c r="F6478" s="14"/>
      <c r="G6478" s="2"/>
      <c r="H6478" s="2"/>
    </row>
    <row r="6479">
      <c r="A6479" s="2"/>
      <c r="B6479" s="13"/>
      <c r="C6479" s="2"/>
      <c r="D6479" s="2"/>
      <c r="E6479" s="2"/>
      <c r="F6479" s="14"/>
      <c r="G6479" s="2"/>
      <c r="H6479" s="2"/>
    </row>
    <row r="6480">
      <c r="A6480" s="2"/>
      <c r="B6480" s="13"/>
      <c r="C6480" s="2"/>
      <c r="D6480" s="2"/>
      <c r="E6480" s="2"/>
      <c r="F6480" s="14"/>
      <c r="G6480" s="2"/>
      <c r="H6480" s="2"/>
    </row>
    <row r="6481">
      <c r="A6481" s="2"/>
      <c r="B6481" s="13"/>
      <c r="C6481" s="2"/>
      <c r="D6481" s="2"/>
      <c r="E6481" s="2"/>
      <c r="F6481" s="14"/>
      <c r="G6481" s="2"/>
      <c r="H6481" s="2"/>
    </row>
    <row r="6482">
      <c r="A6482" s="2"/>
      <c r="B6482" s="13"/>
      <c r="C6482" s="2"/>
      <c r="D6482" s="2"/>
      <c r="E6482" s="2"/>
      <c r="F6482" s="14"/>
      <c r="G6482" s="2"/>
      <c r="H6482" s="2"/>
    </row>
    <row r="6483">
      <c r="A6483" s="2"/>
      <c r="B6483" s="13"/>
      <c r="C6483" s="2"/>
      <c r="D6483" s="2"/>
      <c r="E6483" s="2"/>
      <c r="F6483" s="14"/>
      <c r="G6483" s="2"/>
      <c r="H6483" s="2"/>
    </row>
    <row r="6484">
      <c r="A6484" s="2"/>
      <c r="B6484" s="13"/>
      <c r="C6484" s="2"/>
      <c r="D6484" s="2"/>
      <c r="E6484" s="2"/>
      <c r="F6484" s="14"/>
      <c r="G6484" s="2"/>
      <c r="H6484" s="2"/>
    </row>
    <row r="6485">
      <c r="A6485" s="2"/>
      <c r="B6485" s="13"/>
      <c r="C6485" s="2"/>
      <c r="D6485" s="2"/>
      <c r="E6485" s="2"/>
      <c r="F6485" s="14"/>
      <c r="G6485" s="2"/>
      <c r="H6485" s="2"/>
    </row>
    <row r="6486">
      <c r="A6486" s="2"/>
      <c r="B6486" s="13"/>
      <c r="C6486" s="2"/>
      <c r="D6486" s="2"/>
      <c r="E6486" s="2"/>
      <c r="F6486" s="14"/>
      <c r="G6486" s="2"/>
      <c r="H6486" s="2"/>
    </row>
    <row r="6487">
      <c r="A6487" s="2"/>
      <c r="B6487" s="13"/>
      <c r="C6487" s="2"/>
      <c r="D6487" s="2"/>
      <c r="E6487" s="2"/>
      <c r="F6487" s="14"/>
      <c r="G6487" s="2"/>
      <c r="H6487" s="2"/>
    </row>
    <row r="6488">
      <c r="A6488" s="2"/>
      <c r="B6488" s="13"/>
      <c r="C6488" s="2"/>
      <c r="D6488" s="2"/>
      <c r="E6488" s="2"/>
      <c r="F6488" s="14"/>
      <c r="G6488" s="2"/>
      <c r="H6488" s="2"/>
    </row>
    <row r="6489">
      <c r="A6489" s="2"/>
      <c r="B6489" s="13"/>
      <c r="C6489" s="2"/>
      <c r="D6489" s="2"/>
      <c r="E6489" s="2"/>
      <c r="F6489" s="14"/>
      <c r="G6489" s="2"/>
      <c r="H6489" s="2"/>
    </row>
    <row r="6490">
      <c r="A6490" s="2"/>
      <c r="B6490" s="13"/>
      <c r="C6490" s="2"/>
      <c r="D6490" s="2"/>
      <c r="E6490" s="2"/>
      <c r="F6490" s="14"/>
      <c r="G6490" s="2"/>
      <c r="H6490" s="2"/>
    </row>
    <row r="6491">
      <c r="A6491" s="2"/>
      <c r="B6491" s="13"/>
      <c r="C6491" s="2"/>
      <c r="D6491" s="2"/>
      <c r="E6491" s="2"/>
      <c r="F6491" s="14"/>
      <c r="G6491" s="2"/>
      <c r="H6491" s="2"/>
    </row>
    <row r="6492">
      <c r="A6492" s="2"/>
      <c r="B6492" s="13"/>
      <c r="C6492" s="2"/>
      <c r="D6492" s="2"/>
      <c r="E6492" s="2"/>
      <c r="F6492" s="14"/>
      <c r="G6492" s="2"/>
      <c r="H6492" s="2"/>
    </row>
    <row r="6493">
      <c r="A6493" s="2"/>
      <c r="B6493" s="13"/>
      <c r="C6493" s="2"/>
      <c r="D6493" s="2"/>
      <c r="E6493" s="2"/>
      <c r="F6493" s="14"/>
      <c r="G6493" s="2"/>
      <c r="H6493" s="2"/>
    </row>
    <row r="6494">
      <c r="A6494" s="2"/>
      <c r="B6494" s="13"/>
      <c r="C6494" s="2"/>
      <c r="D6494" s="2"/>
      <c r="E6494" s="2"/>
      <c r="F6494" s="14"/>
      <c r="G6494" s="2"/>
      <c r="H6494" s="2"/>
    </row>
    <row r="6495">
      <c r="A6495" s="2"/>
      <c r="B6495" s="13"/>
      <c r="C6495" s="2"/>
      <c r="D6495" s="2"/>
      <c r="E6495" s="2"/>
      <c r="F6495" s="14"/>
      <c r="G6495" s="2"/>
      <c r="H6495" s="2"/>
    </row>
    <row r="6496">
      <c r="A6496" s="2"/>
      <c r="B6496" s="13"/>
      <c r="C6496" s="2"/>
      <c r="D6496" s="2"/>
      <c r="E6496" s="2"/>
      <c r="F6496" s="14"/>
      <c r="G6496" s="2"/>
      <c r="H6496" s="2"/>
    </row>
    <row r="6497">
      <c r="A6497" s="2"/>
      <c r="B6497" s="13"/>
      <c r="C6497" s="2"/>
      <c r="D6497" s="2"/>
      <c r="E6497" s="2"/>
      <c r="F6497" s="14"/>
      <c r="G6497" s="2"/>
      <c r="H6497" s="2"/>
    </row>
    <row r="6498">
      <c r="A6498" s="2"/>
      <c r="B6498" s="13"/>
      <c r="C6498" s="2"/>
      <c r="D6498" s="2"/>
      <c r="E6498" s="2"/>
      <c r="F6498" s="14"/>
      <c r="G6498" s="2"/>
      <c r="H6498" s="2"/>
    </row>
    <row r="6499">
      <c r="A6499" s="2"/>
      <c r="B6499" s="13"/>
      <c r="C6499" s="2"/>
      <c r="D6499" s="2"/>
      <c r="E6499" s="2"/>
      <c r="F6499" s="14"/>
      <c r="G6499" s="2"/>
      <c r="H6499" s="2"/>
    </row>
    <row r="6500">
      <c r="A6500" s="2"/>
      <c r="B6500" s="13"/>
      <c r="C6500" s="2"/>
      <c r="D6500" s="2"/>
      <c r="E6500" s="2"/>
      <c r="F6500" s="14"/>
      <c r="G6500" s="2"/>
      <c r="H6500" s="2"/>
    </row>
    <row r="6501">
      <c r="A6501" s="2"/>
      <c r="B6501" s="13"/>
      <c r="C6501" s="2"/>
      <c r="D6501" s="2"/>
      <c r="E6501" s="2"/>
      <c r="F6501" s="14"/>
      <c r="G6501" s="2"/>
      <c r="H6501" s="2"/>
    </row>
    <row r="6502">
      <c r="A6502" s="2"/>
      <c r="B6502" s="13"/>
      <c r="C6502" s="2"/>
      <c r="D6502" s="2"/>
      <c r="E6502" s="2"/>
      <c r="F6502" s="14"/>
      <c r="G6502" s="2"/>
      <c r="H6502" s="2"/>
    </row>
    <row r="6503">
      <c r="A6503" s="2"/>
      <c r="B6503" s="13"/>
      <c r="C6503" s="2"/>
      <c r="D6503" s="2"/>
      <c r="E6503" s="2"/>
      <c r="F6503" s="14"/>
      <c r="G6503" s="2"/>
      <c r="H6503" s="2"/>
    </row>
    <row r="6504">
      <c r="A6504" s="2"/>
      <c r="B6504" s="13"/>
      <c r="C6504" s="2"/>
      <c r="D6504" s="2"/>
      <c r="E6504" s="2"/>
      <c r="F6504" s="14"/>
      <c r="G6504" s="2"/>
      <c r="H6504" s="2"/>
    </row>
    <row r="6505">
      <c r="A6505" s="2"/>
      <c r="B6505" s="13"/>
      <c r="C6505" s="2"/>
      <c r="D6505" s="2"/>
      <c r="E6505" s="2"/>
      <c r="F6505" s="14"/>
      <c r="G6505" s="2"/>
      <c r="H6505" s="2"/>
    </row>
    <row r="6506">
      <c r="A6506" s="2"/>
      <c r="B6506" s="13"/>
      <c r="C6506" s="2"/>
      <c r="D6506" s="2"/>
      <c r="E6506" s="2"/>
      <c r="F6506" s="14"/>
      <c r="G6506" s="2"/>
      <c r="H6506" s="2"/>
    </row>
    <row r="6507">
      <c r="A6507" s="2"/>
      <c r="B6507" s="13"/>
      <c r="C6507" s="2"/>
      <c r="D6507" s="2"/>
      <c r="E6507" s="2"/>
      <c r="F6507" s="14"/>
      <c r="G6507" s="2"/>
      <c r="H6507" s="2"/>
    </row>
    <row r="6508">
      <c r="A6508" s="2"/>
      <c r="B6508" s="13"/>
      <c r="C6508" s="2"/>
      <c r="D6508" s="2"/>
      <c r="E6508" s="2"/>
      <c r="F6508" s="14"/>
      <c r="G6508" s="2"/>
      <c r="H6508" s="2"/>
    </row>
    <row r="6509">
      <c r="A6509" s="2"/>
      <c r="B6509" s="13"/>
      <c r="C6509" s="2"/>
      <c r="D6509" s="2"/>
      <c r="E6509" s="2"/>
      <c r="F6509" s="14"/>
      <c r="G6509" s="2"/>
      <c r="H6509" s="2"/>
    </row>
    <row r="6510">
      <c r="A6510" s="2"/>
      <c r="B6510" s="13"/>
      <c r="C6510" s="2"/>
      <c r="D6510" s="2"/>
      <c r="E6510" s="2"/>
      <c r="F6510" s="14"/>
      <c r="G6510" s="2"/>
      <c r="H6510" s="2"/>
    </row>
    <row r="6511">
      <c r="A6511" s="2"/>
      <c r="B6511" s="13"/>
      <c r="C6511" s="2"/>
      <c r="D6511" s="2"/>
      <c r="E6511" s="2"/>
      <c r="F6511" s="14"/>
      <c r="G6511" s="2"/>
      <c r="H6511" s="2"/>
    </row>
    <row r="6512">
      <c r="A6512" s="2"/>
      <c r="B6512" s="13"/>
      <c r="C6512" s="2"/>
      <c r="D6512" s="2"/>
      <c r="E6512" s="2"/>
      <c r="F6512" s="14"/>
      <c r="G6512" s="2"/>
      <c r="H6512" s="2"/>
    </row>
    <row r="6513">
      <c r="A6513" s="2"/>
      <c r="B6513" s="13"/>
      <c r="C6513" s="2"/>
      <c r="D6513" s="2"/>
      <c r="E6513" s="2"/>
      <c r="F6513" s="14"/>
      <c r="G6513" s="2"/>
      <c r="H6513" s="2"/>
    </row>
    <row r="6514">
      <c r="A6514" s="2"/>
      <c r="B6514" s="13"/>
      <c r="C6514" s="2"/>
      <c r="D6514" s="2"/>
      <c r="E6514" s="2"/>
      <c r="F6514" s="14"/>
      <c r="G6514" s="2"/>
      <c r="H6514" s="2"/>
    </row>
    <row r="6515">
      <c r="A6515" s="2"/>
      <c r="B6515" s="13"/>
      <c r="C6515" s="2"/>
      <c r="D6515" s="2"/>
      <c r="E6515" s="2"/>
      <c r="F6515" s="14"/>
      <c r="G6515" s="2"/>
      <c r="H6515" s="2"/>
    </row>
    <row r="6516">
      <c r="A6516" s="2"/>
      <c r="B6516" s="13"/>
      <c r="C6516" s="2"/>
      <c r="D6516" s="2"/>
      <c r="E6516" s="2"/>
      <c r="F6516" s="14"/>
      <c r="G6516" s="2"/>
      <c r="H6516" s="2"/>
    </row>
    <row r="6517">
      <c r="A6517" s="2"/>
      <c r="B6517" s="13"/>
      <c r="C6517" s="2"/>
      <c r="D6517" s="2"/>
      <c r="E6517" s="2"/>
      <c r="F6517" s="14"/>
      <c r="G6517" s="2"/>
      <c r="H6517" s="2"/>
    </row>
    <row r="6518">
      <c r="A6518" s="2"/>
      <c r="B6518" s="13"/>
      <c r="C6518" s="2"/>
      <c r="D6518" s="2"/>
      <c r="E6518" s="2"/>
      <c r="F6518" s="14"/>
      <c r="G6518" s="2"/>
      <c r="H6518" s="2"/>
    </row>
    <row r="6519">
      <c r="A6519" s="2"/>
      <c r="B6519" s="13"/>
      <c r="C6519" s="2"/>
      <c r="D6519" s="2"/>
      <c r="E6519" s="2"/>
      <c r="F6519" s="14"/>
      <c r="G6519" s="2"/>
      <c r="H6519" s="2"/>
    </row>
    <row r="6520">
      <c r="A6520" s="2"/>
      <c r="B6520" s="13"/>
      <c r="C6520" s="2"/>
      <c r="D6520" s="2"/>
      <c r="E6520" s="2"/>
      <c r="F6520" s="14"/>
      <c r="G6520" s="2"/>
      <c r="H6520" s="2"/>
    </row>
    <row r="6521">
      <c r="A6521" s="2"/>
      <c r="B6521" s="13"/>
      <c r="C6521" s="2"/>
      <c r="D6521" s="2"/>
      <c r="E6521" s="2"/>
      <c r="F6521" s="14"/>
      <c r="G6521" s="2"/>
      <c r="H6521" s="2"/>
    </row>
    <row r="6522">
      <c r="A6522" s="2"/>
      <c r="B6522" s="13"/>
      <c r="C6522" s="2"/>
      <c r="D6522" s="2"/>
      <c r="E6522" s="2"/>
      <c r="F6522" s="14"/>
      <c r="G6522" s="2"/>
      <c r="H6522" s="2"/>
    </row>
    <row r="6523">
      <c r="A6523" s="2"/>
      <c r="B6523" s="13"/>
      <c r="C6523" s="2"/>
      <c r="D6523" s="2"/>
      <c r="E6523" s="2"/>
      <c r="F6523" s="14"/>
      <c r="G6523" s="2"/>
      <c r="H6523" s="2"/>
    </row>
    <row r="6524">
      <c r="A6524" s="2"/>
      <c r="B6524" s="13"/>
      <c r="C6524" s="2"/>
      <c r="D6524" s="2"/>
      <c r="E6524" s="2"/>
      <c r="F6524" s="14"/>
      <c r="G6524" s="2"/>
      <c r="H6524" s="2"/>
    </row>
    <row r="6525">
      <c r="A6525" s="2"/>
      <c r="B6525" s="13"/>
      <c r="C6525" s="2"/>
      <c r="D6525" s="2"/>
      <c r="E6525" s="2"/>
      <c r="F6525" s="14"/>
      <c r="G6525" s="2"/>
      <c r="H6525" s="2"/>
    </row>
    <row r="6526">
      <c r="A6526" s="2"/>
      <c r="B6526" s="13"/>
      <c r="C6526" s="2"/>
      <c r="D6526" s="2"/>
      <c r="E6526" s="2"/>
      <c r="F6526" s="14"/>
      <c r="G6526" s="2"/>
      <c r="H6526" s="2"/>
    </row>
    <row r="6527">
      <c r="A6527" s="2"/>
      <c r="B6527" s="13"/>
      <c r="C6527" s="2"/>
      <c r="D6527" s="2"/>
      <c r="E6527" s="2"/>
      <c r="F6527" s="14"/>
      <c r="G6527" s="2"/>
      <c r="H6527" s="2"/>
    </row>
    <row r="6528">
      <c r="A6528" s="2"/>
      <c r="B6528" s="13"/>
      <c r="C6528" s="2"/>
      <c r="D6528" s="2"/>
      <c r="E6528" s="2"/>
      <c r="F6528" s="14"/>
      <c r="G6528" s="2"/>
      <c r="H6528" s="2"/>
    </row>
    <row r="6529">
      <c r="A6529" s="2"/>
      <c r="B6529" s="13"/>
      <c r="C6529" s="2"/>
      <c r="D6529" s="2"/>
      <c r="E6529" s="2"/>
      <c r="F6529" s="14"/>
      <c r="G6529" s="2"/>
      <c r="H6529" s="2"/>
    </row>
    <row r="6530">
      <c r="A6530" s="2"/>
      <c r="B6530" s="13"/>
      <c r="C6530" s="2"/>
      <c r="D6530" s="2"/>
      <c r="E6530" s="2"/>
      <c r="F6530" s="14"/>
      <c r="G6530" s="2"/>
      <c r="H6530" s="2"/>
    </row>
    <row r="6531">
      <c r="A6531" s="2"/>
      <c r="B6531" s="13"/>
      <c r="C6531" s="2"/>
      <c r="D6531" s="2"/>
      <c r="E6531" s="2"/>
      <c r="F6531" s="14"/>
      <c r="G6531" s="2"/>
      <c r="H6531" s="2"/>
    </row>
    <row r="6532">
      <c r="A6532" s="2"/>
      <c r="B6532" s="13"/>
      <c r="C6532" s="2"/>
      <c r="D6532" s="2"/>
      <c r="E6532" s="2"/>
      <c r="F6532" s="14"/>
      <c r="G6532" s="2"/>
      <c r="H6532" s="2"/>
    </row>
    <row r="6533">
      <c r="A6533" s="2"/>
      <c r="B6533" s="13"/>
      <c r="C6533" s="2"/>
      <c r="D6533" s="2"/>
      <c r="E6533" s="2"/>
      <c r="F6533" s="14"/>
      <c r="G6533" s="2"/>
      <c r="H6533" s="2"/>
    </row>
    <row r="6534">
      <c r="A6534" s="2"/>
      <c r="B6534" s="13"/>
      <c r="C6534" s="2"/>
      <c r="D6534" s="2"/>
      <c r="E6534" s="2"/>
      <c r="F6534" s="14"/>
      <c r="G6534" s="2"/>
      <c r="H6534" s="2"/>
    </row>
    <row r="6535">
      <c r="A6535" s="2"/>
      <c r="B6535" s="13"/>
      <c r="C6535" s="2"/>
      <c r="D6535" s="2"/>
      <c r="E6535" s="2"/>
      <c r="F6535" s="14"/>
      <c r="G6535" s="2"/>
      <c r="H6535" s="2"/>
    </row>
    <row r="6536">
      <c r="A6536" s="2"/>
      <c r="B6536" s="13"/>
      <c r="C6536" s="2"/>
      <c r="D6536" s="2"/>
      <c r="E6536" s="2"/>
      <c r="F6536" s="14"/>
      <c r="G6536" s="2"/>
      <c r="H6536" s="2"/>
    </row>
    <row r="6537">
      <c r="A6537" s="2"/>
      <c r="B6537" s="13"/>
      <c r="C6537" s="2"/>
      <c r="D6537" s="2"/>
      <c r="E6537" s="2"/>
      <c r="F6537" s="14"/>
      <c r="G6537" s="2"/>
      <c r="H6537" s="2"/>
    </row>
    <row r="6538">
      <c r="A6538" s="2"/>
      <c r="B6538" s="13"/>
      <c r="C6538" s="2"/>
      <c r="D6538" s="2"/>
      <c r="E6538" s="2"/>
      <c r="F6538" s="14"/>
      <c r="G6538" s="2"/>
      <c r="H6538" s="2"/>
    </row>
    <row r="6539">
      <c r="A6539" s="2"/>
      <c r="B6539" s="13"/>
      <c r="C6539" s="2"/>
      <c r="D6539" s="2"/>
      <c r="E6539" s="2"/>
      <c r="F6539" s="14"/>
      <c r="G6539" s="2"/>
      <c r="H6539" s="2"/>
    </row>
    <row r="6540">
      <c r="A6540" s="2"/>
      <c r="B6540" s="13"/>
      <c r="C6540" s="2"/>
      <c r="D6540" s="2"/>
      <c r="E6540" s="2"/>
      <c r="F6540" s="14"/>
      <c r="G6540" s="2"/>
      <c r="H6540" s="2"/>
    </row>
    <row r="6541">
      <c r="A6541" s="2"/>
      <c r="B6541" s="13"/>
      <c r="C6541" s="2"/>
      <c r="D6541" s="2"/>
      <c r="E6541" s="2"/>
      <c r="F6541" s="14"/>
      <c r="G6541" s="2"/>
      <c r="H6541" s="2"/>
    </row>
    <row r="6542">
      <c r="A6542" s="2"/>
      <c r="B6542" s="13"/>
      <c r="C6542" s="2"/>
      <c r="D6542" s="2"/>
      <c r="E6542" s="2"/>
      <c r="F6542" s="14"/>
      <c r="G6542" s="2"/>
      <c r="H6542" s="2"/>
    </row>
    <row r="6543">
      <c r="A6543" s="2"/>
      <c r="B6543" s="13"/>
      <c r="C6543" s="2"/>
      <c r="D6543" s="2"/>
      <c r="E6543" s="2"/>
      <c r="F6543" s="14"/>
      <c r="G6543" s="2"/>
      <c r="H6543" s="2"/>
    </row>
    <row r="6544">
      <c r="A6544" s="2"/>
      <c r="B6544" s="13"/>
      <c r="C6544" s="2"/>
      <c r="D6544" s="2"/>
      <c r="E6544" s="2"/>
      <c r="F6544" s="14"/>
      <c r="G6544" s="2"/>
      <c r="H6544" s="2"/>
    </row>
    <row r="6545">
      <c r="A6545" s="2"/>
      <c r="B6545" s="13"/>
      <c r="C6545" s="2"/>
      <c r="D6545" s="2"/>
      <c r="E6545" s="2"/>
      <c r="F6545" s="14"/>
      <c r="G6545" s="2"/>
      <c r="H6545" s="2"/>
    </row>
    <row r="6546">
      <c r="A6546" s="2"/>
      <c r="B6546" s="13"/>
      <c r="C6546" s="2"/>
      <c r="D6546" s="2"/>
      <c r="E6546" s="2"/>
      <c r="F6546" s="14"/>
      <c r="G6546" s="2"/>
      <c r="H6546" s="2"/>
    </row>
    <row r="6547">
      <c r="A6547" s="2"/>
      <c r="B6547" s="13"/>
      <c r="C6547" s="2"/>
      <c r="D6547" s="2"/>
      <c r="E6547" s="2"/>
      <c r="F6547" s="14"/>
      <c r="G6547" s="2"/>
      <c r="H6547" s="2"/>
    </row>
    <row r="6548">
      <c r="A6548" s="2"/>
      <c r="B6548" s="13"/>
      <c r="C6548" s="2"/>
      <c r="D6548" s="2"/>
      <c r="E6548" s="2"/>
      <c r="F6548" s="14"/>
      <c r="G6548" s="2"/>
      <c r="H6548" s="2"/>
    </row>
    <row r="6549">
      <c r="A6549" s="2"/>
      <c r="B6549" s="13"/>
      <c r="C6549" s="2"/>
      <c r="D6549" s="2"/>
      <c r="E6549" s="2"/>
      <c r="F6549" s="14"/>
      <c r="G6549" s="2"/>
      <c r="H6549" s="2"/>
    </row>
    <row r="6550">
      <c r="A6550" s="2"/>
      <c r="B6550" s="13"/>
      <c r="C6550" s="2"/>
      <c r="D6550" s="2"/>
      <c r="E6550" s="2"/>
      <c r="F6550" s="14"/>
      <c r="G6550" s="2"/>
      <c r="H6550" s="2"/>
    </row>
    <row r="6551">
      <c r="A6551" s="2"/>
      <c r="B6551" s="13"/>
      <c r="C6551" s="2"/>
      <c r="D6551" s="2"/>
      <c r="E6551" s="2"/>
      <c r="F6551" s="14"/>
      <c r="G6551" s="2"/>
      <c r="H6551" s="2"/>
    </row>
    <row r="6552">
      <c r="A6552" s="2"/>
      <c r="B6552" s="13"/>
      <c r="C6552" s="2"/>
      <c r="D6552" s="2"/>
      <c r="E6552" s="2"/>
      <c r="F6552" s="14"/>
      <c r="G6552" s="2"/>
      <c r="H6552" s="2"/>
    </row>
    <row r="6553">
      <c r="A6553" s="2"/>
      <c r="B6553" s="13"/>
      <c r="C6553" s="2"/>
      <c r="D6553" s="2"/>
      <c r="E6553" s="2"/>
      <c r="F6553" s="14"/>
      <c r="G6553" s="2"/>
      <c r="H6553" s="2"/>
    </row>
    <row r="6554">
      <c r="A6554" s="2"/>
      <c r="B6554" s="13"/>
      <c r="C6554" s="2"/>
      <c r="D6554" s="2"/>
      <c r="E6554" s="2"/>
      <c r="F6554" s="14"/>
      <c r="G6554" s="2"/>
      <c r="H6554" s="2"/>
    </row>
    <row r="6555">
      <c r="A6555" s="2"/>
      <c r="B6555" s="13"/>
      <c r="C6555" s="2"/>
      <c r="D6555" s="2"/>
      <c r="E6555" s="2"/>
      <c r="F6555" s="14"/>
      <c r="G6555" s="2"/>
      <c r="H6555" s="2"/>
    </row>
    <row r="6556">
      <c r="A6556" s="2"/>
      <c r="B6556" s="13"/>
      <c r="C6556" s="2"/>
      <c r="D6556" s="2"/>
      <c r="E6556" s="2"/>
      <c r="F6556" s="14"/>
      <c r="G6556" s="2"/>
      <c r="H6556" s="2"/>
    </row>
    <row r="6557">
      <c r="A6557" s="2"/>
      <c r="B6557" s="13"/>
      <c r="C6557" s="2"/>
      <c r="D6557" s="2"/>
      <c r="E6557" s="2"/>
      <c r="F6557" s="14"/>
      <c r="G6557" s="2"/>
      <c r="H6557" s="2"/>
    </row>
    <row r="6558">
      <c r="A6558" s="2"/>
      <c r="B6558" s="13"/>
      <c r="C6558" s="2"/>
      <c r="D6558" s="2"/>
      <c r="E6558" s="2"/>
      <c r="F6558" s="14"/>
      <c r="G6558" s="2"/>
      <c r="H6558" s="2"/>
    </row>
    <row r="6559">
      <c r="A6559" s="2"/>
      <c r="B6559" s="13"/>
      <c r="C6559" s="2"/>
      <c r="D6559" s="2"/>
      <c r="E6559" s="2"/>
      <c r="F6559" s="14"/>
      <c r="G6559" s="2"/>
      <c r="H6559" s="2"/>
    </row>
    <row r="6560">
      <c r="A6560" s="2"/>
      <c r="B6560" s="13"/>
      <c r="C6560" s="2"/>
      <c r="D6560" s="2"/>
      <c r="E6560" s="2"/>
      <c r="F6560" s="14"/>
      <c r="G6560" s="2"/>
      <c r="H6560" s="2"/>
    </row>
    <row r="6561">
      <c r="A6561" s="2"/>
      <c r="B6561" s="13"/>
      <c r="C6561" s="2"/>
      <c r="D6561" s="2"/>
      <c r="E6561" s="2"/>
      <c r="F6561" s="14"/>
      <c r="G6561" s="2"/>
      <c r="H6561" s="2"/>
    </row>
    <row r="6562">
      <c r="A6562" s="2"/>
      <c r="B6562" s="13"/>
      <c r="C6562" s="2"/>
      <c r="D6562" s="2"/>
      <c r="E6562" s="2"/>
      <c r="F6562" s="14"/>
      <c r="G6562" s="2"/>
      <c r="H6562" s="2"/>
    </row>
    <row r="6563">
      <c r="A6563" s="2"/>
      <c r="B6563" s="13"/>
      <c r="C6563" s="2"/>
      <c r="D6563" s="2"/>
      <c r="E6563" s="2"/>
      <c r="F6563" s="14"/>
      <c r="G6563" s="2"/>
      <c r="H6563" s="2"/>
    </row>
    <row r="6564">
      <c r="A6564" s="2"/>
      <c r="B6564" s="13"/>
      <c r="C6564" s="2"/>
      <c r="D6564" s="2"/>
      <c r="E6564" s="2"/>
      <c r="F6564" s="14"/>
      <c r="G6564" s="2"/>
      <c r="H6564" s="2"/>
    </row>
    <row r="6565">
      <c r="A6565" s="2"/>
      <c r="B6565" s="13"/>
      <c r="C6565" s="2"/>
      <c r="D6565" s="2"/>
      <c r="E6565" s="2"/>
      <c r="F6565" s="14"/>
      <c r="G6565" s="2"/>
      <c r="H6565" s="2"/>
    </row>
    <row r="6566">
      <c r="A6566" s="2"/>
      <c r="B6566" s="13"/>
      <c r="C6566" s="2"/>
      <c r="D6566" s="2"/>
      <c r="E6566" s="2"/>
      <c r="F6566" s="14"/>
      <c r="G6566" s="2"/>
      <c r="H6566" s="2"/>
    </row>
    <row r="6567">
      <c r="A6567" s="2"/>
      <c r="B6567" s="13"/>
      <c r="C6567" s="2"/>
      <c r="D6567" s="2"/>
      <c r="E6567" s="2"/>
      <c r="F6567" s="14"/>
      <c r="G6567" s="2"/>
      <c r="H6567" s="2"/>
    </row>
    <row r="6568">
      <c r="A6568" s="2"/>
      <c r="B6568" s="13"/>
      <c r="C6568" s="2"/>
      <c r="D6568" s="2"/>
      <c r="E6568" s="2"/>
      <c r="F6568" s="14"/>
      <c r="G6568" s="2"/>
      <c r="H6568" s="2"/>
    </row>
    <row r="6569">
      <c r="A6569" s="2"/>
      <c r="B6569" s="13"/>
      <c r="C6569" s="2"/>
      <c r="D6569" s="2"/>
      <c r="E6569" s="2"/>
      <c r="F6569" s="14"/>
      <c r="G6569" s="2"/>
      <c r="H6569" s="2"/>
    </row>
    <row r="6570">
      <c r="A6570" s="2"/>
      <c r="B6570" s="13"/>
      <c r="C6570" s="2"/>
      <c r="D6570" s="2"/>
      <c r="E6570" s="2"/>
      <c r="F6570" s="14"/>
      <c r="G6570" s="2"/>
      <c r="H6570" s="2"/>
    </row>
    <row r="6571">
      <c r="A6571" s="2"/>
      <c r="B6571" s="13"/>
      <c r="C6571" s="2"/>
      <c r="D6571" s="2"/>
      <c r="E6571" s="2"/>
      <c r="F6571" s="14"/>
      <c r="G6571" s="2"/>
      <c r="H6571" s="2"/>
    </row>
    <row r="6572">
      <c r="A6572" s="2"/>
      <c r="B6572" s="13"/>
      <c r="C6572" s="2"/>
      <c r="D6572" s="2"/>
      <c r="E6572" s="2"/>
      <c r="F6572" s="14"/>
      <c r="G6572" s="2"/>
      <c r="H6572" s="2"/>
    </row>
    <row r="6573">
      <c r="A6573" s="2"/>
      <c r="B6573" s="13"/>
      <c r="C6573" s="2"/>
      <c r="D6573" s="2"/>
      <c r="E6573" s="2"/>
      <c r="F6573" s="14"/>
      <c r="G6573" s="2"/>
      <c r="H6573" s="2"/>
    </row>
    <row r="6574">
      <c r="A6574" s="2"/>
      <c r="B6574" s="13"/>
      <c r="C6574" s="2"/>
      <c r="D6574" s="2"/>
      <c r="E6574" s="2"/>
      <c r="F6574" s="14"/>
      <c r="G6574" s="2"/>
      <c r="H6574" s="2"/>
    </row>
    <row r="6575">
      <c r="A6575" s="2"/>
      <c r="B6575" s="13"/>
      <c r="C6575" s="2"/>
      <c r="D6575" s="2"/>
      <c r="E6575" s="2"/>
      <c r="F6575" s="14"/>
      <c r="G6575" s="2"/>
      <c r="H6575" s="2"/>
    </row>
    <row r="6576">
      <c r="A6576" s="2"/>
      <c r="B6576" s="13"/>
      <c r="C6576" s="2"/>
      <c r="D6576" s="2"/>
      <c r="E6576" s="2"/>
      <c r="F6576" s="14"/>
      <c r="G6576" s="2"/>
      <c r="H6576" s="2"/>
    </row>
    <row r="6577">
      <c r="A6577" s="2"/>
      <c r="B6577" s="13"/>
      <c r="C6577" s="2"/>
      <c r="D6577" s="2"/>
      <c r="E6577" s="2"/>
      <c r="F6577" s="14"/>
      <c r="G6577" s="2"/>
      <c r="H6577" s="2"/>
    </row>
    <row r="6578">
      <c r="A6578" s="2"/>
      <c r="B6578" s="13"/>
      <c r="C6578" s="2"/>
      <c r="D6578" s="2"/>
      <c r="E6578" s="2"/>
      <c r="F6578" s="14"/>
      <c r="G6578" s="2"/>
      <c r="H6578" s="2"/>
    </row>
    <row r="6579">
      <c r="A6579" s="2"/>
      <c r="B6579" s="13"/>
      <c r="C6579" s="2"/>
      <c r="D6579" s="2"/>
      <c r="E6579" s="2"/>
      <c r="F6579" s="14"/>
      <c r="G6579" s="2"/>
      <c r="H6579" s="2"/>
    </row>
    <row r="6580">
      <c r="A6580" s="2"/>
      <c r="B6580" s="13"/>
      <c r="C6580" s="2"/>
      <c r="D6580" s="2"/>
      <c r="E6580" s="2"/>
      <c r="F6580" s="14"/>
      <c r="G6580" s="2"/>
      <c r="H6580" s="2"/>
    </row>
    <row r="6581">
      <c r="A6581" s="2"/>
      <c r="B6581" s="13"/>
      <c r="C6581" s="2"/>
      <c r="D6581" s="2"/>
      <c r="E6581" s="2"/>
      <c r="F6581" s="14"/>
      <c r="G6581" s="2"/>
      <c r="H6581" s="2"/>
    </row>
    <row r="6582">
      <c r="A6582" s="2"/>
      <c r="B6582" s="13"/>
      <c r="C6582" s="2"/>
      <c r="D6582" s="2"/>
      <c r="E6582" s="2"/>
      <c r="F6582" s="14"/>
      <c r="G6582" s="2"/>
      <c r="H6582" s="2"/>
    </row>
    <row r="6583">
      <c r="A6583" s="2"/>
      <c r="B6583" s="13"/>
      <c r="C6583" s="2"/>
      <c r="D6583" s="2"/>
      <c r="E6583" s="2"/>
      <c r="F6583" s="14"/>
      <c r="G6583" s="2"/>
      <c r="H6583" s="2"/>
    </row>
    <row r="6584">
      <c r="A6584" s="2"/>
      <c r="B6584" s="13"/>
      <c r="C6584" s="2"/>
      <c r="D6584" s="2"/>
      <c r="E6584" s="2"/>
      <c r="F6584" s="14"/>
      <c r="G6584" s="2"/>
      <c r="H6584" s="2"/>
    </row>
    <row r="6585">
      <c r="A6585" s="2"/>
      <c r="B6585" s="13"/>
      <c r="C6585" s="2"/>
      <c r="D6585" s="2"/>
      <c r="E6585" s="2"/>
      <c r="F6585" s="14"/>
      <c r="G6585" s="2"/>
      <c r="H6585" s="2"/>
    </row>
    <row r="6586">
      <c r="A6586" s="2"/>
      <c r="B6586" s="13"/>
      <c r="C6586" s="2"/>
      <c r="D6586" s="2"/>
      <c r="E6586" s="2"/>
      <c r="F6586" s="14"/>
      <c r="G6586" s="2"/>
      <c r="H6586" s="2"/>
    </row>
    <row r="6587">
      <c r="A6587" s="2"/>
      <c r="B6587" s="13"/>
      <c r="C6587" s="2"/>
      <c r="D6587" s="2"/>
      <c r="E6587" s="2"/>
      <c r="F6587" s="14"/>
      <c r="G6587" s="2"/>
      <c r="H6587" s="2"/>
    </row>
    <row r="6588">
      <c r="A6588" s="2"/>
      <c r="B6588" s="13"/>
      <c r="C6588" s="2"/>
      <c r="D6588" s="2"/>
      <c r="E6588" s="2"/>
      <c r="F6588" s="14"/>
      <c r="G6588" s="2"/>
      <c r="H6588" s="2"/>
    </row>
    <row r="6589">
      <c r="A6589" s="2"/>
      <c r="B6589" s="13"/>
      <c r="C6589" s="2"/>
      <c r="D6589" s="2"/>
      <c r="E6589" s="2"/>
      <c r="F6589" s="14"/>
      <c r="G6589" s="2"/>
      <c r="H6589" s="2"/>
    </row>
    <row r="6590">
      <c r="A6590" s="2"/>
      <c r="B6590" s="13"/>
      <c r="C6590" s="2"/>
      <c r="D6590" s="2"/>
      <c r="E6590" s="2"/>
      <c r="F6590" s="14"/>
      <c r="G6590" s="2"/>
      <c r="H6590" s="2"/>
    </row>
    <row r="6591">
      <c r="A6591" s="2"/>
      <c r="B6591" s="13"/>
      <c r="C6591" s="2"/>
      <c r="D6591" s="2"/>
      <c r="E6591" s="2"/>
      <c r="F6591" s="14"/>
      <c r="G6591" s="2"/>
      <c r="H6591" s="2"/>
    </row>
    <row r="6592">
      <c r="A6592" s="2"/>
      <c r="B6592" s="13"/>
      <c r="C6592" s="2"/>
      <c r="D6592" s="2"/>
      <c r="E6592" s="2"/>
      <c r="F6592" s="14"/>
      <c r="G6592" s="2"/>
      <c r="H6592" s="2"/>
    </row>
    <row r="6593">
      <c r="A6593" s="2"/>
      <c r="B6593" s="13"/>
      <c r="C6593" s="2"/>
      <c r="D6593" s="2"/>
      <c r="E6593" s="2"/>
      <c r="F6593" s="14"/>
      <c r="G6593" s="2"/>
      <c r="H6593" s="2"/>
    </row>
    <row r="6594">
      <c r="A6594" s="2"/>
      <c r="B6594" s="13"/>
      <c r="C6594" s="2"/>
      <c r="D6594" s="2"/>
      <c r="E6594" s="2"/>
      <c r="F6594" s="14"/>
      <c r="G6594" s="2"/>
      <c r="H6594" s="2"/>
    </row>
    <row r="6595">
      <c r="A6595" s="2"/>
      <c r="B6595" s="13"/>
      <c r="C6595" s="2"/>
      <c r="D6595" s="2"/>
      <c r="E6595" s="2"/>
      <c r="F6595" s="14"/>
      <c r="G6595" s="2"/>
      <c r="H6595" s="2"/>
    </row>
    <row r="6596">
      <c r="A6596" s="2"/>
      <c r="B6596" s="13"/>
      <c r="C6596" s="2"/>
      <c r="D6596" s="2"/>
      <c r="E6596" s="2"/>
      <c r="F6596" s="14"/>
      <c r="G6596" s="2"/>
      <c r="H6596" s="2"/>
    </row>
    <row r="6597">
      <c r="A6597" s="2"/>
      <c r="B6597" s="13"/>
      <c r="C6597" s="2"/>
      <c r="D6597" s="2"/>
      <c r="E6597" s="2"/>
      <c r="F6597" s="14"/>
      <c r="G6597" s="2"/>
      <c r="H6597" s="2"/>
    </row>
    <row r="6598">
      <c r="A6598" s="2"/>
      <c r="B6598" s="13"/>
      <c r="C6598" s="2"/>
      <c r="D6598" s="2"/>
      <c r="E6598" s="2"/>
      <c r="F6598" s="14"/>
      <c r="G6598" s="2"/>
      <c r="H6598" s="2"/>
    </row>
    <row r="6599">
      <c r="A6599" s="2"/>
      <c r="B6599" s="13"/>
      <c r="C6599" s="2"/>
      <c r="D6599" s="2"/>
      <c r="E6599" s="2"/>
      <c r="F6599" s="14"/>
      <c r="G6599" s="2"/>
      <c r="H6599" s="2"/>
    </row>
    <row r="6600">
      <c r="A6600" s="2"/>
      <c r="B6600" s="13"/>
      <c r="C6600" s="2"/>
      <c r="D6600" s="2"/>
      <c r="E6600" s="2"/>
      <c r="F6600" s="14"/>
      <c r="G6600" s="2"/>
      <c r="H6600" s="2"/>
    </row>
    <row r="6601">
      <c r="A6601" s="2"/>
      <c r="B6601" s="13"/>
      <c r="C6601" s="2"/>
      <c r="D6601" s="2"/>
      <c r="E6601" s="2"/>
      <c r="F6601" s="14"/>
      <c r="G6601" s="2"/>
      <c r="H6601" s="2"/>
    </row>
    <row r="6602">
      <c r="A6602" s="2"/>
      <c r="B6602" s="13"/>
      <c r="C6602" s="2"/>
      <c r="D6602" s="2"/>
      <c r="E6602" s="2"/>
      <c r="F6602" s="14"/>
      <c r="G6602" s="2"/>
      <c r="H6602" s="2"/>
    </row>
    <row r="6603">
      <c r="A6603" s="2"/>
      <c r="B6603" s="13"/>
      <c r="C6603" s="2"/>
      <c r="D6603" s="2"/>
      <c r="E6603" s="2"/>
      <c r="F6603" s="14"/>
      <c r="G6603" s="2"/>
      <c r="H6603" s="2"/>
    </row>
    <row r="6604">
      <c r="A6604" s="2"/>
      <c r="B6604" s="13"/>
      <c r="C6604" s="2"/>
      <c r="D6604" s="2"/>
      <c r="E6604" s="2"/>
      <c r="F6604" s="14"/>
      <c r="G6604" s="2"/>
      <c r="H6604" s="2"/>
    </row>
    <row r="6605">
      <c r="A6605" s="2"/>
      <c r="B6605" s="13"/>
      <c r="C6605" s="2"/>
      <c r="D6605" s="2"/>
      <c r="E6605" s="2"/>
      <c r="F6605" s="14"/>
      <c r="G6605" s="2"/>
      <c r="H6605" s="2"/>
    </row>
    <row r="6606">
      <c r="A6606" s="2"/>
      <c r="B6606" s="13"/>
      <c r="C6606" s="2"/>
      <c r="D6606" s="2"/>
      <c r="E6606" s="2"/>
      <c r="F6606" s="14"/>
      <c r="G6606" s="2"/>
      <c r="H6606" s="2"/>
    </row>
    <row r="6607">
      <c r="A6607" s="2"/>
      <c r="B6607" s="13"/>
      <c r="C6607" s="2"/>
      <c r="D6607" s="2"/>
      <c r="E6607" s="2"/>
      <c r="F6607" s="14"/>
      <c r="G6607" s="2"/>
      <c r="H6607" s="2"/>
    </row>
    <row r="6608">
      <c r="A6608" s="2"/>
      <c r="B6608" s="13"/>
      <c r="C6608" s="2"/>
      <c r="D6608" s="2"/>
      <c r="E6608" s="2"/>
      <c r="F6608" s="14"/>
      <c r="G6608" s="2"/>
      <c r="H6608" s="2"/>
    </row>
    <row r="6609">
      <c r="A6609" s="2"/>
      <c r="B6609" s="13"/>
      <c r="C6609" s="2"/>
      <c r="D6609" s="2"/>
      <c r="E6609" s="2"/>
      <c r="F6609" s="14"/>
      <c r="G6609" s="2"/>
      <c r="H6609" s="2"/>
    </row>
    <row r="6610">
      <c r="A6610" s="2"/>
      <c r="B6610" s="13"/>
      <c r="C6610" s="2"/>
      <c r="D6610" s="2"/>
      <c r="E6610" s="2"/>
      <c r="F6610" s="14"/>
      <c r="G6610" s="2"/>
      <c r="H6610" s="2"/>
    </row>
    <row r="6611">
      <c r="A6611" s="2"/>
      <c r="B6611" s="13"/>
      <c r="C6611" s="2"/>
      <c r="D6611" s="2"/>
      <c r="E6611" s="2"/>
      <c r="F6611" s="14"/>
      <c r="G6611" s="2"/>
      <c r="H6611" s="2"/>
    </row>
    <row r="6612">
      <c r="A6612" s="2"/>
      <c r="B6612" s="13"/>
      <c r="C6612" s="2"/>
      <c r="D6612" s="2"/>
      <c r="E6612" s="2"/>
      <c r="F6612" s="14"/>
      <c r="G6612" s="2"/>
      <c r="H6612" s="2"/>
    </row>
    <row r="6613">
      <c r="A6613" s="2"/>
      <c r="B6613" s="13"/>
      <c r="C6613" s="2"/>
      <c r="D6613" s="2"/>
      <c r="E6613" s="2"/>
      <c r="F6613" s="14"/>
      <c r="G6613" s="2"/>
      <c r="H6613" s="2"/>
    </row>
    <row r="6614">
      <c r="A6614" s="2"/>
      <c r="B6614" s="13"/>
      <c r="C6614" s="2"/>
      <c r="D6614" s="2"/>
      <c r="E6614" s="2"/>
      <c r="F6614" s="14"/>
      <c r="G6614" s="2"/>
      <c r="H6614" s="2"/>
    </row>
    <row r="6615">
      <c r="A6615" s="2"/>
      <c r="B6615" s="13"/>
      <c r="C6615" s="2"/>
      <c r="D6615" s="2"/>
      <c r="E6615" s="2"/>
      <c r="F6615" s="14"/>
      <c r="G6615" s="2"/>
      <c r="H6615" s="2"/>
    </row>
    <row r="6616">
      <c r="A6616" s="2"/>
      <c r="B6616" s="13"/>
      <c r="C6616" s="2"/>
      <c r="D6616" s="2"/>
      <c r="E6616" s="2"/>
      <c r="F6616" s="14"/>
      <c r="G6616" s="2"/>
      <c r="H6616" s="2"/>
    </row>
    <row r="6617">
      <c r="A6617" s="2"/>
      <c r="B6617" s="13"/>
      <c r="C6617" s="2"/>
      <c r="D6617" s="2"/>
      <c r="E6617" s="2"/>
      <c r="F6617" s="14"/>
      <c r="G6617" s="2"/>
      <c r="H6617" s="2"/>
    </row>
    <row r="6618">
      <c r="A6618" s="2"/>
      <c r="B6618" s="13"/>
      <c r="C6618" s="2"/>
      <c r="D6618" s="2"/>
      <c r="E6618" s="2"/>
      <c r="F6618" s="14"/>
      <c r="G6618" s="2"/>
      <c r="H6618" s="2"/>
    </row>
    <row r="6619">
      <c r="A6619" s="2"/>
      <c r="B6619" s="13"/>
      <c r="C6619" s="2"/>
      <c r="D6619" s="2"/>
      <c r="E6619" s="2"/>
      <c r="F6619" s="14"/>
      <c r="G6619" s="2"/>
      <c r="H6619" s="2"/>
    </row>
    <row r="6620">
      <c r="A6620" s="2"/>
      <c r="B6620" s="13"/>
      <c r="C6620" s="2"/>
      <c r="D6620" s="2"/>
      <c r="E6620" s="2"/>
      <c r="F6620" s="14"/>
      <c r="G6620" s="2"/>
      <c r="H6620" s="2"/>
    </row>
    <row r="6621">
      <c r="A6621" s="2"/>
      <c r="B6621" s="13"/>
      <c r="C6621" s="2"/>
      <c r="D6621" s="2"/>
      <c r="E6621" s="2"/>
      <c r="F6621" s="14"/>
      <c r="G6621" s="2"/>
      <c r="H6621" s="2"/>
    </row>
    <row r="6622">
      <c r="A6622" s="2"/>
      <c r="B6622" s="13"/>
      <c r="C6622" s="2"/>
      <c r="D6622" s="2"/>
      <c r="E6622" s="2"/>
      <c r="F6622" s="14"/>
      <c r="G6622" s="2"/>
      <c r="H6622" s="2"/>
    </row>
    <row r="6623">
      <c r="A6623" s="2"/>
      <c r="B6623" s="13"/>
      <c r="C6623" s="2"/>
      <c r="D6623" s="2"/>
      <c r="E6623" s="2"/>
      <c r="F6623" s="14"/>
      <c r="G6623" s="2"/>
      <c r="H6623" s="2"/>
    </row>
    <row r="6624">
      <c r="A6624" s="2"/>
      <c r="B6624" s="13"/>
      <c r="C6624" s="2"/>
      <c r="D6624" s="2"/>
      <c r="E6624" s="2"/>
      <c r="F6624" s="14"/>
      <c r="G6624" s="2"/>
      <c r="H6624" s="2"/>
    </row>
    <row r="6625">
      <c r="A6625" s="2"/>
      <c r="B6625" s="13"/>
      <c r="C6625" s="2"/>
      <c r="D6625" s="2"/>
      <c r="E6625" s="2"/>
      <c r="F6625" s="14"/>
      <c r="G6625" s="2"/>
      <c r="H6625" s="2"/>
    </row>
    <row r="6626">
      <c r="A6626" s="2"/>
      <c r="B6626" s="13"/>
      <c r="C6626" s="2"/>
      <c r="D6626" s="2"/>
      <c r="E6626" s="2"/>
      <c r="F6626" s="14"/>
      <c r="G6626" s="2"/>
      <c r="H6626" s="2"/>
    </row>
    <row r="6627">
      <c r="A6627" s="2"/>
      <c r="B6627" s="13"/>
      <c r="C6627" s="2"/>
      <c r="D6627" s="2"/>
      <c r="E6627" s="2"/>
      <c r="F6627" s="14"/>
      <c r="G6627" s="2"/>
      <c r="H6627" s="2"/>
    </row>
    <row r="6628">
      <c r="A6628" s="2"/>
      <c r="B6628" s="13"/>
      <c r="C6628" s="2"/>
      <c r="D6628" s="2"/>
      <c r="E6628" s="2"/>
      <c r="F6628" s="14"/>
      <c r="G6628" s="2"/>
      <c r="H6628" s="2"/>
    </row>
    <row r="6629">
      <c r="A6629" s="2"/>
      <c r="B6629" s="13"/>
      <c r="C6629" s="2"/>
      <c r="D6629" s="2"/>
      <c r="E6629" s="2"/>
      <c r="F6629" s="14"/>
      <c r="G6629" s="2"/>
      <c r="H6629" s="2"/>
    </row>
    <row r="6630">
      <c r="A6630" s="2"/>
      <c r="B6630" s="13"/>
      <c r="C6630" s="2"/>
      <c r="D6630" s="2"/>
      <c r="E6630" s="2"/>
      <c r="F6630" s="14"/>
      <c r="G6630" s="2"/>
      <c r="H6630" s="2"/>
    </row>
    <row r="6631">
      <c r="A6631" s="2"/>
      <c r="B6631" s="13"/>
      <c r="C6631" s="2"/>
      <c r="D6631" s="2"/>
      <c r="E6631" s="2"/>
      <c r="F6631" s="14"/>
      <c r="G6631" s="2"/>
      <c r="H6631" s="2"/>
    </row>
    <row r="6632">
      <c r="A6632" s="2"/>
      <c r="B6632" s="13"/>
      <c r="C6632" s="2"/>
      <c r="D6632" s="2"/>
      <c r="E6632" s="2"/>
      <c r="F6632" s="14"/>
      <c r="G6632" s="2"/>
      <c r="H6632" s="2"/>
    </row>
    <row r="6633">
      <c r="A6633" s="2"/>
      <c r="B6633" s="13"/>
      <c r="C6633" s="2"/>
      <c r="D6633" s="2"/>
      <c r="E6633" s="2"/>
      <c r="F6633" s="14"/>
      <c r="G6633" s="2"/>
      <c r="H6633" s="2"/>
    </row>
    <row r="6634">
      <c r="A6634" s="2"/>
      <c r="B6634" s="13"/>
      <c r="C6634" s="2"/>
      <c r="D6634" s="2"/>
      <c r="E6634" s="2"/>
      <c r="F6634" s="14"/>
      <c r="G6634" s="2"/>
      <c r="H6634" s="2"/>
    </row>
    <row r="6635">
      <c r="A6635" s="2"/>
      <c r="B6635" s="13"/>
      <c r="C6635" s="2"/>
      <c r="D6635" s="2"/>
      <c r="E6635" s="2"/>
      <c r="F6635" s="14"/>
      <c r="G6635" s="2"/>
      <c r="H6635" s="2"/>
    </row>
    <row r="6636">
      <c r="A6636" s="2"/>
      <c r="B6636" s="13"/>
      <c r="C6636" s="2"/>
      <c r="D6636" s="2"/>
      <c r="E6636" s="2"/>
      <c r="F6636" s="14"/>
      <c r="G6636" s="2"/>
      <c r="H6636" s="2"/>
    </row>
    <row r="6637">
      <c r="A6637" s="2"/>
      <c r="B6637" s="13"/>
      <c r="C6637" s="2"/>
      <c r="D6637" s="2"/>
      <c r="E6637" s="2"/>
      <c r="F6637" s="14"/>
      <c r="G6637" s="2"/>
      <c r="H6637" s="2"/>
    </row>
    <row r="6638">
      <c r="A6638" s="2"/>
      <c r="B6638" s="13"/>
      <c r="C6638" s="2"/>
      <c r="D6638" s="2"/>
      <c r="E6638" s="2"/>
      <c r="F6638" s="14"/>
      <c r="G6638" s="2"/>
      <c r="H6638" s="2"/>
    </row>
    <row r="6639">
      <c r="A6639" s="2"/>
      <c r="B6639" s="13"/>
      <c r="C6639" s="2"/>
      <c r="D6639" s="2"/>
      <c r="E6639" s="2"/>
      <c r="F6639" s="14"/>
      <c r="G6639" s="2"/>
      <c r="H6639" s="2"/>
    </row>
    <row r="6640">
      <c r="A6640" s="2"/>
      <c r="B6640" s="13"/>
      <c r="C6640" s="2"/>
      <c r="D6640" s="2"/>
      <c r="E6640" s="2"/>
      <c r="F6640" s="14"/>
      <c r="G6640" s="2"/>
      <c r="H6640" s="2"/>
    </row>
    <row r="6641">
      <c r="A6641" s="2"/>
      <c r="B6641" s="13"/>
      <c r="C6641" s="2"/>
      <c r="D6641" s="2"/>
      <c r="E6641" s="2"/>
      <c r="F6641" s="14"/>
      <c r="G6641" s="2"/>
      <c r="H6641" s="2"/>
    </row>
    <row r="6642">
      <c r="A6642" s="2"/>
      <c r="B6642" s="13"/>
      <c r="C6642" s="2"/>
      <c r="D6642" s="2"/>
      <c r="E6642" s="2"/>
      <c r="F6642" s="14"/>
      <c r="G6642" s="2"/>
      <c r="H6642" s="2"/>
    </row>
    <row r="6643">
      <c r="A6643" s="2"/>
      <c r="B6643" s="13"/>
      <c r="C6643" s="2"/>
      <c r="D6643" s="2"/>
      <c r="E6643" s="2"/>
      <c r="F6643" s="14"/>
      <c r="G6643" s="2"/>
      <c r="H6643" s="2"/>
    </row>
    <row r="6644">
      <c r="A6644" s="2"/>
      <c r="B6644" s="13"/>
      <c r="C6644" s="2"/>
      <c r="D6644" s="2"/>
      <c r="E6644" s="2"/>
      <c r="F6644" s="14"/>
      <c r="G6644" s="2"/>
      <c r="H6644" s="2"/>
    </row>
    <row r="6645">
      <c r="A6645" s="2"/>
      <c r="B6645" s="13"/>
      <c r="C6645" s="2"/>
      <c r="D6645" s="2"/>
      <c r="E6645" s="2"/>
      <c r="F6645" s="14"/>
      <c r="G6645" s="2"/>
      <c r="H6645" s="2"/>
    </row>
    <row r="6646">
      <c r="A6646" s="2"/>
      <c r="B6646" s="13"/>
      <c r="C6646" s="2"/>
      <c r="D6646" s="2"/>
      <c r="E6646" s="2"/>
      <c r="F6646" s="14"/>
      <c r="G6646" s="2"/>
      <c r="H6646" s="2"/>
    </row>
    <row r="6647">
      <c r="A6647" s="2"/>
      <c r="B6647" s="13"/>
      <c r="C6647" s="2"/>
      <c r="D6647" s="2"/>
      <c r="E6647" s="2"/>
      <c r="F6647" s="14"/>
      <c r="G6647" s="2"/>
      <c r="H6647" s="2"/>
    </row>
    <row r="6648">
      <c r="A6648" s="2"/>
      <c r="B6648" s="13"/>
      <c r="C6648" s="2"/>
      <c r="D6648" s="2"/>
      <c r="E6648" s="2"/>
      <c r="F6648" s="14"/>
      <c r="G6648" s="2"/>
      <c r="H6648" s="2"/>
    </row>
    <row r="6649">
      <c r="A6649" s="2"/>
      <c r="B6649" s="13"/>
      <c r="C6649" s="2"/>
      <c r="D6649" s="2"/>
      <c r="E6649" s="2"/>
      <c r="F6649" s="14"/>
      <c r="G6649" s="2"/>
      <c r="H6649" s="2"/>
    </row>
    <row r="6650">
      <c r="A6650" s="2"/>
      <c r="B6650" s="13"/>
      <c r="C6650" s="2"/>
      <c r="D6650" s="2"/>
      <c r="E6650" s="2"/>
      <c r="F6650" s="14"/>
      <c r="G6650" s="2"/>
      <c r="H6650" s="2"/>
    </row>
    <row r="6651">
      <c r="A6651" s="2"/>
      <c r="B6651" s="13"/>
      <c r="C6651" s="2"/>
      <c r="D6651" s="2"/>
      <c r="E6651" s="2"/>
      <c r="F6651" s="14"/>
      <c r="G6651" s="2"/>
      <c r="H6651" s="2"/>
    </row>
    <row r="6652">
      <c r="A6652" s="2"/>
      <c r="B6652" s="13"/>
      <c r="C6652" s="2"/>
      <c r="D6652" s="2"/>
      <c r="E6652" s="2"/>
      <c r="F6652" s="14"/>
      <c r="G6652" s="2"/>
      <c r="H6652" s="2"/>
    </row>
    <row r="6653">
      <c r="A6653" s="2"/>
      <c r="B6653" s="13"/>
      <c r="C6653" s="2"/>
      <c r="D6653" s="2"/>
      <c r="E6653" s="2"/>
      <c r="F6653" s="14"/>
      <c r="G6653" s="2"/>
      <c r="H6653" s="2"/>
    </row>
    <row r="6654">
      <c r="A6654" s="2"/>
      <c r="B6654" s="13"/>
      <c r="C6654" s="2"/>
      <c r="D6654" s="2"/>
      <c r="E6654" s="2"/>
      <c r="F6654" s="14"/>
      <c r="G6654" s="2"/>
      <c r="H6654" s="2"/>
    </row>
    <row r="6655">
      <c r="A6655" s="2"/>
      <c r="B6655" s="13"/>
      <c r="C6655" s="2"/>
      <c r="D6655" s="2"/>
      <c r="E6655" s="2"/>
      <c r="F6655" s="14"/>
      <c r="G6655" s="2"/>
      <c r="H6655" s="2"/>
    </row>
    <row r="6656">
      <c r="A6656" s="2"/>
      <c r="B6656" s="13"/>
      <c r="C6656" s="2"/>
      <c r="D6656" s="2"/>
      <c r="E6656" s="2"/>
      <c r="F6656" s="14"/>
      <c r="G6656" s="2"/>
      <c r="H6656" s="2"/>
    </row>
    <row r="6657">
      <c r="A6657" s="2"/>
      <c r="B6657" s="13"/>
      <c r="C6657" s="2"/>
      <c r="D6657" s="2"/>
      <c r="E6657" s="2"/>
      <c r="F6657" s="14"/>
      <c r="G6657" s="2"/>
      <c r="H6657" s="2"/>
    </row>
    <row r="6658">
      <c r="A6658" s="2"/>
      <c r="B6658" s="13"/>
      <c r="C6658" s="2"/>
      <c r="D6658" s="2"/>
      <c r="E6658" s="2"/>
      <c r="F6658" s="14"/>
      <c r="G6658" s="2"/>
      <c r="H6658" s="2"/>
    </row>
    <row r="6659">
      <c r="A6659" s="2"/>
      <c r="B6659" s="13"/>
      <c r="C6659" s="2"/>
      <c r="D6659" s="2"/>
      <c r="E6659" s="2"/>
      <c r="F6659" s="14"/>
      <c r="G6659" s="2"/>
      <c r="H6659" s="2"/>
    </row>
    <row r="6660">
      <c r="A6660" s="2"/>
      <c r="B6660" s="13"/>
      <c r="C6660" s="2"/>
      <c r="D6660" s="2"/>
      <c r="E6660" s="2"/>
      <c r="F6660" s="14"/>
      <c r="G6660" s="2"/>
      <c r="H6660" s="2"/>
    </row>
    <row r="6661">
      <c r="A6661" s="2"/>
      <c r="B6661" s="13"/>
      <c r="C6661" s="2"/>
      <c r="D6661" s="2"/>
      <c r="E6661" s="2"/>
      <c r="F6661" s="14"/>
      <c r="G6661" s="2"/>
      <c r="H6661" s="2"/>
    </row>
    <row r="6662">
      <c r="A6662" s="2"/>
      <c r="B6662" s="13"/>
      <c r="C6662" s="2"/>
      <c r="D6662" s="2"/>
      <c r="E6662" s="2"/>
      <c r="F6662" s="14"/>
      <c r="G6662" s="2"/>
      <c r="H6662" s="2"/>
    </row>
    <row r="6663">
      <c r="A6663" s="2"/>
      <c r="B6663" s="13"/>
      <c r="C6663" s="2"/>
      <c r="D6663" s="2"/>
      <c r="E6663" s="2"/>
      <c r="F6663" s="14"/>
      <c r="G6663" s="2"/>
      <c r="H6663" s="2"/>
    </row>
    <row r="6664">
      <c r="A6664" s="2"/>
      <c r="B6664" s="13"/>
      <c r="C6664" s="2"/>
      <c r="D6664" s="2"/>
      <c r="E6664" s="2"/>
      <c r="F6664" s="14"/>
      <c r="G6664" s="2"/>
      <c r="H6664" s="2"/>
    </row>
    <row r="6665">
      <c r="A6665" s="2"/>
      <c r="B6665" s="13"/>
      <c r="C6665" s="2"/>
      <c r="D6665" s="2"/>
      <c r="E6665" s="2"/>
      <c r="F6665" s="14"/>
      <c r="G6665" s="2"/>
      <c r="H6665" s="2"/>
    </row>
    <row r="6666">
      <c r="A6666" s="2"/>
      <c r="B6666" s="13"/>
      <c r="C6666" s="2"/>
      <c r="D6666" s="2"/>
      <c r="E6666" s="2"/>
      <c r="F6666" s="14"/>
      <c r="G6666" s="2"/>
      <c r="H6666" s="2"/>
    </row>
    <row r="6667">
      <c r="A6667" s="2"/>
      <c r="B6667" s="13"/>
      <c r="C6667" s="2"/>
      <c r="D6667" s="2"/>
      <c r="E6667" s="2"/>
      <c r="F6667" s="14"/>
      <c r="G6667" s="2"/>
      <c r="H6667" s="2"/>
    </row>
    <row r="6668">
      <c r="A6668" s="2"/>
      <c r="B6668" s="13"/>
      <c r="C6668" s="2"/>
      <c r="D6668" s="2"/>
      <c r="E6668" s="2"/>
      <c r="F6668" s="14"/>
      <c r="G6668" s="2"/>
      <c r="H6668" s="2"/>
    </row>
    <row r="6669">
      <c r="A6669" s="2"/>
      <c r="B6669" s="13"/>
      <c r="C6669" s="2"/>
      <c r="D6669" s="2"/>
      <c r="E6669" s="2"/>
      <c r="F6669" s="14"/>
      <c r="G6669" s="2"/>
      <c r="H6669" s="2"/>
    </row>
    <row r="6670">
      <c r="A6670" s="2"/>
      <c r="B6670" s="13"/>
      <c r="C6670" s="2"/>
      <c r="D6670" s="2"/>
      <c r="E6670" s="2"/>
      <c r="F6670" s="14"/>
      <c r="G6670" s="2"/>
      <c r="H6670" s="2"/>
    </row>
    <row r="6671">
      <c r="A6671" s="2"/>
      <c r="B6671" s="13"/>
      <c r="C6671" s="2"/>
      <c r="D6671" s="2"/>
      <c r="E6671" s="2"/>
      <c r="F6671" s="14"/>
      <c r="G6671" s="2"/>
      <c r="H6671" s="2"/>
    </row>
    <row r="6672">
      <c r="A6672" s="2"/>
      <c r="B6672" s="13"/>
      <c r="C6672" s="2"/>
      <c r="D6672" s="2"/>
      <c r="E6672" s="2"/>
      <c r="F6672" s="14"/>
      <c r="G6672" s="2"/>
      <c r="H6672" s="2"/>
    </row>
    <row r="6673">
      <c r="A6673" s="2"/>
      <c r="B6673" s="13"/>
      <c r="C6673" s="2"/>
      <c r="D6673" s="2"/>
      <c r="E6673" s="2"/>
      <c r="F6673" s="14"/>
      <c r="G6673" s="2"/>
      <c r="H6673" s="2"/>
    </row>
    <row r="6674">
      <c r="A6674" s="2"/>
      <c r="B6674" s="13"/>
      <c r="C6674" s="2"/>
      <c r="D6674" s="2"/>
      <c r="E6674" s="2"/>
      <c r="F6674" s="14"/>
      <c r="G6674" s="2"/>
      <c r="H6674" s="2"/>
    </row>
    <row r="6675">
      <c r="A6675" s="2"/>
      <c r="B6675" s="13"/>
      <c r="C6675" s="2"/>
      <c r="D6675" s="2"/>
      <c r="E6675" s="2"/>
      <c r="F6675" s="14"/>
      <c r="G6675" s="2"/>
      <c r="H6675" s="2"/>
    </row>
    <row r="6676">
      <c r="A6676" s="2"/>
      <c r="B6676" s="13"/>
      <c r="C6676" s="2"/>
      <c r="D6676" s="2"/>
      <c r="E6676" s="2"/>
      <c r="F6676" s="14"/>
      <c r="G6676" s="2"/>
      <c r="H6676" s="2"/>
    </row>
    <row r="6677">
      <c r="A6677" s="2"/>
      <c r="B6677" s="13"/>
      <c r="C6677" s="2"/>
      <c r="D6677" s="2"/>
      <c r="E6677" s="2"/>
      <c r="F6677" s="14"/>
      <c r="G6677" s="2"/>
      <c r="H6677" s="2"/>
    </row>
    <row r="6678">
      <c r="A6678" s="2"/>
      <c r="B6678" s="13"/>
      <c r="C6678" s="2"/>
      <c r="D6678" s="2"/>
      <c r="E6678" s="2"/>
      <c r="F6678" s="14"/>
      <c r="G6678" s="2"/>
      <c r="H6678" s="2"/>
    </row>
    <row r="6679">
      <c r="A6679" s="2"/>
      <c r="B6679" s="13"/>
      <c r="C6679" s="2"/>
      <c r="D6679" s="2"/>
      <c r="E6679" s="2"/>
      <c r="F6679" s="14"/>
      <c r="G6679" s="2"/>
      <c r="H6679" s="2"/>
    </row>
    <row r="6680">
      <c r="A6680" s="2"/>
      <c r="B6680" s="13"/>
      <c r="C6680" s="2"/>
      <c r="D6680" s="2"/>
      <c r="E6680" s="2"/>
      <c r="F6680" s="14"/>
      <c r="G6680" s="2"/>
      <c r="H6680" s="2"/>
    </row>
    <row r="6681">
      <c r="A6681" s="2"/>
      <c r="B6681" s="13"/>
      <c r="C6681" s="2"/>
      <c r="D6681" s="2"/>
      <c r="E6681" s="2"/>
      <c r="F6681" s="14"/>
      <c r="G6681" s="2"/>
      <c r="H6681" s="2"/>
    </row>
    <row r="6682">
      <c r="A6682" s="2"/>
      <c r="B6682" s="13"/>
      <c r="C6682" s="2"/>
      <c r="D6682" s="2"/>
      <c r="E6682" s="2"/>
      <c r="F6682" s="14"/>
      <c r="G6682" s="2"/>
      <c r="H6682" s="2"/>
    </row>
    <row r="6683">
      <c r="A6683" s="2"/>
      <c r="B6683" s="13"/>
      <c r="C6683" s="2"/>
      <c r="D6683" s="2"/>
      <c r="E6683" s="2"/>
      <c r="F6683" s="14"/>
      <c r="G6683" s="2"/>
      <c r="H6683" s="2"/>
    </row>
    <row r="6684">
      <c r="A6684" s="2"/>
      <c r="B6684" s="13"/>
      <c r="C6684" s="2"/>
      <c r="D6684" s="2"/>
      <c r="E6684" s="2"/>
      <c r="F6684" s="14"/>
      <c r="G6684" s="2"/>
      <c r="H6684" s="2"/>
    </row>
    <row r="6685">
      <c r="A6685" s="2"/>
      <c r="B6685" s="13"/>
      <c r="C6685" s="2"/>
      <c r="D6685" s="2"/>
      <c r="E6685" s="2"/>
      <c r="F6685" s="14"/>
      <c r="G6685" s="2"/>
      <c r="H6685" s="2"/>
    </row>
    <row r="6686">
      <c r="A6686" s="2"/>
      <c r="B6686" s="13"/>
      <c r="C6686" s="2"/>
      <c r="D6686" s="2"/>
      <c r="E6686" s="2"/>
      <c r="F6686" s="14"/>
      <c r="G6686" s="2"/>
      <c r="H6686" s="2"/>
    </row>
    <row r="6687">
      <c r="A6687" s="2"/>
      <c r="B6687" s="13"/>
      <c r="C6687" s="2"/>
      <c r="D6687" s="2"/>
      <c r="E6687" s="2"/>
      <c r="F6687" s="14"/>
      <c r="G6687" s="2"/>
      <c r="H6687" s="2"/>
    </row>
    <row r="6688">
      <c r="A6688" s="2"/>
      <c r="B6688" s="13"/>
      <c r="C6688" s="2"/>
      <c r="D6688" s="2"/>
      <c r="E6688" s="2"/>
      <c r="F6688" s="14"/>
      <c r="G6688" s="2"/>
      <c r="H6688" s="2"/>
    </row>
    <row r="6689">
      <c r="A6689" s="2"/>
      <c r="B6689" s="13"/>
      <c r="C6689" s="2"/>
      <c r="D6689" s="2"/>
      <c r="E6689" s="2"/>
      <c r="F6689" s="14"/>
      <c r="G6689" s="2"/>
      <c r="H6689" s="2"/>
    </row>
    <row r="6690">
      <c r="A6690" s="2"/>
      <c r="B6690" s="13"/>
      <c r="C6690" s="2"/>
      <c r="D6690" s="2"/>
      <c r="E6690" s="2"/>
      <c r="F6690" s="14"/>
      <c r="G6690" s="2"/>
      <c r="H6690" s="2"/>
    </row>
    <row r="6691">
      <c r="A6691" s="2"/>
      <c r="B6691" s="13"/>
      <c r="C6691" s="2"/>
      <c r="D6691" s="2"/>
      <c r="E6691" s="2"/>
      <c r="F6691" s="14"/>
      <c r="G6691" s="2"/>
      <c r="H6691" s="2"/>
    </row>
    <row r="6692">
      <c r="A6692" s="2"/>
      <c r="B6692" s="13"/>
      <c r="C6692" s="2"/>
      <c r="D6692" s="2"/>
      <c r="E6692" s="2"/>
      <c r="F6692" s="14"/>
      <c r="G6692" s="2"/>
      <c r="H6692" s="2"/>
    </row>
    <row r="6693">
      <c r="A6693" s="2"/>
      <c r="B6693" s="13"/>
      <c r="C6693" s="2"/>
      <c r="D6693" s="2"/>
      <c r="E6693" s="2"/>
      <c r="F6693" s="14"/>
      <c r="G6693" s="2"/>
      <c r="H6693" s="2"/>
    </row>
    <row r="6694">
      <c r="A6694" s="2"/>
      <c r="B6694" s="13"/>
      <c r="C6694" s="2"/>
      <c r="D6694" s="2"/>
      <c r="E6694" s="2"/>
      <c r="F6694" s="14"/>
      <c r="G6694" s="2"/>
      <c r="H6694" s="2"/>
    </row>
    <row r="6695">
      <c r="A6695" s="2"/>
      <c r="B6695" s="13"/>
      <c r="C6695" s="2"/>
      <c r="D6695" s="2"/>
      <c r="E6695" s="2"/>
      <c r="F6695" s="14"/>
      <c r="G6695" s="2"/>
      <c r="H6695" s="2"/>
    </row>
    <row r="6696">
      <c r="A6696" s="2"/>
      <c r="B6696" s="13"/>
      <c r="C6696" s="2"/>
      <c r="D6696" s="2"/>
      <c r="E6696" s="2"/>
      <c r="F6696" s="14"/>
      <c r="G6696" s="2"/>
      <c r="H6696" s="2"/>
    </row>
    <row r="6697">
      <c r="A6697" s="2"/>
      <c r="B6697" s="13"/>
      <c r="C6697" s="2"/>
      <c r="D6697" s="2"/>
      <c r="E6697" s="2"/>
      <c r="F6697" s="14"/>
      <c r="G6697" s="2"/>
      <c r="H6697" s="2"/>
    </row>
    <row r="6698">
      <c r="A6698" s="2"/>
      <c r="B6698" s="13"/>
      <c r="C6698" s="2"/>
      <c r="D6698" s="2"/>
      <c r="E6698" s="2"/>
      <c r="F6698" s="14"/>
      <c r="G6698" s="2"/>
      <c r="H6698" s="2"/>
    </row>
    <row r="6699">
      <c r="A6699" s="2"/>
      <c r="B6699" s="13"/>
      <c r="C6699" s="2"/>
      <c r="D6699" s="2"/>
      <c r="E6699" s="2"/>
      <c r="F6699" s="14"/>
      <c r="G6699" s="2"/>
      <c r="H6699" s="2"/>
    </row>
    <row r="6700">
      <c r="A6700" s="2"/>
      <c r="B6700" s="13"/>
      <c r="C6700" s="2"/>
      <c r="D6700" s="2"/>
      <c r="E6700" s="2"/>
      <c r="F6700" s="14"/>
      <c r="G6700" s="2"/>
      <c r="H6700" s="2"/>
    </row>
    <row r="6701">
      <c r="A6701" s="2"/>
      <c r="B6701" s="13"/>
      <c r="C6701" s="2"/>
      <c r="D6701" s="2"/>
      <c r="E6701" s="2"/>
      <c r="F6701" s="14"/>
      <c r="G6701" s="2"/>
      <c r="H6701" s="2"/>
    </row>
    <row r="6702">
      <c r="A6702" s="2"/>
      <c r="B6702" s="13"/>
      <c r="C6702" s="2"/>
      <c r="D6702" s="2"/>
      <c r="E6702" s="2"/>
      <c r="F6702" s="14"/>
      <c r="G6702" s="2"/>
      <c r="H6702" s="2"/>
    </row>
    <row r="6703">
      <c r="A6703" s="2"/>
      <c r="B6703" s="13"/>
      <c r="C6703" s="2"/>
      <c r="D6703" s="2"/>
      <c r="E6703" s="2"/>
      <c r="F6703" s="14"/>
      <c r="G6703" s="2"/>
      <c r="H6703" s="2"/>
    </row>
    <row r="6704">
      <c r="A6704" s="2"/>
      <c r="B6704" s="13"/>
      <c r="C6704" s="2"/>
      <c r="D6704" s="2"/>
      <c r="E6704" s="2"/>
      <c r="F6704" s="14"/>
      <c r="G6704" s="2"/>
      <c r="H6704" s="2"/>
    </row>
    <row r="6705">
      <c r="A6705" s="2"/>
      <c r="B6705" s="13"/>
      <c r="C6705" s="2"/>
      <c r="D6705" s="2"/>
      <c r="E6705" s="2"/>
      <c r="F6705" s="14"/>
      <c r="G6705" s="2"/>
      <c r="H6705" s="2"/>
    </row>
    <row r="6706">
      <c r="A6706" s="2"/>
      <c r="B6706" s="13"/>
      <c r="C6706" s="2"/>
      <c r="D6706" s="2"/>
      <c r="E6706" s="2"/>
      <c r="F6706" s="14"/>
      <c r="G6706" s="2"/>
      <c r="H6706" s="2"/>
    </row>
    <row r="6707">
      <c r="A6707" s="2"/>
      <c r="B6707" s="13"/>
      <c r="C6707" s="2"/>
      <c r="D6707" s="2"/>
      <c r="E6707" s="2"/>
      <c r="F6707" s="14"/>
      <c r="G6707" s="2"/>
      <c r="H6707" s="2"/>
    </row>
    <row r="6708">
      <c r="A6708" s="2"/>
      <c r="B6708" s="13"/>
      <c r="C6708" s="2"/>
      <c r="D6708" s="2"/>
      <c r="E6708" s="2"/>
      <c r="F6708" s="14"/>
      <c r="G6708" s="2"/>
      <c r="H6708" s="2"/>
    </row>
    <row r="6709">
      <c r="A6709" s="2"/>
      <c r="B6709" s="13"/>
      <c r="C6709" s="2"/>
      <c r="D6709" s="2"/>
      <c r="E6709" s="2"/>
      <c r="F6709" s="14"/>
      <c r="G6709" s="2"/>
      <c r="H6709" s="2"/>
    </row>
    <row r="6710">
      <c r="A6710" s="2"/>
      <c r="B6710" s="13"/>
      <c r="C6710" s="2"/>
      <c r="D6710" s="2"/>
      <c r="E6710" s="2"/>
      <c r="F6710" s="14"/>
      <c r="G6710" s="2"/>
      <c r="H6710" s="2"/>
    </row>
    <row r="6711">
      <c r="A6711" s="2"/>
      <c r="B6711" s="13"/>
      <c r="C6711" s="2"/>
      <c r="D6711" s="2"/>
      <c r="E6711" s="2"/>
      <c r="F6711" s="14"/>
      <c r="G6711" s="2"/>
      <c r="H6711" s="2"/>
    </row>
    <row r="6712">
      <c r="A6712" s="2"/>
      <c r="B6712" s="13"/>
      <c r="C6712" s="2"/>
      <c r="D6712" s="2"/>
      <c r="E6712" s="2"/>
      <c r="F6712" s="14"/>
      <c r="G6712" s="2"/>
      <c r="H6712" s="2"/>
    </row>
    <row r="6713">
      <c r="A6713" s="2"/>
      <c r="B6713" s="13"/>
      <c r="C6713" s="2"/>
      <c r="D6713" s="2"/>
      <c r="E6713" s="2"/>
      <c r="F6713" s="14"/>
      <c r="G6713" s="2"/>
      <c r="H6713" s="2"/>
    </row>
    <row r="6714">
      <c r="A6714" s="2"/>
      <c r="B6714" s="13"/>
      <c r="C6714" s="2"/>
      <c r="D6714" s="2"/>
      <c r="E6714" s="2"/>
      <c r="F6714" s="14"/>
      <c r="G6714" s="2"/>
      <c r="H6714" s="2"/>
    </row>
    <row r="6715">
      <c r="A6715" s="2"/>
      <c r="B6715" s="13"/>
      <c r="C6715" s="2"/>
      <c r="D6715" s="2"/>
      <c r="E6715" s="2"/>
      <c r="F6715" s="14"/>
      <c r="G6715" s="2"/>
      <c r="H6715" s="2"/>
    </row>
    <row r="6716">
      <c r="A6716" s="2"/>
      <c r="B6716" s="13"/>
      <c r="C6716" s="2"/>
      <c r="D6716" s="2"/>
      <c r="E6716" s="2"/>
      <c r="F6716" s="14"/>
      <c r="G6716" s="2"/>
      <c r="H6716" s="2"/>
    </row>
    <row r="6717">
      <c r="A6717" s="2"/>
      <c r="B6717" s="13"/>
      <c r="C6717" s="2"/>
      <c r="D6717" s="2"/>
      <c r="E6717" s="2"/>
      <c r="F6717" s="14"/>
      <c r="G6717" s="2"/>
      <c r="H6717" s="2"/>
    </row>
    <row r="6718">
      <c r="A6718" s="2"/>
      <c r="B6718" s="13"/>
      <c r="C6718" s="2"/>
      <c r="D6718" s="2"/>
      <c r="E6718" s="2"/>
      <c r="F6718" s="14"/>
      <c r="G6718" s="2"/>
      <c r="H6718" s="2"/>
    </row>
    <row r="6719">
      <c r="A6719" s="2"/>
      <c r="B6719" s="13"/>
      <c r="C6719" s="2"/>
      <c r="D6719" s="2"/>
      <c r="E6719" s="2"/>
      <c r="F6719" s="14"/>
      <c r="G6719" s="2"/>
      <c r="H6719" s="2"/>
    </row>
    <row r="6720">
      <c r="A6720" s="2"/>
      <c r="B6720" s="13"/>
      <c r="C6720" s="2"/>
      <c r="D6720" s="2"/>
      <c r="E6720" s="2"/>
      <c r="F6720" s="14"/>
      <c r="G6720" s="2"/>
      <c r="H6720" s="2"/>
    </row>
    <row r="6721">
      <c r="A6721" s="2"/>
      <c r="B6721" s="13"/>
      <c r="C6721" s="2"/>
      <c r="D6721" s="2"/>
      <c r="E6721" s="2"/>
      <c r="F6721" s="14"/>
      <c r="G6721" s="2"/>
      <c r="H6721" s="2"/>
    </row>
    <row r="6722">
      <c r="A6722" s="2"/>
      <c r="B6722" s="13"/>
      <c r="C6722" s="2"/>
      <c r="D6722" s="2"/>
      <c r="E6722" s="2"/>
      <c r="F6722" s="14"/>
      <c r="G6722" s="2"/>
      <c r="H6722" s="2"/>
    </row>
    <row r="6723">
      <c r="A6723" s="2"/>
      <c r="B6723" s="13"/>
      <c r="C6723" s="2"/>
      <c r="D6723" s="2"/>
      <c r="E6723" s="2"/>
      <c r="F6723" s="14"/>
      <c r="G6723" s="2"/>
      <c r="H6723" s="2"/>
    </row>
    <row r="6724">
      <c r="A6724" s="2"/>
      <c r="B6724" s="13"/>
      <c r="C6724" s="2"/>
      <c r="D6724" s="2"/>
      <c r="E6724" s="2"/>
      <c r="F6724" s="14"/>
      <c r="G6724" s="2"/>
      <c r="H6724" s="2"/>
    </row>
    <row r="6725">
      <c r="A6725" s="2"/>
      <c r="B6725" s="13"/>
      <c r="C6725" s="2"/>
      <c r="D6725" s="2"/>
      <c r="E6725" s="2"/>
      <c r="F6725" s="14"/>
      <c r="G6725" s="2"/>
      <c r="H6725" s="2"/>
    </row>
    <row r="6726">
      <c r="A6726" s="2"/>
      <c r="B6726" s="13"/>
      <c r="C6726" s="2"/>
      <c r="D6726" s="2"/>
      <c r="E6726" s="2"/>
      <c r="F6726" s="14"/>
      <c r="G6726" s="2"/>
      <c r="H6726" s="2"/>
    </row>
    <row r="6727">
      <c r="A6727" s="2"/>
      <c r="B6727" s="13"/>
      <c r="C6727" s="2"/>
      <c r="D6727" s="2"/>
      <c r="E6727" s="2"/>
      <c r="F6727" s="14"/>
      <c r="G6727" s="2"/>
      <c r="H6727" s="2"/>
    </row>
    <row r="6728">
      <c r="A6728" s="2"/>
      <c r="B6728" s="13"/>
      <c r="C6728" s="2"/>
      <c r="D6728" s="2"/>
      <c r="E6728" s="2"/>
      <c r="F6728" s="14"/>
      <c r="G6728" s="2"/>
      <c r="H6728" s="2"/>
    </row>
    <row r="6729">
      <c r="A6729" s="2"/>
      <c r="B6729" s="13"/>
      <c r="C6729" s="2"/>
      <c r="D6729" s="2"/>
      <c r="E6729" s="2"/>
      <c r="F6729" s="14"/>
      <c r="G6729" s="2"/>
      <c r="H6729" s="2"/>
    </row>
    <row r="6730">
      <c r="A6730" s="2"/>
      <c r="B6730" s="13"/>
      <c r="C6730" s="2"/>
      <c r="D6730" s="2"/>
      <c r="E6730" s="2"/>
      <c r="F6730" s="14"/>
      <c r="G6730" s="2"/>
      <c r="H6730" s="2"/>
    </row>
    <row r="6731">
      <c r="A6731" s="2"/>
      <c r="B6731" s="13"/>
      <c r="C6731" s="2"/>
      <c r="D6731" s="2"/>
      <c r="E6731" s="2"/>
      <c r="F6731" s="14"/>
      <c r="G6731" s="2"/>
      <c r="H6731" s="2"/>
    </row>
    <row r="6732">
      <c r="A6732" s="2"/>
      <c r="B6732" s="13"/>
      <c r="C6732" s="2"/>
      <c r="D6732" s="2"/>
      <c r="E6732" s="2"/>
      <c r="F6732" s="14"/>
      <c r="G6732" s="2"/>
      <c r="H6732" s="2"/>
    </row>
    <row r="6733">
      <c r="A6733" s="2"/>
      <c r="B6733" s="13"/>
      <c r="C6733" s="2"/>
      <c r="D6733" s="2"/>
      <c r="E6733" s="2"/>
      <c r="F6733" s="14"/>
      <c r="G6733" s="2"/>
      <c r="H6733" s="2"/>
    </row>
    <row r="6734">
      <c r="A6734" s="2"/>
      <c r="B6734" s="13"/>
      <c r="C6734" s="2"/>
      <c r="D6734" s="2"/>
      <c r="E6734" s="2"/>
      <c r="F6734" s="14"/>
      <c r="G6734" s="2"/>
      <c r="H6734" s="2"/>
    </row>
    <row r="6735">
      <c r="A6735" s="2"/>
      <c r="B6735" s="13"/>
      <c r="C6735" s="2"/>
      <c r="D6735" s="2"/>
      <c r="E6735" s="2"/>
      <c r="F6735" s="14"/>
      <c r="G6735" s="2"/>
      <c r="H6735" s="2"/>
    </row>
    <row r="6736">
      <c r="A6736" s="2"/>
      <c r="B6736" s="13"/>
      <c r="C6736" s="2"/>
      <c r="D6736" s="2"/>
      <c r="E6736" s="2"/>
      <c r="F6736" s="14"/>
      <c r="G6736" s="2"/>
      <c r="H6736" s="2"/>
    </row>
    <row r="6737">
      <c r="A6737" s="2"/>
      <c r="B6737" s="13"/>
      <c r="C6737" s="2"/>
      <c r="D6737" s="2"/>
      <c r="E6737" s="2"/>
      <c r="F6737" s="14"/>
      <c r="G6737" s="2"/>
      <c r="H6737" s="2"/>
    </row>
    <row r="6738">
      <c r="A6738" s="2"/>
      <c r="B6738" s="13"/>
      <c r="C6738" s="2"/>
      <c r="D6738" s="2"/>
      <c r="E6738" s="2"/>
      <c r="F6738" s="14"/>
      <c r="G6738" s="2"/>
      <c r="H6738" s="2"/>
    </row>
    <row r="6739">
      <c r="A6739" s="2"/>
      <c r="B6739" s="13"/>
      <c r="C6739" s="2"/>
      <c r="D6739" s="2"/>
      <c r="E6739" s="2"/>
      <c r="F6739" s="14"/>
      <c r="G6739" s="2"/>
      <c r="H6739" s="2"/>
    </row>
    <row r="6740">
      <c r="A6740" s="2"/>
      <c r="B6740" s="13"/>
      <c r="C6740" s="2"/>
      <c r="D6740" s="2"/>
      <c r="E6740" s="2"/>
      <c r="F6740" s="14"/>
      <c r="G6740" s="2"/>
      <c r="H6740" s="2"/>
    </row>
    <row r="6741">
      <c r="A6741" s="2"/>
      <c r="B6741" s="13"/>
      <c r="C6741" s="2"/>
      <c r="D6741" s="2"/>
      <c r="E6741" s="2"/>
      <c r="F6741" s="14"/>
      <c r="G6741" s="2"/>
      <c r="H6741" s="2"/>
    </row>
    <row r="6742">
      <c r="A6742" s="2"/>
      <c r="B6742" s="13"/>
      <c r="C6742" s="2"/>
      <c r="D6742" s="2"/>
      <c r="E6742" s="2"/>
      <c r="F6742" s="14"/>
      <c r="G6742" s="2"/>
      <c r="H6742" s="2"/>
    </row>
    <row r="6743">
      <c r="A6743" s="2"/>
      <c r="B6743" s="13"/>
      <c r="C6743" s="2"/>
      <c r="D6743" s="2"/>
      <c r="E6743" s="2"/>
      <c r="F6743" s="14"/>
      <c r="G6743" s="2"/>
      <c r="H6743" s="2"/>
    </row>
    <row r="6744">
      <c r="A6744" s="2"/>
      <c r="B6744" s="13"/>
      <c r="C6744" s="2"/>
      <c r="D6744" s="2"/>
      <c r="E6744" s="2"/>
      <c r="F6744" s="14"/>
      <c r="G6744" s="2"/>
      <c r="H6744" s="2"/>
    </row>
    <row r="6745">
      <c r="A6745" s="2"/>
      <c r="B6745" s="13"/>
      <c r="C6745" s="2"/>
      <c r="D6745" s="2"/>
      <c r="E6745" s="2"/>
      <c r="F6745" s="14"/>
      <c r="G6745" s="2"/>
      <c r="H6745" s="2"/>
    </row>
    <row r="6746">
      <c r="A6746" s="2"/>
      <c r="B6746" s="13"/>
      <c r="C6746" s="2"/>
      <c r="D6746" s="2"/>
      <c r="E6746" s="2"/>
      <c r="F6746" s="14"/>
      <c r="G6746" s="2"/>
      <c r="H6746" s="2"/>
    </row>
    <row r="6747">
      <c r="A6747" s="2"/>
      <c r="B6747" s="13"/>
      <c r="C6747" s="2"/>
      <c r="D6747" s="2"/>
      <c r="E6747" s="2"/>
      <c r="F6747" s="14"/>
      <c r="G6747" s="2"/>
      <c r="H6747" s="2"/>
    </row>
    <row r="6748">
      <c r="A6748" s="2"/>
      <c r="B6748" s="13"/>
      <c r="C6748" s="2"/>
      <c r="D6748" s="2"/>
      <c r="E6748" s="2"/>
      <c r="F6748" s="14"/>
      <c r="G6748" s="2"/>
      <c r="H6748" s="2"/>
    </row>
    <row r="6749">
      <c r="A6749" s="2"/>
      <c r="B6749" s="13"/>
      <c r="C6749" s="2"/>
      <c r="D6749" s="2"/>
      <c r="E6749" s="2"/>
      <c r="F6749" s="14"/>
      <c r="G6749" s="2"/>
      <c r="H6749" s="2"/>
    </row>
    <row r="6750">
      <c r="A6750" s="2"/>
      <c r="B6750" s="13"/>
      <c r="C6750" s="2"/>
      <c r="D6750" s="2"/>
      <c r="E6750" s="2"/>
      <c r="F6750" s="14"/>
      <c r="G6750" s="2"/>
      <c r="H6750" s="2"/>
    </row>
    <row r="6751">
      <c r="A6751" s="2"/>
      <c r="B6751" s="13"/>
      <c r="C6751" s="2"/>
      <c r="D6751" s="2"/>
      <c r="E6751" s="2"/>
      <c r="F6751" s="14"/>
      <c r="G6751" s="2"/>
      <c r="H6751" s="2"/>
    </row>
    <row r="6752">
      <c r="A6752" s="2"/>
      <c r="B6752" s="13"/>
      <c r="C6752" s="2"/>
      <c r="D6752" s="2"/>
      <c r="E6752" s="2"/>
      <c r="F6752" s="14"/>
      <c r="G6752" s="2"/>
      <c r="H6752" s="2"/>
    </row>
    <row r="6753">
      <c r="A6753" s="2"/>
      <c r="B6753" s="13"/>
      <c r="C6753" s="2"/>
      <c r="D6753" s="2"/>
      <c r="E6753" s="2"/>
      <c r="F6753" s="14"/>
      <c r="G6753" s="2"/>
      <c r="H6753" s="2"/>
    </row>
    <row r="6754">
      <c r="A6754" s="2"/>
      <c r="B6754" s="13"/>
      <c r="C6754" s="2"/>
      <c r="D6754" s="2"/>
      <c r="E6754" s="2"/>
      <c r="F6754" s="14"/>
      <c r="G6754" s="2"/>
      <c r="H6754" s="2"/>
    </row>
    <row r="6755">
      <c r="A6755" s="2"/>
      <c r="B6755" s="13"/>
      <c r="C6755" s="2"/>
      <c r="D6755" s="2"/>
      <c r="E6755" s="2"/>
      <c r="F6755" s="14"/>
      <c r="G6755" s="2"/>
      <c r="H6755" s="2"/>
    </row>
    <row r="6756">
      <c r="A6756" s="2"/>
      <c r="B6756" s="13"/>
      <c r="C6756" s="2"/>
      <c r="D6756" s="2"/>
      <c r="E6756" s="2"/>
      <c r="F6756" s="14"/>
      <c r="G6756" s="2"/>
      <c r="H6756" s="2"/>
    </row>
    <row r="6757">
      <c r="A6757" s="2"/>
      <c r="B6757" s="13"/>
      <c r="C6757" s="2"/>
      <c r="D6757" s="2"/>
      <c r="E6757" s="2"/>
      <c r="F6757" s="14"/>
      <c r="G6757" s="2"/>
      <c r="H6757" s="2"/>
    </row>
    <row r="6758">
      <c r="A6758" s="2"/>
      <c r="B6758" s="13"/>
      <c r="C6758" s="2"/>
      <c r="D6758" s="2"/>
      <c r="E6758" s="2"/>
      <c r="F6758" s="14"/>
      <c r="G6758" s="2"/>
      <c r="H6758" s="2"/>
    </row>
    <row r="6759">
      <c r="A6759" s="2"/>
      <c r="B6759" s="13"/>
      <c r="C6759" s="2"/>
      <c r="D6759" s="2"/>
      <c r="E6759" s="2"/>
      <c r="F6759" s="14"/>
      <c r="G6759" s="2"/>
      <c r="H6759" s="2"/>
    </row>
    <row r="6760">
      <c r="A6760" s="2"/>
      <c r="B6760" s="13"/>
      <c r="C6760" s="2"/>
      <c r="D6760" s="2"/>
      <c r="E6760" s="2"/>
      <c r="F6760" s="14"/>
      <c r="G6760" s="2"/>
      <c r="H6760" s="2"/>
    </row>
    <row r="6761">
      <c r="A6761" s="2"/>
      <c r="B6761" s="13"/>
      <c r="C6761" s="2"/>
      <c r="D6761" s="2"/>
      <c r="E6761" s="2"/>
      <c r="F6761" s="14"/>
      <c r="G6761" s="2"/>
      <c r="H6761" s="2"/>
    </row>
    <row r="6762">
      <c r="A6762" s="2"/>
      <c r="B6762" s="13"/>
      <c r="C6762" s="2"/>
      <c r="D6762" s="2"/>
      <c r="E6762" s="2"/>
      <c r="F6762" s="14"/>
      <c r="G6762" s="2"/>
      <c r="H6762" s="2"/>
    </row>
    <row r="6763">
      <c r="A6763" s="2"/>
      <c r="B6763" s="13"/>
      <c r="C6763" s="2"/>
      <c r="D6763" s="2"/>
      <c r="E6763" s="2"/>
      <c r="F6763" s="14"/>
      <c r="G6763" s="2"/>
      <c r="H6763" s="2"/>
    </row>
    <row r="6764">
      <c r="A6764" s="2"/>
      <c r="B6764" s="13"/>
      <c r="C6764" s="2"/>
      <c r="D6764" s="2"/>
      <c r="E6764" s="2"/>
      <c r="F6764" s="14"/>
      <c r="G6764" s="2"/>
      <c r="H6764" s="2"/>
    </row>
    <row r="6765">
      <c r="A6765" s="2"/>
      <c r="B6765" s="13"/>
      <c r="C6765" s="2"/>
      <c r="D6765" s="2"/>
      <c r="E6765" s="2"/>
      <c r="F6765" s="14"/>
      <c r="G6765" s="2"/>
      <c r="H6765" s="2"/>
    </row>
    <row r="6766">
      <c r="A6766" s="2"/>
      <c r="B6766" s="13"/>
      <c r="C6766" s="2"/>
      <c r="D6766" s="2"/>
      <c r="E6766" s="2"/>
      <c r="F6766" s="14"/>
      <c r="G6766" s="2"/>
      <c r="H6766" s="2"/>
    </row>
    <row r="6767">
      <c r="A6767" s="2"/>
      <c r="B6767" s="13"/>
      <c r="C6767" s="2"/>
      <c r="D6767" s="2"/>
      <c r="E6767" s="2"/>
      <c r="F6767" s="14"/>
      <c r="G6767" s="2"/>
      <c r="H6767" s="2"/>
    </row>
    <row r="6768">
      <c r="A6768" s="2"/>
      <c r="B6768" s="13"/>
      <c r="C6768" s="2"/>
      <c r="D6768" s="2"/>
      <c r="E6768" s="2"/>
      <c r="F6768" s="14"/>
      <c r="G6768" s="2"/>
      <c r="H6768" s="2"/>
    </row>
    <row r="6769">
      <c r="A6769" s="2"/>
      <c r="B6769" s="13"/>
      <c r="C6769" s="2"/>
      <c r="D6769" s="2"/>
      <c r="E6769" s="2"/>
      <c r="F6769" s="14"/>
      <c r="G6769" s="2"/>
      <c r="H6769" s="2"/>
    </row>
    <row r="6770">
      <c r="A6770" s="2"/>
      <c r="B6770" s="13"/>
      <c r="C6770" s="2"/>
      <c r="D6770" s="2"/>
      <c r="E6770" s="2"/>
      <c r="F6770" s="14"/>
      <c r="G6770" s="2"/>
      <c r="H6770" s="2"/>
    </row>
    <row r="6771">
      <c r="A6771" s="2"/>
      <c r="B6771" s="13"/>
      <c r="C6771" s="2"/>
      <c r="D6771" s="2"/>
      <c r="E6771" s="2"/>
      <c r="F6771" s="14"/>
      <c r="G6771" s="2"/>
      <c r="H6771" s="2"/>
    </row>
    <row r="6772">
      <c r="A6772" s="2"/>
      <c r="B6772" s="13"/>
      <c r="C6772" s="2"/>
      <c r="D6772" s="2"/>
      <c r="E6772" s="2"/>
      <c r="F6772" s="14"/>
      <c r="G6772" s="2"/>
      <c r="H6772" s="2"/>
    </row>
    <row r="6773">
      <c r="A6773" s="2"/>
      <c r="B6773" s="13"/>
      <c r="C6773" s="2"/>
      <c r="D6773" s="2"/>
      <c r="E6773" s="2"/>
      <c r="F6773" s="14"/>
      <c r="G6773" s="2"/>
      <c r="H6773" s="2"/>
    </row>
    <row r="6774">
      <c r="A6774" s="2"/>
      <c r="B6774" s="13"/>
      <c r="C6774" s="2"/>
      <c r="D6774" s="2"/>
      <c r="E6774" s="2"/>
      <c r="F6774" s="14"/>
      <c r="G6774" s="2"/>
      <c r="H6774" s="2"/>
    </row>
    <row r="6775">
      <c r="A6775" s="2"/>
      <c r="B6775" s="13"/>
      <c r="C6775" s="2"/>
      <c r="D6775" s="2"/>
      <c r="E6775" s="2"/>
      <c r="F6775" s="14"/>
      <c r="G6775" s="2"/>
      <c r="H6775" s="2"/>
    </row>
    <row r="6776">
      <c r="A6776" s="2"/>
      <c r="B6776" s="13"/>
      <c r="C6776" s="2"/>
      <c r="D6776" s="2"/>
      <c r="E6776" s="2"/>
      <c r="F6776" s="14"/>
      <c r="G6776" s="2"/>
      <c r="H6776" s="2"/>
    </row>
    <row r="6777">
      <c r="A6777" s="2"/>
      <c r="B6777" s="13"/>
      <c r="C6777" s="2"/>
      <c r="D6777" s="2"/>
      <c r="E6777" s="2"/>
      <c r="F6777" s="14"/>
      <c r="G6777" s="2"/>
      <c r="H6777" s="2"/>
    </row>
    <row r="6778">
      <c r="A6778" s="2"/>
      <c r="B6778" s="13"/>
      <c r="C6778" s="2"/>
      <c r="D6778" s="2"/>
      <c r="E6778" s="2"/>
      <c r="F6778" s="14"/>
      <c r="G6778" s="2"/>
      <c r="H6778" s="2"/>
    </row>
    <row r="6779">
      <c r="A6779" s="2"/>
      <c r="B6779" s="13"/>
      <c r="C6779" s="2"/>
      <c r="D6779" s="2"/>
      <c r="E6779" s="2"/>
      <c r="F6779" s="14"/>
      <c r="G6779" s="2"/>
      <c r="H6779" s="2"/>
    </row>
    <row r="6780">
      <c r="A6780" s="2"/>
      <c r="B6780" s="13"/>
      <c r="C6780" s="2"/>
      <c r="D6780" s="2"/>
      <c r="E6780" s="2"/>
      <c r="F6780" s="14"/>
      <c r="G6780" s="2"/>
      <c r="H6780" s="2"/>
    </row>
    <row r="6781">
      <c r="A6781" s="2"/>
      <c r="B6781" s="13"/>
      <c r="C6781" s="2"/>
      <c r="D6781" s="2"/>
      <c r="E6781" s="2"/>
      <c r="F6781" s="14"/>
      <c r="G6781" s="2"/>
      <c r="H6781" s="2"/>
    </row>
    <row r="6782">
      <c r="A6782" s="2"/>
      <c r="B6782" s="13"/>
      <c r="C6782" s="2"/>
      <c r="D6782" s="2"/>
      <c r="E6782" s="2"/>
      <c r="F6782" s="14"/>
      <c r="G6782" s="2"/>
      <c r="H6782" s="2"/>
    </row>
    <row r="6783">
      <c r="A6783" s="2"/>
      <c r="B6783" s="13"/>
      <c r="C6783" s="2"/>
      <c r="D6783" s="2"/>
      <c r="E6783" s="2"/>
      <c r="F6783" s="14"/>
      <c r="G6783" s="2"/>
      <c r="H6783" s="2"/>
    </row>
    <row r="6784">
      <c r="A6784" s="2"/>
      <c r="B6784" s="13"/>
      <c r="C6784" s="2"/>
      <c r="D6784" s="2"/>
      <c r="E6784" s="2"/>
      <c r="F6784" s="14"/>
      <c r="G6784" s="2"/>
      <c r="H6784" s="2"/>
    </row>
    <row r="6785">
      <c r="A6785" s="2"/>
      <c r="B6785" s="13"/>
      <c r="C6785" s="2"/>
      <c r="D6785" s="2"/>
      <c r="E6785" s="2"/>
      <c r="F6785" s="14"/>
      <c r="G6785" s="2"/>
      <c r="H6785" s="2"/>
    </row>
    <row r="6786">
      <c r="A6786" s="2"/>
      <c r="B6786" s="13"/>
      <c r="C6786" s="2"/>
      <c r="D6786" s="2"/>
      <c r="E6786" s="2"/>
      <c r="F6786" s="14"/>
      <c r="G6786" s="2"/>
      <c r="H6786" s="2"/>
    </row>
    <row r="6787">
      <c r="A6787" s="2"/>
      <c r="B6787" s="13"/>
      <c r="C6787" s="2"/>
      <c r="D6787" s="2"/>
      <c r="E6787" s="2"/>
      <c r="F6787" s="14"/>
      <c r="G6787" s="2"/>
      <c r="H6787" s="2"/>
    </row>
    <row r="6788">
      <c r="A6788" s="2"/>
      <c r="B6788" s="13"/>
      <c r="C6788" s="2"/>
      <c r="D6788" s="2"/>
      <c r="E6788" s="2"/>
      <c r="F6788" s="14"/>
      <c r="G6788" s="2"/>
      <c r="H6788" s="2"/>
    </row>
    <row r="6789">
      <c r="A6789" s="2"/>
      <c r="B6789" s="13"/>
      <c r="C6789" s="2"/>
      <c r="D6789" s="2"/>
      <c r="E6789" s="2"/>
      <c r="F6789" s="14"/>
      <c r="G6789" s="2"/>
      <c r="H6789" s="2"/>
    </row>
    <row r="6790">
      <c r="A6790" s="2"/>
      <c r="B6790" s="13"/>
      <c r="C6790" s="2"/>
      <c r="D6790" s="2"/>
      <c r="E6790" s="2"/>
      <c r="F6790" s="14"/>
      <c r="G6790" s="2"/>
      <c r="H6790" s="2"/>
    </row>
    <row r="6791">
      <c r="A6791" s="2"/>
      <c r="B6791" s="13"/>
      <c r="C6791" s="2"/>
      <c r="D6791" s="2"/>
      <c r="E6791" s="2"/>
      <c r="F6791" s="14"/>
      <c r="G6791" s="2"/>
      <c r="H6791" s="2"/>
    </row>
    <row r="6792">
      <c r="A6792" s="2"/>
      <c r="B6792" s="13"/>
      <c r="C6792" s="2"/>
      <c r="D6792" s="2"/>
      <c r="E6792" s="2"/>
      <c r="F6792" s="14"/>
      <c r="G6792" s="2"/>
      <c r="H6792" s="2"/>
    </row>
    <row r="6793">
      <c r="A6793" s="2"/>
      <c r="B6793" s="13"/>
      <c r="C6793" s="2"/>
      <c r="D6793" s="2"/>
      <c r="E6793" s="2"/>
      <c r="F6793" s="14"/>
      <c r="G6793" s="2"/>
      <c r="H6793" s="2"/>
    </row>
    <row r="6794">
      <c r="A6794" s="2"/>
      <c r="B6794" s="13"/>
      <c r="C6794" s="2"/>
      <c r="D6794" s="2"/>
      <c r="E6794" s="2"/>
      <c r="F6794" s="14"/>
      <c r="G6794" s="2"/>
      <c r="H6794" s="2"/>
    </row>
    <row r="6795">
      <c r="A6795" s="2"/>
      <c r="B6795" s="13"/>
      <c r="C6795" s="2"/>
      <c r="D6795" s="2"/>
      <c r="E6795" s="2"/>
      <c r="F6795" s="14"/>
      <c r="G6795" s="2"/>
      <c r="H6795" s="2"/>
    </row>
    <row r="6796">
      <c r="A6796" s="2"/>
      <c r="B6796" s="13"/>
      <c r="C6796" s="2"/>
      <c r="D6796" s="2"/>
      <c r="E6796" s="2"/>
      <c r="F6796" s="14"/>
      <c r="G6796" s="2"/>
      <c r="H6796" s="2"/>
    </row>
    <row r="6797">
      <c r="A6797" s="2"/>
      <c r="B6797" s="13"/>
      <c r="C6797" s="2"/>
      <c r="D6797" s="2"/>
      <c r="E6797" s="2"/>
      <c r="F6797" s="14"/>
      <c r="G6797" s="2"/>
      <c r="H6797" s="2"/>
    </row>
    <row r="6798">
      <c r="A6798" s="2"/>
      <c r="B6798" s="13"/>
      <c r="C6798" s="2"/>
      <c r="D6798" s="2"/>
      <c r="E6798" s="2"/>
      <c r="F6798" s="14"/>
      <c r="G6798" s="2"/>
      <c r="H6798" s="2"/>
    </row>
    <row r="6799">
      <c r="A6799" s="2"/>
      <c r="B6799" s="13"/>
      <c r="C6799" s="2"/>
      <c r="D6799" s="2"/>
      <c r="E6799" s="2"/>
      <c r="F6799" s="14"/>
      <c r="G6799" s="2"/>
      <c r="H6799" s="2"/>
    </row>
    <row r="6800">
      <c r="A6800" s="2"/>
      <c r="B6800" s="13"/>
      <c r="C6800" s="2"/>
      <c r="D6800" s="2"/>
      <c r="E6800" s="2"/>
      <c r="F6800" s="14"/>
      <c r="G6800" s="2"/>
      <c r="H6800" s="2"/>
    </row>
    <row r="6801">
      <c r="A6801" s="2"/>
      <c r="B6801" s="13"/>
      <c r="C6801" s="2"/>
      <c r="D6801" s="2"/>
      <c r="E6801" s="2"/>
      <c r="F6801" s="14"/>
      <c r="G6801" s="2"/>
      <c r="H6801" s="2"/>
    </row>
    <row r="6802">
      <c r="A6802" s="2"/>
      <c r="B6802" s="13"/>
      <c r="C6802" s="2"/>
      <c r="D6802" s="2"/>
      <c r="E6802" s="2"/>
      <c r="F6802" s="14"/>
      <c r="G6802" s="2"/>
      <c r="H6802" s="2"/>
    </row>
    <row r="6803">
      <c r="A6803" s="2"/>
      <c r="B6803" s="13"/>
      <c r="C6803" s="2"/>
      <c r="D6803" s="2"/>
      <c r="E6803" s="2"/>
      <c r="F6803" s="14"/>
      <c r="G6803" s="2"/>
      <c r="H6803" s="2"/>
    </row>
    <row r="6804">
      <c r="A6804" s="2"/>
      <c r="B6804" s="13"/>
      <c r="C6804" s="2"/>
      <c r="D6804" s="2"/>
      <c r="E6804" s="2"/>
      <c r="F6804" s="14"/>
      <c r="G6804" s="2"/>
      <c r="H6804" s="2"/>
    </row>
    <row r="6805">
      <c r="A6805" s="2"/>
      <c r="B6805" s="13"/>
      <c r="C6805" s="2"/>
      <c r="D6805" s="2"/>
      <c r="E6805" s="2"/>
      <c r="F6805" s="14"/>
      <c r="G6805" s="2"/>
      <c r="H6805" s="2"/>
    </row>
    <row r="6806">
      <c r="A6806" s="2"/>
      <c r="B6806" s="13"/>
      <c r="C6806" s="2"/>
      <c r="D6806" s="2"/>
      <c r="E6806" s="2"/>
      <c r="F6806" s="14"/>
      <c r="G6806" s="2"/>
      <c r="H6806" s="2"/>
    </row>
    <row r="6807">
      <c r="A6807" s="2"/>
      <c r="B6807" s="13"/>
      <c r="C6807" s="2"/>
      <c r="D6807" s="2"/>
      <c r="E6807" s="2"/>
      <c r="F6807" s="14"/>
      <c r="G6807" s="2"/>
      <c r="H6807" s="2"/>
    </row>
    <row r="6808">
      <c r="A6808" s="2"/>
      <c r="B6808" s="13"/>
      <c r="C6808" s="2"/>
      <c r="D6808" s="2"/>
      <c r="E6808" s="2"/>
      <c r="F6808" s="14"/>
      <c r="G6808" s="2"/>
      <c r="H6808" s="2"/>
    </row>
    <row r="6809">
      <c r="A6809" s="2"/>
      <c r="B6809" s="13"/>
      <c r="C6809" s="2"/>
      <c r="D6809" s="2"/>
      <c r="E6809" s="2"/>
      <c r="F6809" s="14"/>
      <c r="G6809" s="2"/>
      <c r="H6809" s="2"/>
    </row>
    <row r="6810">
      <c r="A6810" s="2"/>
      <c r="B6810" s="13"/>
      <c r="C6810" s="2"/>
      <c r="D6810" s="2"/>
      <c r="E6810" s="2"/>
      <c r="F6810" s="14"/>
      <c r="G6810" s="2"/>
      <c r="H6810" s="2"/>
    </row>
    <row r="6811">
      <c r="A6811" s="2"/>
      <c r="B6811" s="13"/>
      <c r="C6811" s="2"/>
      <c r="D6811" s="2"/>
      <c r="E6811" s="2"/>
      <c r="F6811" s="14"/>
      <c r="G6811" s="2"/>
      <c r="H6811" s="2"/>
    </row>
    <row r="6812">
      <c r="A6812" s="2"/>
      <c r="B6812" s="13"/>
      <c r="C6812" s="2"/>
      <c r="D6812" s="2"/>
      <c r="E6812" s="2"/>
      <c r="F6812" s="14"/>
      <c r="G6812" s="2"/>
      <c r="H6812" s="2"/>
    </row>
    <row r="6813">
      <c r="A6813" s="2"/>
      <c r="B6813" s="13"/>
      <c r="C6813" s="2"/>
      <c r="D6813" s="2"/>
      <c r="E6813" s="2"/>
      <c r="F6813" s="14"/>
      <c r="G6813" s="2"/>
      <c r="H6813" s="2"/>
    </row>
    <row r="6814">
      <c r="A6814" s="2"/>
      <c r="B6814" s="13"/>
      <c r="C6814" s="2"/>
      <c r="D6814" s="2"/>
      <c r="E6814" s="2"/>
      <c r="F6814" s="14"/>
      <c r="G6814" s="2"/>
      <c r="H6814" s="2"/>
    </row>
    <row r="6815">
      <c r="A6815" s="2"/>
      <c r="B6815" s="13"/>
      <c r="C6815" s="2"/>
      <c r="D6815" s="2"/>
      <c r="E6815" s="2"/>
      <c r="F6815" s="14"/>
      <c r="G6815" s="2"/>
      <c r="H6815" s="2"/>
    </row>
    <row r="6816">
      <c r="A6816" s="2"/>
      <c r="B6816" s="13"/>
      <c r="C6816" s="2"/>
      <c r="D6816" s="2"/>
      <c r="E6816" s="2"/>
      <c r="F6816" s="14"/>
      <c r="G6816" s="2"/>
      <c r="H6816" s="2"/>
    </row>
    <row r="6817">
      <c r="A6817" s="2"/>
      <c r="B6817" s="13"/>
      <c r="C6817" s="2"/>
      <c r="D6817" s="2"/>
      <c r="E6817" s="2"/>
      <c r="F6817" s="14"/>
      <c r="G6817" s="2"/>
      <c r="H6817" s="2"/>
    </row>
    <row r="6818">
      <c r="A6818" s="2"/>
      <c r="B6818" s="13"/>
      <c r="C6818" s="2"/>
      <c r="D6818" s="2"/>
      <c r="E6818" s="2"/>
      <c r="F6818" s="14"/>
      <c r="G6818" s="2"/>
      <c r="H6818" s="2"/>
    </row>
    <row r="6819">
      <c r="A6819" s="2"/>
      <c r="B6819" s="13"/>
      <c r="C6819" s="2"/>
      <c r="D6819" s="2"/>
      <c r="E6819" s="2"/>
      <c r="F6819" s="14"/>
      <c r="G6819" s="2"/>
      <c r="H6819" s="2"/>
    </row>
    <row r="6820">
      <c r="A6820" s="2"/>
      <c r="B6820" s="13"/>
      <c r="C6820" s="2"/>
      <c r="D6820" s="2"/>
      <c r="E6820" s="2"/>
      <c r="F6820" s="14"/>
      <c r="G6820" s="2"/>
      <c r="H6820" s="2"/>
    </row>
    <row r="6821">
      <c r="A6821" s="2"/>
      <c r="B6821" s="13"/>
      <c r="C6821" s="2"/>
      <c r="D6821" s="2"/>
      <c r="E6821" s="2"/>
      <c r="F6821" s="14"/>
      <c r="G6821" s="2"/>
      <c r="H6821" s="2"/>
    </row>
    <row r="6822">
      <c r="A6822" s="2"/>
      <c r="B6822" s="13"/>
      <c r="C6822" s="2"/>
      <c r="D6822" s="2"/>
      <c r="E6822" s="2"/>
      <c r="F6822" s="14"/>
      <c r="G6822" s="2"/>
      <c r="H6822" s="2"/>
    </row>
    <row r="6823">
      <c r="A6823" s="2"/>
      <c r="B6823" s="13"/>
      <c r="C6823" s="2"/>
      <c r="D6823" s="2"/>
      <c r="E6823" s="2"/>
      <c r="F6823" s="14"/>
      <c r="G6823" s="2"/>
      <c r="H6823" s="2"/>
    </row>
    <row r="6824">
      <c r="A6824" s="2"/>
      <c r="B6824" s="13"/>
      <c r="C6824" s="2"/>
      <c r="D6824" s="2"/>
      <c r="E6824" s="2"/>
      <c r="F6824" s="14"/>
      <c r="G6824" s="2"/>
      <c r="H6824" s="2"/>
    </row>
    <row r="6825">
      <c r="A6825" s="2"/>
      <c r="B6825" s="13"/>
      <c r="C6825" s="2"/>
      <c r="D6825" s="2"/>
      <c r="E6825" s="2"/>
      <c r="F6825" s="14"/>
      <c r="G6825" s="2"/>
      <c r="H6825" s="2"/>
    </row>
    <row r="6826">
      <c r="A6826" s="2"/>
      <c r="B6826" s="13"/>
      <c r="C6826" s="2"/>
      <c r="D6826" s="2"/>
      <c r="E6826" s="2"/>
      <c r="F6826" s="14"/>
      <c r="G6826" s="2"/>
      <c r="H6826" s="2"/>
    </row>
    <row r="6827">
      <c r="A6827" s="2"/>
      <c r="B6827" s="13"/>
      <c r="C6827" s="2"/>
      <c r="D6827" s="2"/>
      <c r="E6827" s="2"/>
      <c r="F6827" s="14"/>
      <c r="G6827" s="2"/>
      <c r="H6827" s="2"/>
    </row>
    <row r="6828">
      <c r="A6828" s="2"/>
      <c r="B6828" s="13"/>
      <c r="C6828" s="2"/>
      <c r="D6828" s="2"/>
      <c r="E6828" s="2"/>
      <c r="F6828" s="14"/>
      <c r="G6828" s="2"/>
      <c r="H6828" s="2"/>
    </row>
    <row r="6829">
      <c r="A6829" s="2"/>
      <c r="B6829" s="13"/>
      <c r="C6829" s="2"/>
      <c r="D6829" s="2"/>
      <c r="E6829" s="2"/>
      <c r="F6829" s="14"/>
      <c r="G6829" s="2"/>
      <c r="H6829" s="2"/>
    </row>
    <row r="6830">
      <c r="A6830" s="2"/>
      <c r="B6830" s="13"/>
      <c r="C6830" s="2"/>
      <c r="D6830" s="2"/>
      <c r="E6830" s="2"/>
      <c r="F6830" s="14"/>
      <c r="G6830" s="2"/>
      <c r="H6830" s="2"/>
    </row>
    <row r="6831">
      <c r="A6831" s="2"/>
      <c r="B6831" s="13"/>
      <c r="C6831" s="2"/>
      <c r="D6831" s="2"/>
      <c r="E6831" s="2"/>
      <c r="F6831" s="14"/>
      <c r="G6831" s="2"/>
      <c r="H6831" s="2"/>
    </row>
    <row r="6832">
      <c r="A6832" s="2"/>
      <c r="B6832" s="13"/>
      <c r="C6832" s="2"/>
      <c r="D6832" s="2"/>
      <c r="E6832" s="2"/>
      <c r="F6832" s="14"/>
      <c r="G6832" s="2"/>
      <c r="H6832" s="2"/>
    </row>
    <row r="6833">
      <c r="A6833" s="2"/>
      <c r="B6833" s="13"/>
      <c r="C6833" s="2"/>
      <c r="D6833" s="2"/>
      <c r="E6833" s="2"/>
      <c r="F6833" s="14"/>
      <c r="G6833" s="2"/>
      <c r="H6833" s="2"/>
    </row>
    <row r="6834">
      <c r="A6834" s="2"/>
      <c r="B6834" s="13"/>
      <c r="C6834" s="2"/>
      <c r="D6834" s="2"/>
      <c r="E6834" s="2"/>
      <c r="F6834" s="14"/>
      <c r="G6834" s="2"/>
      <c r="H6834" s="2"/>
    </row>
    <row r="6835">
      <c r="A6835" s="2"/>
      <c r="B6835" s="13"/>
      <c r="C6835" s="2"/>
      <c r="D6835" s="2"/>
      <c r="E6835" s="2"/>
      <c r="F6835" s="14"/>
      <c r="G6835" s="2"/>
      <c r="H6835" s="2"/>
    </row>
    <row r="6836">
      <c r="A6836" s="2"/>
      <c r="B6836" s="13"/>
      <c r="C6836" s="2"/>
      <c r="D6836" s="2"/>
      <c r="E6836" s="2"/>
      <c r="F6836" s="14"/>
      <c r="G6836" s="2"/>
      <c r="H6836" s="2"/>
    </row>
    <row r="6837">
      <c r="A6837" s="2"/>
      <c r="B6837" s="13"/>
      <c r="C6837" s="2"/>
      <c r="D6837" s="2"/>
      <c r="E6837" s="2"/>
      <c r="F6837" s="14"/>
      <c r="G6837" s="2"/>
      <c r="H6837" s="2"/>
    </row>
    <row r="6838">
      <c r="A6838" s="2"/>
      <c r="B6838" s="13"/>
      <c r="C6838" s="2"/>
      <c r="D6838" s="2"/>
      <c r="E6838" s="2"/>
      <c r="F6838" s="14"/>
      <c r="G6838" s="2"/>
      <c r="H6838" s="2"/>
    </row>
    <row r="6839">
      <c r="A6839" s="2"/>
      <c r="B6839" s="13"/>
      <c r="C6839" s="2"/>
      <c r="D6839" s="2"/>
      <c r="E6839" s="2"/>
      <c r="F6839" s="14"/>
      <c r="G6839" s="2"/>
      <c r="H6839" s="2"/>
    </row>
    <row r="6840">
      <c r="A6840" s="2"/>
      <c r="B6840" s="13"/>
      <c r="C6840" s="2"/>
      <c r="D6840" s="2"/>
      <c r="E6840" s="2"/>
      <c r="F6840" s="14"/>
      <c r="G6840" s="2"/>
      <c r="H6840" s="2"/>
    </row>
    <row r="6841">
      <c r="A6841" s="2"/>
      <c r="B6841" s="13"/>
      <c r="C6841" s="2"/>
      <c r="D6841" s="2"/>
      <c r="E6841" s="2"/>
      <c r="F6841" s="14"/>
      <c r="G6841" s="2"/>
      <c r="H6841" s="2"/>
    </row>
    <row r="6842">
      <c r="A6842" s="2"/>
      <c r="B6842" s="13"/>
      <c r="C6842" s="2"/>
      <c r="D6842" s="2"/>
      <c r="E6842" s="2"/>
      <c r="F6842" s="14"/>
      <c r="G6842" s="2"/>
      <c r="H6842" s="2"/>
    </row>
    <row r="6843">
      <c r="A6843" s="2"/>
      <c r="B6843" s="13"/>
      <c r="C6843" s="2"/>
      <c r="D6843" s="2"/>
      <c r="E6843" s="2"/>
      <c r="F6843" s="14"/>
      <c r="G6843" s="2"/>
      <c r="H6843" s="2"/>
    </row>
    <row r="6844">
      <c r="A6844" s="2"/>
      <c r="B6844" s="13"/>
      <c r="C6844" s="2"/>
      <c r="D6844" s="2"/>
      <c r="E6844" s="2"/>
      <c r="F6844" s="14"/>
      <c r="G6844" s="2"/>
      <c r="H6844" s="2"/>
    </row>
    <row r="6845">
      <c r="A6845" s="2"/>
      <c r="B6845" s="13"/>
      <c r="C6845" s="2"/>
      <c r="D6845" s="2"/>
      <c r="E6845" s="2"/>
      <c r="F6845" s="14"/>
      <c r="G6845" s="2"/>
      <c r="H6845" s="2"/>
    </row>
    <row r="6846">
      <c r="A6846" s="2"/>
      <c r="B6846" s="13"/>
      <c r="C6846" s="2"/>
      <c r="D6846" s="2"/>
      <c r="E6846" s="2"/>
      <c r="F6846" s="14"/>
      <c r="G6846" s="2"/>
      <c r="H6846" s="2"/>
    </row>
    <row r="6847">
      <c r="A6847" s="2"/>
      <c r="B6847" s="13"/>
      <c r="C6847" s="2"/>
      <c r="D6847" s="2"/>
      <c r="E6847" s="2"/>
      <c r="F6847" s="14"/>
      <c r="G6847" s="2"/>
      <c r="H6847" s="2"/>
    </row>
    <row r="6848">
      <c r="A6848" s="2"/>
      <c r="B6848" s="13"/>
      <c r="C6848" s="2"/>
      <c r="D6848" s="2"/>
      <c r="E6848" s="2"/>
      <c r="F6848" s="14"/>
      <c r="G6848" s="2"/>
      <c r="H6848" s="2"/>
    </row>
    <row r="6849">
      <c r="A6849" s="2"/>
      <c r="B6849" s="13"/>
      <c r="C6849" s="2"/>
      <c r="D6849" s="2"/>
      <c r="E6849" s="2"/>
      <c r="F6849" s="14"/>
      <c r="G6849" s="2"/>
      <c r="H6849" s="2"/>
    </row>
    <row r="6850">
      <c r="A6850" s="2"/>
      <c r="B6850" s="13"/>
      <c r="C6850" s="2"/>
      <c r="D6850" s="2"/>
      <c r="E6850" s="2"/>
      <c r="F6850" s="14"/>
      <c r="G6850" s="2"/>
      <c r="H6850" s="2"/>
    </row>
    <row r="6851">
      <c r="A6851" s="2"/>
      <c r="B6851" s="13"/>
      <c r="C6851" s="2"/>
      <c r="D6851" s="2"/>
      <c r="E6851" s="2"/>
      <c r="F6851" s="14"/>
      <c r="G6851" s="2"/>
      <c r="H6851" s="2"/>
    </row>
    <row r="6852">
      <c r="A6852" s="2"/>
      <c r="B6852" s="13"/>
      <c r="C6852" s="2"/>
      <c r="D6852" s="2"/>
      <c r="E6852" s="2"/>
      <c r="F6852" s="14"/>
      <c r="G6852" s="2"/>
      <c r="H6852" s="2"/>
    </row>
    <row r="6853">
      <c r="A6853" s="2"/>
      <c r="B6853" s="13"/>
      <c r="C6853" s="2"/>
      <c r="D6853" s="2"/>
      <c r="E6853" s="2"/>
      <c r="F6853" s="14"/>
      <c r="G6853" s="2"/>
      <c r="H6853" s="2"/>
    </row>
    <row r="6854">
      <c r="A6854" s="2"/>
      <c r="B6854" s="13"/>
      <c r="C6854" s="2"/>
      <c r="D6854" s="2"/>
      <c r="E6854" s="2"/>
      <c r="F6854" s="14"/>
      <c r="G6854" s="2"/>
      <c r="H6854" s="2"/>
    </row>
    <row r="6855">
      <c r="A6855" s="2"/>
      <c r="B6855" s="13"/>
      <c r="C6855" s="2"/>
      <c r="D6855" s="2"/>
      <c r="E6855" s="2"/>
      <c r="F6855" s="14"/>
      <c r="G6855" s="2"/>
      <c r="H6855" s="2"/>
    </row>
    <row r="6856">
      <c r="A6856" s="2"/>
      <c r="B6856" s="13"/>
      <c r="C6856" s="2"/>
      <c r="D6856" s="2"/>
      <c r="E6856" s="2"/>
      <c r="F6856" s="14"/>
      <c r="G6856" s="2"/>
      <c r="H6856" s="2"/>
    </row>
    <row r="6857">
      <c r="A6857" s="2"/>
      <c r="B6857" s="13"/>
      <c r="C6857" s="2"/>
      <c r="D6857" s="2"/>
      <c r="E6857" s="2"/>
      <c r="F6857" s="14"/>
      <c r="G6857" s="2"/>
      <c r="H6857" s="2"/>
    </row>
    <row r="6858">
      <c r="A6858" s="2"/>
      <c r="B6858" s="13"/>
      <c r="C6858" s="2"/>
      <c r="D6858" s="2"/>
      <c r="E6858" s="2"/>
      <c r="F6858" s="14"/>
      <c r="G6858" s="2"/>
      <c r="H6858" s="2"/>
    </row>
    <row r="6859">
      <c r="A6859" s="2"/>
      <c r="B6859" s="13"/>
      <c r="C6859" s="2"/>
      <c r="D6859" s="2"/>
      <c r="E6859" s="2"/>
      <c r="F6859" s="14"/>
      <c r="G6859" s="2"/>
      <c r="H6859" s="2"/>
    </row>
    <row r="6860">
      <c r="A6860" s="2"/>
      <c r="B6860" s="13"/>
      <c r="C6860" s="2"/>
      <c r="D6860" s="2"/>
      <c r="E6860" s="2"/>
      <c r="F6860" s="14"/>
      <c r="G6860" s="2"/>
      <c r="H6860" s="2"/>
    </row>
    <row r="6861">
      <c r="A6861" s="2"/>
      <c r="B6861" s="13"/>
      <c r="C6861" s="2"/>
      <c r="D6861" s="2"/>
      <c r="E6861" s="2"/>
      <c r="F6861" s="14"/>
      <c r="G6861" s="2"/>
      <c r="H6861" s="2"/>
    </row>
    <row r="6862">
      <c r="A6862" s="2"/>
      <c r="B6862" s="13"/>
      <c r="C6862" s="2"/>
      <c r="D6862" s="2"/>
      <c r="E6862" s="2"/>
      <c r="F6862" s="14"/>
      <c r="G6862" s="2"/>
      <c r="H6862" s="2"/>
    </row>
    <row r="6863">
      <c r="A6863" s="2"/>
      <c r="B6863" s="13"/>
      <c r="C6863" s="2"/>
      <c r="D6863" s="2"/>
      <c r="E6863" s="2"/>
      <c r="F6863" s="14"/>
      <c r="G6863" s="2"/>
      <c r="H6863" s="2"/>
    </row>
    <row r="6864">
      <c r="A6864" s="2"/>
      <c r="B6864" s="13"/>
      <c r="C6864" s="2"/>
      <c r="D6864" s="2"/>
      <c r="E6864" s="2"/>
      <c r="F6864" s="14"/>
      <c r="G6864" s="2"/>
      <c r="H6864" s="2"/>
    </row>
    <row r="6865">
      <c r="A6865" s="2"/>
      <c r="B6865" s="13"/>
      <c r="C6865" s="2"/>
      <c r="D6865" s="2"/>
      <c r="E6865" s="2"/>
      <c r="F6865" s="14"/>
      <c r="G6865" s="2"/>
      <c r="H6865" s="2"/>
    </row>
    <row r="6866">
      <c r="A6866" s="2"/>
      <c r="B6866" s="13"/>
      <c r="C6866" s="2"/>
      <c r="D6866" s="2"/>
      <c r="E6866" s="2"/>
      <c r="F6866" s="14"/>
      <c r="G6866" s="2"/>
      <c r="H6866" s="2"/>
    </row>
    <row r="6867">
      <c r="A6867" s="2"/>
      <c r="B6867" s="13"/>
      <c r="C6867" s="2"/>
      <c r="D6867" s="2"/>
      <c r="E6867" s="2"/>
      <c r="F6867" s="14"/>
      <c r="G6867" s="2"/>
      <c r="H6867" s="2"/>
    </row>
    <row r="6868">
      <c r="A6868" s="2"/>
      <c r="B6868" s="13"/>
      <c r="C6868" s="2"/>
      <c r="D6868" s="2"/>
      <c r="E6868" s="2"/>
      <c r="F6868" s="14"/>
      <c r="G6868" s="2"/>
      <c r="H6868" s="2"/>
    </row>
    <row r="6869">
      <c r="A6869" s="2"/>
      <c r="B6869" s="13"/>
      <c r="C6869" s="2"/>
      <c r="D6869" s="2"/>
      <c r="E6869" s="2"/>
      <c r="F6869" s="14"/>
      <c r="G6869" s="2"/>
      <c r="H6869" s="2"/>
    </row>
    <row r="6870">
      <c r="A6870" s="2"/>
      <c r="B6870" s="13"/>
      <c r="C6870" s="2"/>
      <c r="D6870" s="2"/>
      <c r="E6870" s="2"/>
      <c r="F6870" s="14"/>
      <c r="G6870" s="2"/>
      <c r="H6870" s="2"/>
    </row>
    <row r="6871">
      <c r="A6871" s="2"/>
      <c r="B6871" s="13"/>
      <c r="C6871" s="2"/>
      <c r="D6871" s="2"/>
      <c r="E6871" s="2"/>
      <c r="F6871" s="14"/>
      <c r="G6871" s="2"/>
      <c r="H6871" s="2"/>
    </row>
    <row r="6872">
      <c r="A6872" s="2"/>
      <c r="B6872" s="13"/>
      <c r="C6872" s="2"/>
      <c r="D6872" s="2"/>
      <c r="E6872" s="2"/>
      <c r="F6872" s="14"/>
      <c r="G6872" s="2"/>
      <c r="H6872" s="2"/>
    </row>
    <row r="6873">
      <c r="A6873" s="2"/>
      <c r="B6873" s="13"/>
      <c r="C6873" s="2"/>
      <c r="D6873" s="2"/>
      <c r="E6873" s="2"/>
      <c r="F6873" s="14"/>
      <c r="G6873" s="2"/>
      <c r="H6873" s="2"/>
    </row>
    <row r="6874">
      <c r="A6874" s="2"/>
      <c r="B6874" s="13"/>
      <c r="C6874" s="2"/>
      <c r="D6874" s="2"/>
      <c r="E6874" s="2"/>
      <c r="F6874" s="14"/>
      <c r="G6874" s="2"/>
      <c r="H6874" s="2"/>
    </row>
    <row r="6875">
      <c r="A6875" s="2"/>
      <c r="B6875" s="13"/>
      <c r="C6875" s="2"/>
      <c r="D6875" s="2"/>
      <c r="E6875" s="2"/>
      <c r="F6875" s="14"/>
      <c r="G6875" s="2"/>
      <c r="H6875" s="2"/>
    </row>
    <row r="6876">
      <c r="A6876" s="2"/>
      <c r="B6876" s="13"/>
      <c r="C6876" s="2"/>
      <c r="D6876" s="2"/>
      <c r="E6876" s="2"/>
      <c r="F6876" s="14"/>
      <c r="G6876" s="2"/>
      <c r="H6876" s="2"/>
    </row>
    <row r="6877">
      <c r="A6877" s="2"/>
      <c r="B6877" s="13"/>
      <c r="C6877" s="2"/>
      <c r="D6877" s="2"/>
      <c r="E6877" s="2"/>
      <c r="F6877" s="14"/>
      <c r="G6877" s="2"/>
      <c r="H6877" s="2"/>
    </row>
    <row r="6878">
      <c r="A6878" s="2"/>
      <c r="B6878" s="13"/>
      <c r="C6878" s="2"/>
      <c r="D6878" s="2"/>
      <c r="E6878" s="2"/>
      <c r="F6878" s="14"/>
      <c r="G6878" s="2"/>
      <c r="H6878" s="2"/>
    </row>
    <row r="6879">
      <c r="A6879" s="2"/>
      <c r="B6879" s="13"/>
      <c r="C6879" s="2"/>
      <c r="D6879" s="2"/>
      <c r="E6879" s="2"/>
      <c r="F6879" s="14"/>
      <c r="G6879" s="2"/>
      <c r="H6879" s="2"/>
    </row>
    <row r="6880">
      <c r="A6880" s="2"/>
      <c r="B6880" s="13"/>
      <c r="C6880" s="2"/>
      <c r="D6880" s="2"/>
      <c r="E6880" s="2"/>
      <c r="F6880" s="14"/>
      <c r="G6880" s="2"/>
      <c r="H6880" s="2"/>
    </row>
    <row r="6881">
      <c r="A6881" s="2"/>
      <c r="B6881" s="13"/>
      <c r="C6881" s="2"/>
      <c r="D6881" s="2"/>
      <c r="E6881" s="2"/>
      <c r="F6881" s="14"/>
      <c r="G6881" s="2"/>
      <c r="H6881" s="2"/>
    </row>
    <row r="6882">
      <c r="A6882" s="2"/>
      <c r="B6882" s="13"/>
      <c r="C6882" s="2"/>
      <c r="D6882" s="2"/>
      <c r="E6882" s="2"/>
      <c r="F6882" s="14"/>
      <c r="G6882" s="2"/>
      <c r="H6882" s="2"/>
    </row>
    <row r="6883">
      <c r="A6883" s="2"/>
      <c r="B6883" s="13"/>
      <c r="C6883" s="2"/>
      <c r="D6883" s="2"/>
      <c r="E6883" s="2"/>
      <c r="F6883" s="14"/>
      <c r="G6883" s="2"/>
      <c r="H6883" s="2"/>
    </row>
    <row r="6884">
      <c r="A6884" s="2"/>
      <c r="B6884" s="13"/>
      <c r="C6884" s="2"/>
      <c r="D6884" s="2"/>
      <c r="E6884" s="2"/>
      <c r="F6884" s="14"/>
      <c r="G6884" s="2"/>
      <c r="H6884" s="2"/>
    </row>
    <row r="6885">
      <c r="A6885" s="2"/>
      <c r="B6885" s="13"/>
      <c r="C6885" s="2"/>
      <c r="D6885" s="2"/>
      <c r="E6885" s="2"/>
      <c r="F6885" s="14"/>
      <c r="G6885" s="2"/>
      <c r="H6885" s="2"/>
    </row>
    <row r="6886">
      <c r="A6886" s="2"/>
      <c r="B6886" s="13"/>
      <c r="C6886" s="2"/>
      <c r="D6886" s="2"/>
      <c r="E6886" s="2"/>
      <c r="F6886" s="14"/>
      <c r="G6886" s="2"/>
      <c r="H6886" s="2"/>
    </row>
    <row r="6887">
      <c r="A6887" s="2"/>
      <c r="B6887" s="13"/>
      <c r="C6887" s="2"/>
      <c r="D6887" s="2"/>
      <c r="E6887" s="2"/>
      <c r="F6887" s="14"/>
      <c r="G6887" s="2"/>
      <c r="H6887" s="2"/>
    </row>
    <row r="6888">
      <c r="A6888" s="2"/>
      <c r="B6888" s="13"/>
      <c r="C6888" s="2"/>
      <c r="D6888" s="2"/>
      <c r="E6888" s="2"/>
      <c r="F6888" s="14"/>
      <c r="G6888" s="2"/>
      <c r="H6888" s="2"/>
    </row>
    <row r="6889">
      <c r="A6889" s="2"/>
      <c r="B6889" s="13"/>
      <c r="C6889" s="2"/>
      <c r="D6889" s="2"/>
      <c r="E6889" s="2"/>
      <c r="F6889" s="14"/>
      <c r="G6889" s="2"/>
      <c r="H6889" s="2"/>
    </row>
    <row r="6890">
      <c r="A6890" s="2"/>
      <c r="B6890" s="13"/>
      <c r="C6890" s="2"/>
      <c r="D6890" s="2"/>
      <c r="E6890" s="2"/>
      <c r="F6890" s="14"/>
      <c r="G6890" s="2"/>
      <c r="H6890" s="2"/>
    </row>
    <row r="6891">
      <c r="A6891" s="2"/>
      <c r="B6891" s="13"/>
      <c r="C6891" s="2"/>
      <c r="D6891" s="2"/>
      <c r="E6891" s="2"/>
      <c r="F6891" s="14"/>
      <c r="G6891" s="2"/>
      <c r="H6891" s="2"/>
    </row>
    <row r="6892">
      <c r="A6892" s="2"/>
      <c r="B6892" s="13"/>
      <c r="C6892" s="2"/>
      <c r="D6892" s="2"/>
      <c r="E6892" s="2"/>
      <c r="F6892" s="14"/>
      <c r="G6892" s="2"/>
      <c r="H6892" s="2"/>
    </row>
    <row r="6893">
      <c r="A6893" s="2"/>
      <c r="B6893" s="13"/>
      <c r="C6893" s="2"/>
      <c r="D6893" s="2"/>
      <c r="E6893" s="2"/>
      <c r="F6893" s="14"/>
      <c r="G6893" s="2"/>
      <c r="H6893" s="2"/>
    </row>
    <row r="6894">
      <c r="A6894" s="2"/>
      <c r="B6894" s="13"/>
      <c r="C6894" s="2"/>
      <c r="D6894" s="2"/>
      <c r="E6894" s="2"/>
      <c r="F6894" s="14"/>
      <c r="G6894" s="2"/>
      <c r="H6894" s="2"/>
    </row>
    <row r="6895">
      <c r="A6895" s="2"/>
      <c r="B6895" s="13"/>
      <c r="C6895" s="2"/>
      <c r="D6895" s="2"/>
      <c r="E6895" s="2"/>
      <c r="F6895" s="14"/>
      <c r="G6895" s="2"/>
      <c r="H6895" s="2"/>
    </row>
    <row r="6896">
      <c r="A6896" s="2"/>
      <c r="B6896" s="13"/>
      <c r="C6896" s="2"/>
      <c r="D6896" s="2"/>
      <c r="E6896" s="2"/>
      <c r="F6896" s="14"/>
      <c r="G6896" s="2"/>
      <c r="H6896" s="2"/>
    </row>
    <row r="6897">
      <c r="A6897" s="2"/>
      <c r="B6897" s="13"/>
      <c r="C6897" s="2"/>
      <c r="D6897" s="2"/>
      <c r="E6897" s="2"/>
      <c r="F6897" s="14"/>
      <c r="G6897" s="2"/>
      <c r="H6897" s="2"/>
    </row>
    <row r="6898">
      <c r="A6898" s="2"/>
      <c r="B6898" s="13"/>
      <c r="C6898" s="2"/>
      <c r="D6898" s="2"/>
      <c r="E6898" s="2"/>
      <c r="F6898" s="14"/>
      <c r="G6898" s="2"/>
      <c r="H6898" s="2"/>
    </row>
    <row r="6899">
      <c r="A6899" s="2"/>
      <c r="B6899" s="13"/>
      <c r="C6899" s="2"/>
      <c r="D6899" s="2"/>
      <c r="E6899" s="2"/>
      <c r="F6899" s="14"/>
      <c r="G6899" s="2"/>
      <c r="H6899" s="2"/>
    </row>
    <row r="6900">
      <c r="A6900" s="2"/>
      <c r="B6900" s="13"/>
      <c r="C6900" s="2"/>
      <c r="D6900" s="2"/>
      <c r="E6900" s="2"/>
      <c r="F6900" s="14"/>
      <c r="G6900" s="2"/>
      <c r="H6900" s="2"/>
    </row>
    <row r="6901">
      <c r="A6901" s="2"/>
      <c r="B6901" s="13"/>
      <c r="C6901" s="2"/>
      <c r="D6901" s="2"/>
      <c r="E6901" s="2"/>
      <c r="F6901" s="14"/>
      <c r="G6901" s="2"/>
      <c r="H6901" s="2"/>
    </row>
    <row r="6902">
      <c r="A6902" s="2"/>
      <c r="B6902" s="13"/>
      <c r="C6902" s="2"/>
      <c r="D6902" s="2"/>
      <c r="E6902" s="2"/>
      <c r="F6902" s="14"/>
      <c r="G6902" s="2"/>
      <c r="H6902" s="2"/>
    </row>
    <row r="6903">
      <c r="A6903" s="2"/>
      <c r="B6903" s="13"/>
      <c r="C6903" s="2"/>
      <c r="D6903" s="2"/>
      <c r="E6903" s="2"/>
      <c r="F6903" s="14"/>
      <c r="G6903" s="2"/>
      <c r="H6903" s="2"/>
    </row>
    <row r="6904">
      <c r="A6904" s="2"/>
      <c r="B6904" s="13"/>
      <c r="C6904" s="2"/>
      <c r="D6904" s="2"/>
      <c r="E6904" s="2"/>
      <c r="F6904" s="14"/>
      <c r="G6904" s="2"/>
      <c r="H6904" s="2"/>
    </row>
    <row r="6905">
      <c r="A6905" s="2"/>
      <c r="B6905" s="13"/>
      <c r="C6905" s="2"/>
      <c r="D6905" s="2"/>
      <c r="E6905" s="2"/>
      <c r="F6905" s="14"/>
      <c r="G6905" s="2"/>
      <c r="H6905" s="2"/>
    </row>
    <row r="6906">
      <c r="A6906" s="2"/>
      <c r="B6906" s="13"/>
      <c r="C6906" s="2"/>
      <c r="D6906" s="2"/>
      <c r="E6906" s="2"/>
      <c r="F6906" s="14"/>
      <c r="G6906" s="2"/>
      <c r="H6906" s="2"/>
    </row>
    <row r="6907">
      <c r="A6907" s="2"/>
      <c r="B6907" s="13"/>
      <c r="C6907" s="2"/>
      <c r="D6907" s="2"/>
      <c r="E6907" s="2"/>
      <c r="F6907" s="14"/>
      <c r="G6907" s="2"/>
      <c r="H6907" s="2"/>
    </row>
    <row r="6908">
      <c r="A6908" s="2"/>
      <c r="B6908" s="13"/>
      <c r="C6908" s="2"/>
      <c r="D6908" s="2"/>
      <c r="E6908" s="2"/>
      <c r="F6908" s="14"/>
      <c r="G6908" s="2"/>
      <c r="H6908" s="2"/>
    </row>
    <row r="6909">
      <c r="A6909" s="2"/>
      <c r="B6909" s="13"/>
      <c r="C6909" s="2"/>
      <c r="D6909" s="2"/>
      <c r="E6909" s="2"/>
      <c r="F6909" s="14"/>
      <c r="G6909" s="2"/>
      <c r="H6909" s="2"/>
    </row>
    <row r="6910">
      <c r="A6910" s="2"/>
      <c r="B6910" s="13"/>
      <c r="C6910" s="2"/>
      <c r="D6910" s="2"/>
      <c r="E6910" s="2"/>
      <c r="F6910" s="14"/>
      <c r="G6910" s="2"/>
      <c r="H6910" s="2"/>
    </row>
    <row r="6911">
      <c r="A6911" s="2"/>
      <c r="B6911" s="13"/>
      <c r="C6911" s="2"/>
      <c r="D6911" s="2"/>
      <c r="E6911" s="2"/>
      <c r="F6911" s="14"/>
      <c r="G6911" s="2"/>
      <c r="H6911" s="2"/>
    </row>
    <row r="6912">
      <c r="A6912" s="2"/>
      <c r="B6912" s="13"/>
      <c r="C6912" s="2"/>
      <c r="D6912" s="2"/>
      <c r="E6912" s="2"/>
      <c r="F6912" s="14"/>
      <c r="G6912" s="2"/>
      <c r="H6912" s="2"/>
    </row>
    <row r="6913">
      <c r="A6913" s="2"/>
      <c r="B6913" s="13"/>
      <c r="C6913" s="2"/>
      <c r="D6913" s="2"/>
      <c r="E6913" s="2"/>
      <c r="F6913" s="14"/>
      <c r="G6913" s="2"/>
      <c r="H6913" s="2"/>
    </row>
    <row r="6914">
      <c r="A6914" s="2"/>
      <c r="B6914" s="13"/>
      <c r="C6914" s="2"/>
      <c r="D6914" s="2"/>
      <c r="E6914" s="2"/>
      <c r="F6914" s="14"/>
      <c r="G6914" s="2"/>
      <c r="H6914" s="2"/>
    </row>
    <row r="6915">
      <c r="A6915" s="2"/>
      <c r="B6915" s="13"/>
      <c r="C6915" s="2"/>
      <c r="D6915" s="2"/>
      <c r="E6915" s="2"/>
      <c r="F6915" s="14"/>
      <c r="G6915" s="2"/>
      <c r="H6915" s="2"/>
    </row>
    <row r="6916">
      <c r="A6916" s="2"/>
      <c r="B6916" s="13"/>
      <c r="C6916" s="2"/>
      <c r="D6916" s="2"/>
      <c r="E6916" s="2"/>
      <c r="F6916" s="14"/>
      <c r="G6916" s="2"/>
      <c r="H6916" s="2"/>
    </row>
    <row r="6917">
      <c r="A6917" s="2"/>
      <c r="B6917" s="13"/>
      <c r="C6917" s="2"/>
      <c r="D6917" s="2"/>
      <c r="E6917" s="2"/>
      <c r="F6917" s="14"/>
      <c r="G6917" s="2"/>
      <c r="H6917" s="2"/>
    </row>
    <row r="6918">
      <c r="A6918" s="2"/>
      <c r="B6918" s="13"/>
      <c r="C6918" s="2"/>
      <c r="D6918" s="2"/>
      <c r="E6918" s="2"/>
      <c r="F6918" s="14"/>
      <c r="G6918" s="2"/>
      <c r="H6918" s="2"/>
    </row>
    <row r="6919">
      <c r="A6919" s="2"/>
      <c r="B6919" s="13"/>
      <c r="C6919" s="2"/>
      <c r="D6919" s="2"/>
      <c r="E6919" s="2"/>
      <c r="F6919" s="14"/>
      <c r="G6919" s="2"/>
      <c r="H6919" s="2"/>
    </row>
    <row r="6920">
      <c r="A6920" s="2"/>
      <c r="B6920" s="13"/>
      <c r="C6920" s="2"/>
      <c r="D6920" s="2"/>
      <c r="E6920" s="2"/>
      <c r="F6920" s="14"/>
      <c r="G6920" s="2"/>
      <c r="H6920" s="2"/>
    </row>
    <row r="6921">
      <c r="A6921" s="2"/>
      <c r="B6921" s="13"/>
      <c r="C6921" s="2"/>
      <c r="D6921" s="2"/>
      <c r="E6921" s="2"/>
      <c r="F6921" s="14"/>
      <c r="G6921" s="2"/>
      <c r="H6921" s="2"/>
    </row>
    <row r="6922">
      <c r="A6922" s="2"/>
      <c r="B6922" s="13"/>
      <c r="C6922" s="2"/>
      <c r="D6922" s="2"/>
      <c r="E6922" s="2"/>
      <c r="F6922" s="14"/>
      <c r="G6922" s="2"/>
      <c r="H6922" s="2"/>
    </row>
    <row r="6923">
      <c r="A6923" s="2"/>
      <c r="B6923" s="13"/>
      <c r="C6923" s="2"/>
      <c r="D6923" s="2"/>
      <c r="E6923" s="2"/>
      <c r="F6923" s="14"/>
      <c r="G6923" s="2"/>
      <c r="H6923" s="2"/>
    </row>
    <row r="6924">
      <c r="A6924" s="2"/>
      <c r="B6924" s="13"/>
      <c r="C6924" s="2"/>
      <c r="D6924" s="2"/>
      <c r="E6924" s="2"/>
      <c r="F6924" s="14"/>
      <c r="G6924" s="2"/>
      <c r="H6924" s="2"/>
    </row>
    <row r="6925">
      <c r="A6925" s="2"/>
      <c r="B6925" s="13"/>
      <c r="C6925" s="2"/>
      <c r="D6925" s="2"/>
      <c r="E6925" s="2"/>
      <c r="F6925" s="14"/>
      <c r="G6925" s="2"/>
      <c r="H6925" s="2"/>
    </row>
    <row r="6926">
      <c r="A6926" s="2"/>
      <c r="B6926" s="13"/>
      <c r="C6926" s="2"/>
      <c r="D6926" s="2"/>
      <c r="E6926" s="2"/>
      <c r="F6926" s="14"/>
      <c r="G6926" s="2"/>
      <c r="H6926" s="2"/>
    </row>
    <row r="6927">
      <c r="A6927" s="2"/>
      <c r="B6927" s="13"/>
      <c r="C6927" s="2"/>
      <c r="D6927" s="2"/>
      <c r="E6927" s="2"/>
      <c r="F6927" s="14"/>
      <c r="G6927" s="2"/>
      <c r="H6927" s="2"/>
    </row>
    <row r="6928">
      <c r="A6928" s="2"/>
      <c r="B6928" s="13"/>
      <c r="C6928" s="2"/>
      <c r="D6928" s="2"/>
      <c r="E6928" s="2"/>
      <c r="F6928" s="14"/>
      <c r="G6928" s="2"/>
      <c r="H6928" s="2"/>
    </row>
    <row r="6929">
      <c r="A6929" s="2"/>
      <c r="B6929" s="13"/>
      <c r="C6929" s="2"/>
      <c r="D6929" s="2"/>
      <c r="E6929" s="2"/>
      <c r="F6929" s="14"/>
      <c r="G6929" s="2"/>
      <c r="H6929" s="2"/>
    </row>
    <row r="6930">
      <c r="A6930" s="2"/>
      <c r="B6930" s="13"/>
      <c r="C6930" s="2"/>
      <c r="D6930" s="2"/>
      <c r="E6930" s="2"/>
      <c r="F6930" s="14"/>
      <c r="G6930" s="2"/>
      <c r="H6930" s="2"/>
    </row>
    <row r="6931">
      <c r="A6931" s="2"/>
      <c r="B6931" s="13"/>
      <c r="C6931" s="2"/>
      <c r="D6931" s="2"/>
      <c r="E6931" s="2"/>
      <c r="F6931" s="14"/>
      <c r="G6931" s="2"/>
      <c r="H6931" s="2"/>
    </row>
    <row r="6932">
      <c r="A6932" s="2"/>
      <c r="B6932" s="13"/>
      <c r="C6932" s="2"/>
      <c r="D6932" s="2"/>
      <c r="E6932" s="2"/>
      <c r="F6932" s="14"/>
      <c r="G6932" s="2"/>
      <c r="H6932" s="2"/>
    </row>
    <row r="6933">
      <c r="A6933" s="2"/>
      <c r="B6933" s="13"/>
      <c r="C6933" s="2"/>
      <c r="D6933" s="2"/>
      <c r="E6933" s="2"/>
      <c r="F6933" s="14"/>
      <c r="G6933" s="2"/>
      <c r="H6933" s="2"/>
    </row>
    <row r="6934">
      <c r="A6934" s="2"/>
      <c r="B6934" s="13"/>
      <c r="C6934" s="2"/>
      <c r="D6934" s="2"/>
      <c r="E6934" s="2"/>
      <c r="F6934" s="14"/>
      <c r="G6934" s="2"/>
      <c r="H6934" s="2"/>
    </row>
    <row r="6935">
      <c r="A6935" s="2"/>
      <c r="B6935" s="13"/>
      <c r="C6935" s="2"/>
      <c r="D6935" s="2"/>
      <c r="E6935" s="2"/>
      <c r="F6935" s="14"/>
      <c r="G6935" s="2"/>
      <c r="H6935" s="2"/>
    </row>
    <row r="6936">
      <c r="A6936" s="2"/>
      <c r="B6936" s="13"/>
      <c r="C6936" s="2"/>
      <c r="D6936" s="2"/>
      <c r="E6936" s="2"/>
      <c r="F6936" s="14"/>
      <c r="G6936" s="2"/>
      <c r="H6936" s="2"/>
    </row>
    <row r="6937">
      <c r="A6937" s="2"/>
      <c r="B6937" s="13"/>
      <c r="C6937" s="2"/>
      <c r="D6937" s="2"/>
      <c r="E6937" s="2"/>
      <c r="F6937" s="14"/>
      <c r="G6937" s="2"/>
      <c r="H6937" s="2"/>
    </row>
    <row r="6938">
      <c r="A6938" s="2"/>
      <c r="B6938" s="13"/>
      <c r="C6938" s="2"/>
      <c r="D6938" s="2"/>
      <c r="E6938" s="2"/>
      <c r="F6938" s="14"/>
      <c r="G6938" s="2"/>
      <c r="H6938" s="2"/>
    </row>
    <row r="6939">
      <c r="A6939" s="2"/>
      <c r="B6939" s="13"/>
      <c r="C6939" s="2"/>
      <c r="D6939" s="2"/>
      <c r="E6939" s="2"/>
      <c r="F6939" s="14"/>
      <c r="G6939" s="2"/>
      <c r="H6939" s="2"/>
    </row>
    <row r="6940">
      <c r="A6940" s="2"/>
      <c r="B6940" s="13"/>
      <c r="C6940" s="2"/>
      <c r="D6940" s="2"/>
      <c r="E6940" s="2"/>
      <c r="F6940" s="14"/>
      <c r="G6940" s="2"/>
      <c r="H6940" s="2"/>
    </row>
    <row r="6941">
      <c r="A6941" s="2"/>
      <c r="B6941" s="13"/>
      <c r="C6941" s="2"/>
      <c r="D6941" s="2"/>
      <c r="E6941" s="2"/>
      <c r="F6941" s="14"/>
      <c r="G6941" s="2"/>
      <c r="H6941" s="2"/>
    </row>
    <row r="6942">
      <c r="A6942" s="2"/>
      <c r="B6942" s="13"/>
      <c r="C6942" s="2"/>
      <c r="D6942" s="2"/>
      <c r="E6942" s="2"/>
      <c r="F6942" s="14"/>
      <c r="G6942" s="2"/>
      <c r="H6942" s="2"/>
    </row>
    <row r="6943">
      <c r="A6943" s="2"/>
      <c r="B6943" s="13"/>
      <c r="C6943" s="2"/>
      <c r="D6943" s="2"/>
      <c r="E6943" s="2"/>
      <c r="F6943" s="14"/>
      <c r="G6943" s="2"/>
      <c r="H6943" s="2"/>
    </row>
    <row r="6944">
      <c r="A6944" s="2"/>
      <c r="B6944" s="13"/>
      <c r="C6944" s="2"/>
      <c r="D6944" s="2"/>
      <c r="E6944" s="2"/>
      <c r="F6944" s="14"/>
      <c r="G6944" s="2"/>
      <c r="H6944" s="2"/>
    </row>
    <row r="6945">
      <c r="A6945" s="2"/>
      <c r="B6945" s="13"/>
      <c r="C6945" s="2"/>
      <c r="D6945" s="2"/>
      <c r="E6945" s="2"/>
      <c r="F6945" s="14"/>
      <c r="G6945" s="2"/>
      <c r="H6945" s="2"/>
    </row>
    <row r="6946">
      <c r="A6946" s="2"/>
      <c r="B6946" s="13"/>
      <c r="C6946" s="2"/>
      <c r="D6946" s="2"/>
      <c r="E6946" s="2"/>
      <c r="F6946" s="14"/>
      <c r="G6946" s="2"/>
      <c r="H6946" s="2"/>
    </row>
    <row r="6947">
      <c r="A6947" s="2"/>
      <c r="B6947" s="13"/>
      <c r="C6947" s="2"/>
      <c r="D6947" s="2"/>
      <c r="E6947" s="2"/>
      <c r="F6947" s="14"/>
      <c r="G6947" s="2"/>
      <c r="H6947" s="2"/>
    </row>
    <row r="6948">
      <c r="A6948" s="2"/>
      <c r="B6948" s="13"/>
      <c r="C6948" s="2"/>
      <c r="D6948" s="2"/>
      <c r="E6948" s="2"/>
      <c r="F6948" s="14"/>
      <c r="G6948" s="2"/>
      <c r="H6948" s="2"/>
    </row>
    <row r="6949">
      <c r="A6949" s="2"/>
      <c r="B6949" s="13"/>
      <c r="C6949" s="2"/>
      <c r="D6949" s="2"/>
      <c r="E6949" s="2"/>
      <c r="F6949" s="14"/>
      <c r="G6949" s="2"/>
      <c r="H6949" s="2"/>
    </row>
    <row r="6950">
      <c r="A6950" s="2"/>
      <c r="B6950" s="13"/>
      <c r="C6950" s="2"/>
      <c r="D6950" s="2"/>
      <c r="E6950" s="2"/>
      <c r="F6950" s="14"/>
      <c r="G6950" s="2"/>
      <c r="H6950" s="2"/>
    </row>
    <row r="6951">
      <c r="A6951" s="2"/>
      <c r="B6951" s="13"/>
      <c r="C6951" s="2"/>
      <c r="D6951" s="2"/>
      <c r="E6951" s="2"/>
      <c r="F6951" s="14"/>
      <c r="G6951" s="2"/>
      <c r="H6951" s="2"/>
    </row>
    <row r="6952">
      <c r="A6952" s="2"/>
      <c r="B6952" s="13"/>
      <c r="C6952" s="2"/>
      <c r="D6952" s="2"/>
      <c r="E6952" s="2"/>
      <c r="F6952" s="14"/>
      <c r="G6952" s="2"/>
      <c r="H6952" s="2"/>
    </row>
    <row r="6953">
      <c r="A6953" s="2"/>
      <c r="B6953" s="13"/>
      <c r="C6953" s="2"/>
      <c r="D6953" s="2"/>
      <c r="E6953" s="2"/>
      <c r="F6953" s="14"/>
      <c r="G6953" s="2"/>
      <c r="H6953" s="2"/>
    </row>
    <row r="6954">
      <c r="A6954" s="2"/>
      <c r="B6954" s="13"/>
      <c r="C6954" s="2"/>
      <c r="D6954" s="2"/>
      <c r="E6954" s="2"/>
      <c r="F6954" s="14"/>
      <c r="G6954" s="2"/>
      <c r="H6954" s="2"/>
    </row>
    <row r="6955">
      <c r="A6955" s="2"/>
      <c r="B6955" s="13"/>
      <c r="C6955" s="2"/>
      <c r="D6955" s="2"/>
      <c r="E6955" s="2"/>
      <c r="F6955" s="14"/>
      <c r="G6955" s="2"/>
      <c r="H6955" s="2"/>
    </row>
    <row r="6956">
      <c r="A6956" s="2"/>
      <c r="B6956" s="13"/>
      <c r="C6956" s="2"/>
      <c r="D6956" s="2"/>
      <c r="E6956" s="2"/>
      <c r="F6956" s="14"/>
      <c r="G6956" s="2"/>
      <c r="H6956" s="2"/>
    </row>
    <row r="6957">
      <c r="A6957" s="2"/>
      <c r="B6957" s="13"/>
      <c r="C6957" s="2"/>
      <c r="D6957" s="2"/>
      <c r="E6957" s="2"/>
      <c r="F6957" s="14"/>
      <c r="G6957" s="2"/>
      <c r="H6957" s="2"/>
    </row>
    <row r="6958">
      <c r="A6958" s="2"/>
      <c r="B6958" s="13"/>
      <c r="C6958" s="2"/>
      <c r="D6958" s="2"/>
      <c r="E6958" s="2"/>
      <c r="F6958" s="14"/>
      <c r="G6958" s="2"/>
      <c r="H6958" s="2"/>
    </row>
    <row r="6959">
      <c r="A6959" s="2"/>
      <c r="B6959" s="13"/>
      <c r="C6959" s="2"/>
      <c r="D6959" s="2"/>
      <c r="E6959" s="2"/>
      <c r="F6959" s="14"/>
      <c r="G6959" s="2"/>
      <c r="H6959" s="2"/>
    </row>
    <row r="6960">
      <c r="A6960" s="2"/>
      <c r="B6960" s="13"/>
      <c r="C6960" s="2"/>
      <c r="D6960" s="2"/>
      <c r="E6960" s="2"/>
      <c r="F6960" s="14"/>
      <c r="G6960" s="2"/>
      <c r="H6960" s="2"/>
    </row>
    <row r="6961">
      <c r="A6961" s="2"/>
      <c r="B6961" s="13"/>
      <c r="C6961" s="2"/>
      <c r="D6961" s="2"/>
      <c r="E6961" s="2"/>
      <c r="F6961" s="14"/>
      <c r="G6961" s="2"/>
      <c r="H6961" s="2"/>
    </row>
    <row r="6962">
      <c r="A6962" s="2"/>
      <c r="B6962" s="13"/>
      <c r="C6962" s="2"/>
      <c r="D6962" s="2"/>
      <c r="E6962" s="2"/>
      <c r="F6962" s="14"/>
      <c r="G6962" s="2"/>
      <c r="H6962" s="2"/>
    </row>
    <row r="6963">
      <c r="A6963" s="2"/>
      <c r="B6963" s="13"/>
      <c r="C6963" s="2"/>
      <c r="D6963" s="2"/>
      <c r="E6963" s="2"/>
      <c r="F6963" s="14"/>
      <c r="G6963" s="2"/>
      <c r="H6963" s="2"/>
    </row>
    <row r="6964">
      <c r="A6964" s="2"/>
      <c r="B6964" s="13"/>
      <c r="C6964" s="2"/>
      <c r="D6964" s="2"/>
      <c r="E6964" s="2"/>
      <c r="F6964" s="14"/>
      <c r="G6964" s="2"/>
      <c r="H6964" s="2"/>
    </row>
    <row r="6965">
      <c r="A6965" s="2"/>
      <c r="B6965" s="13"/>
      <c r="C6965" s="2"/>
      <c r="D6965" s="2"/>
      <c r="E6965" s="2"/>
      <c r="F6965" s="14"/>
      <c r="G6965" s="2"/>
      <c r="H6965" s="2"/>
    </row>
    <row r="6966">
      <c r="A6966" s="2"/>
      <c r="B6966" s="13"/>
      <c r="C6966" s="2"/>
      <c r="D6966" s="2"/>
      <c r="E6966" s="2"/>
      <c r="F6966" s="14"/>
      <c r="G6966" s="2"/>
      <c r="H6966" s="2"/>
    </row>
    <row r="6967">
      <c r="A6967" s="2"/>
      <c r="B6967" s="13"/>
      <c r="C6967" s="2"/>
      <c r="D6967" s="2"/>
      <c r="E6967" s="2"/>
      <c r="F6967" s="14"/>
      <c r="G6967" s="2"/>
      <c r="H6967" s="2"/>
    </row>
    <row r="6968">
      <c r="A6968" s="2"/>
      <c r="B6968" s="13"/>
      <c r="C6968" s="2"/>
      <c r="D6968" s="2"/>
      <c r="E6968" s="2"/>
      <c r="F6968" s="14"/>
      <c r="G6968" s="2"/>
      <c r="H6968" s="2"/>
    </row>
    <row r="6969">
      <c r="A6969" s="2"/>
      <c r="B6969" s="13"/>
      <c r="C6969" s="2"/>
      <c r="D6969" s="2"/>
      <c r="E6969" s="2"/>
      <c r="F6969" s="14"/>
      <c r="G6969" s="2"/>
      <c r="H6969" s="2"/>
    </row>
    <row r="6970">
      <c r="A6970" s="2"/>
      <c r="B6970" s="13"/>
      <c r="C6970" s="2"/>
      <c r="D6970" s="2"/>
      <c r="E6970" s="2"/>
      <c r="F6970" s="14"/>
      <c r="G6970" s="2"/>
      <c r="H6970" s="2"/>
    </row>
    <row r="6971">
      <c r="A6971" s="2"/>
      <c r="B6971" s="13"/>
      <c r="C6971" s="2"/>
      <c r="D6971" s="2"/>
      <c r="E6971" s="2"/>
      <c r="F6971" s="14"/>
      <c r="G6971" s="2"/>
      <c r="H6971" s="2"/>
    </row>
    <row r="6972">
      <c r="A6972" s="2"/>
      <c r="B6972" s="13"/>
      <c r="C6972" s="2"/>
      <c r="D6972" s="2"/>
      <c r="E6972" s="2"/>
      <c r="F6972" s="14"/>
      <c r="G6972" s="2"/>
      <c r="H6972" s="2"/>
    </row>
    <row r="6973">
      <c r="A6973" s="2"/>
      <c r="B6973" s="13"/>
      <c r="C6973" s="2"/>
      <c r="D6973" s="2"/>
      <c r="E6973" s="2"/>
      <c r="F6973" s="14"/>
      <c r="G6973" s="2"/>
      <c r="H6973" s="2"/>
    </row>
    <row r="6974">
      <c r="A6974" s="2"/>
      <c r="B6974" s="13"/>
      <c r="C6974" s="2"/>
      <c r="D6974" s="2"/>
      <c r="E6974" s="2"/>
      <c r="F6974" s="14"/>
      <c r="G6974" s="2"/>
      <c r="H6974" s="2"/>
    </row>
    <row r="6975">
      <c r="A6975" s="2"/>
      <c r="B6975" s="13"/>
      <c r="C6975" s="2"/>
      <c r="D6975" s="2"/>
      <c r="E6975" s="2"/>
      <c r="F6975" s="14"/>
      <c r="G6975" s="2"/>
      <c r="H6975" s="2"/>
    </row>
    <row r="6976">
      <c r="A6976" s="2"/>
      <c r="B6976" s="13"/>
      <c r="C6976" s="2"/>
      <c r="D6976" s="2"/>
      <c r="E6976" s="2"/>
      <c r="F6976" s="14"/>
      <c r="G6976" s="2"/>
      <c r="H6976" s="2"/>
    </row>
    <row r="6977">
      <c r="A6977" s="2"/>
      <c r="B6977" s="13"/>
      <c r="C6977" s="2"/>
      <c r="D6977" s="2"/>
      <c r="E6977" s="2"/>
      <c r="F6977" s="14"/>
      <c r="G6977" s="2"/>
      <c r="H6977" s="2"/>
    </row>
    <row r="6978">
      <c r="A6978" s="2"/>
      <c r="B6978" s="13"/>
      <c r="C6978" s="2"/>
      <c r="D6978" s="2"/>
      <c r="E6978" s="2"/>
      <c r="F6978" s="14"/>
      <c r="G6978" s="2"/>
      <c r="H6978" s="2"/>
    </row>
    <row r="6979">
      <c r="A6979" s="2"/>
      <c r="B6979" s="13"/>
      <c r="C6979" s="2"/>
      <c r="D6979" s="2"/>
      <c r="E6979" s="2"/>
      <c r="F6979" s="14"/>
      <c r="G6979" s="2"/>
      <c r="H6979" s="2"/>
    </row>
    <row r="6980">
      <c r="A6980" s="2"/>
      <c r="B6980" s="13"/>
      <c r="C6980" s="2"/>
      <c r="D6980" s="2"/>
      <c r="E6980" s="2"/>
      <c r="F6980" s="14"/>
      <c r="G6980" s="2"/>
      <c r="H6980" s="2"/>
    </row>
    <row r="6981">
      <c r="A6981" s="2"/>
      <c r="B6981" s="13"/>
      <c r="C6981" s="2"/>
      <c r="D6981" s="2"/>
      <c r="E6981" s="2"/>
      <c r="F6981" s="14"/>
      <c r="G6981" s="2"/>
      <c r="H6981" s="2"/>
    </row>
    <row r="6982">
      <c r="A6982" s="2"/>
      <c r="B6982" s="13"/>
      <c r="C6982" s="2"/>
      <c r="D6982" s="2"/>
      <c r="E6982" s="2"/>
      <c r="F6982" s="14"/>
      <c r="G6982" s="2"/>
      <c r="H6982" s="2"/>
    </row>
    <row r="6983">
      <c r="A6983" s="2"/>
      <c r="B6983" s="13"/>
      <c r="C6983" s="2"/>
      <c r="D6983" s="2"/>
      <c r="E6983" s="2"/>
      <c r="F6983" s="14"/>
      <c r="G6983" s="2"/>
      <c r="H6983" s="2"/>
    </row>
    <row r="6984">
      <c r="A6984" s="2"/>
      <c r="B6984" s="13"/>
      <c r="C6984" s="2"/>
      <c r="D6984" s="2"/>
      <c r="E6984" s="2"/>
      <c r="F6984" s="14"/>
      <c r="G6984" s="2"/>
      <c r="H6984" s="2"/>
    </row>
    <row r="6985">
      <c r="A6985" s="2"/>
      <c r="B6985" s="13"/>
      <c r="C6985" s="2"/>
      <c r="D6985" s="2"/>
      <c r="E6985" s="2"/>
      <c r="F6985" s="14"/>
      <c r="G6985" s="2"/>
      <c r="H6985" s="2"/>
    </row>
    <row r="6986">
      <c r="A6986" s="2"/>
      <c r="B6986" s="13"/>
      <c r="C6986" s="2"/>
      <c r="D6986" s="2"/>
      <c r="E6986" s="2"/>
      <c r="F6986" s="14"/>
      <c r="G6986" s="2"/>
      <c r="H6986" s="2"/>
    </row>
  </sheetData>
  <autoFilter ref="$A$1:$H$698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4.89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14</v>
      </c>
      <c r="B2" s="17">
        <v>45623.0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15</v>
      </c>
      <c r="B3" s="17">
        <v>45611.0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16</v>
      </c>
      <c r="B4" s="18">
        <v>45602.0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">
        <v>17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18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19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20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">
        <v>21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">
        <v>22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">
        <v>23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">
        <v>24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">
        <v>25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">
        <v>26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">
        <v>27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 t="s">
        <v>28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">
        <v>29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6" t="s">
        <v>30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">
        <v>31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">
        <v>32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 t="s">
        <v>33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6" t="s">
        <v>34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 t="s">
        <v>35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6" t="s">
        <v>36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6" t="s">
        <v>37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6" t="s">
        <v>38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 t="s">
        <v>39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6" t="s">
        <v>40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 t="s">
        <v>41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6" t="s">
        <v>42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6" t="s">
        <v>43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6" t="s">
        <v>44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6" t="s">
        <v>45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6" t="s">
        <v>46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6" t="s">
        <v>47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6" t="s">
        <v>48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6" t="s">
        <v>49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6" t="s">
        <v>50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6" t="s">
        <v>51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6" t="s">
        <v>52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6" t="s">
        <v>53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6" t="s">
        <v>54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6" t="s">
        <v>55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6" t="s">
        <v>56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6" t="s">
        <v>57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6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6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6" t="s">
        <v>60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6" t="s">
        <v>61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6" t="s">
        <v>62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6" t="s">
        <v>63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6" t="s">
        <v>64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6" t="s">
        <v>65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6" t="s">
        <v>66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6" t="s">
        <v>67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6" t="s">
        <v>68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6" t="s">
        <v>69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6" t="s">
        <v>70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6" t="s">
        <v>71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6" t="s">
        <v>72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6" t="s">
        <v>73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6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6" t="s">
        <v>75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6" t="s">
        <v>76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6" t="s">
        <v>77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6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6" t="s">
        <v>79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6" t="s">
        <v>80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6" t="s">
        <v>81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6" t="s">
        <v>82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6" t="s">
        <v>83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6" t="s">
        <v>84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6" t="s">
        <v>85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6" t="s">
        <v>86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6" t="s">
        <v>87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6" t="s">
        <v>88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6" t="s">
        <v>89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6" t="s">
        <v>90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6" t="s">
        <v>91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6" t="s">
        <v>92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6" t="s">
        <v>93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6" t="s">
        <v>94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6" t="s">
        <v>95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6" t="s">
        <v>96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6" t="s">
        <v>97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6" t="s">
        <v>98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6" t="s">
        <v>99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6" t="s">
        <v>100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6" t="s">
        <v>101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6" t="s">
        <v>102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6" t="s">
        <v>103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6" t="s">
        <v>104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6" t="s">
        <v>105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6" t="s">
        <v>106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6" t="s">
        <v>107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6" t="s">
        <v>108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6" t="s">
        <v>109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6" t="s">
        <v>110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6" t="s">
        <v>111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6" t="s">
        <v>112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6" t="s">
        <v>113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6" t="s">
        <v>114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6" t="s">
        <v>115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6" t="s">
        <v>116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6" t="s">
        <v>117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6" t="s">
        <v>118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6" t="s">
        <v>119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6" t="s">
        <v>120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6" t="s">
        <v>121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6" t="s">
        <v>122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6" t="s">
        <v>123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6" t="s">
        <v>124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6" t="s">
        <v>125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6" t="s">
        <v>126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6" t="s">
        <v>127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6" t="s">
        <v>128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6" t="s">
        <v>129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6" t="s">
        <v>130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6" t="s">
        <v>131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6" t="s">
        <v>132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6" t="s">
        <v>133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6" t="s">
        <v>134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6" t="s">
        <v>135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6" t="s">
        <v>136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6" t="s">
        <v>137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6" t="s">
        <v>138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6" t="s">
        <v>139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6" t="s">
        <v>140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6" t="s">
        <v>141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6" t="s">
        <v>142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6" t="s">
        <v>143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6" t="s">
        <v>144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6" t="s">
        <v>145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6" t="s">
        <v>146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6" t="s">
        <v>147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6" t="s">
        <v>148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6" t="s">
        <v>149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6" t="s">
        <v>150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6" t="s">
        <v>151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6" t="s">
        <v>152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6" t="s">
        <v>153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6" t="s">
        <v>154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6" t="s">
        <v>155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6" t="s">
        <v>156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6" t="s">
        <v>157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6" t="s">
        <v>158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6" t="s">
        <v>159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6" t="s">
        <v>160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6" t="s">
        <v>161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6" t="s">
        <v>162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6" t="s">
        <v>163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6" t="s">
        <v>164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6" t="s">
        <v>165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6" t="s">
        <v>166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6" t="s">
        <v>167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6" t="s">
        <v>168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6" t="s">
        <v>169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6" t="s">
        <v>170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6" t="s">
        <v>171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6" t="s">
        <v>172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6" t="s">
        <v>173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6" t="s">
        <v>174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6" t="s">
        <v>175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6" t="s">
        <v>176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6" t="s">
        <v>177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6" t="s">
        <v>178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6" t="s">
        <v>179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6" t="s">
        <v>180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6" t="s">
        <v>181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6" t="s">
        <v>182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6" t="s">
        <v>183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6" t="s">
        <v>184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6" t="s">
        <v>185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6" t="s">
        <v>186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6" t="s">
        <v>187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6" t="s">
        <v>188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6" t="s">
        <v>189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6" t="s">
        <v>190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6" t="s">
        <v>191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6" t="s">
        <v>192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6" t="s">
        <v>193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6" t="s">
        <v>194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6" t="s">
        <v>195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6" t="s">
        <v>196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6" t="s">
        <v>197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6" t="s">
        <v>198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6" t="s">
        <v>199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6" t="s">
        <v>200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6" t="s">
        <v>201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6" t="s">
        <v>202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6" t="s">
        <v>203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6" t="s">
        <v>204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6" t="s">
        <v>205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6" t="s">
        <v>206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6" t="s">
        <v>207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6" t="s">
        <v>208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6" t="s">
        <v>209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6" t="s">
        <v>210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6" t="s">
        <v>211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6" t="s">
        <v>212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6" t="s">
        <v>213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6" t="s">
        <v>214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6" t="s">
        <v>215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6" t="s">
        <v>216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6" t="s">
        <v>217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6" t="s">
        <v>218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6" t="s">
        <v>219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6" t="s">
        <v>220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6" t="s">
        <v>221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6" t="s">
        <v>222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6" t="s">
        <v>223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6" t="s">
        <v>224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6" t="s">
        <v>225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6" t="s">
        <v>226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6" t="s">
        <v>227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6" t="s">
        <v>228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6" t="s">
        <v>229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6" t="s">
        <v>230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6" t="s">
        <v>231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6" t="s">
        <v>232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6" t="s">
        <v>233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6" t="s">
        <v>234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6" t="s">
        <v>235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6" t="s">
        <v>236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6" t="s">
        <v>237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6" t="s">
        <v>238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6" t="s">
        <v>239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6" t="s">
        <v>240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6" t="s">
        <v>241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6" t="s">
        <v>242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6" t="s">
        <v>243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6" t="s">
        <v>244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6" t="s">
        <v>245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6" t="s">
        <v>246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6" t="s">
        <v>247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6" t="s">
        <v>248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6" t="s">
        <v>249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6" t="s">
        <v>250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6" t="s">
        <v>251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6" t="s">
        <v>252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6" t="s">
        <v>253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6" t="s">
        <v>254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6" t="s">
        <v>255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6" t="s">
        <v>256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6" t="s">
        <v>257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6" t="s">
        <v>258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6" t="s">
        <v>259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6" t="s">
        <v>260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6" t="s">
        <v>261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6" t="s">
        <v>262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6" t="s">
        <v>263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6" t="s">
        <v>264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6" t="s">
        <v>265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6" t="s">
        <v>266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6" t="s">
        <v>267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6" t="s">
        <v>268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6" t="s">
        <v>269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6" t="s">
        <v>270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6" t="s">
        <v>271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6" t="s">
        <v>272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6" t="s">
        <v>273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6" t="s">
        <v>274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6" t="s">
        <v>275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6" t="s">
        <v>276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6" t="s">
        <v>277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6" t="s">
        <v>278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6" t="s">
        <v>279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6" t="s">
        <v>280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6" t="s">
        <v>281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6" t="s">
        <v>282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6" t="s">
        <v>283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6" t="s">
        <v>284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6" t="s">
        <v>285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6" t="s">
        <v>286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6" t="s">
        <v>287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6" t="s">
        <v>288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6" t="s">
        <v>289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6" t="s">
        <v>290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6" t="s">
        <v>291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6" t="s">
        <v>292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6" t="s">
        <v>293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6" t="s">
        <v>294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6" t="s">
        <v>295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6" t="s">
        <v>296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6" t="s">
        <v>297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6" t="s">
        <v>298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6" t="s">
        <v>299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6" t="s">
        <v>300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6" t="s">
        <v>301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6" t="s">
        <v>302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6" t="s">
        <v>303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6" t="s">
        <v>304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6" t="s">
        <v>305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6" t="s">
        <v>306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6" t="s">
        <v>307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6" t="s">
        <v>308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6" t="s">
        <v>309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6" t="s">
        <v>310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6" t="s">
        <v>311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6" t="s">
        <v>312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6" t="s">
        <v>313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6" t="s">
        <v>314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6" t="s">
        <v>315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6" t="s">
        <v>316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6" t="s">
        <v>317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6" t="s">
        <v>318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6" t="s">
        <v>319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6" t="s">
        <v>320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6" t="s">
        <v>321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6" t="s">
        <v>322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6" t="s">
        <v>323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6" t="s">
        <v>324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6" t="s">
        <v>325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6" t="s">
        <v>326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6" t="s">
        <v>327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6" t="s">
        <v>328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6" t="s">
        <v>329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6" t="s">
        <v>330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6" t="s">
        <v>331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6" t="s">
        <v>332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6" t="s">
        <v>333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6" t="s">
        <v>334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6" t="s">
        <v>335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6" t="s">
        <v>336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6" t="s">
        <v>337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6" t="s">
        <v>338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6" t="s">
        <v>339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6" t="s">
        <v>340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6" t="s">
        <v>341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6" t="s">
        <v>342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6" t="s">
        <v>343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6" t="s">
        <v>344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6" t="s">
        <v>345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6" t="s">
        <v>346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6" t="s">
        <v>347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6" t="s">
        <v>348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6" t="s">
        <v>349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6" t="s">
        <v>350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6" t="s">
        <v>351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6" t="s">
        <v>352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6" t="s">
        <v>353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6" t="s">
        <v>354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6" t="s">
        <v>355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6" t="s">
        <v>356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6" t="s">
        <v>357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6" t="s">
        <v>358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6" t="s">
        <v>359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6" t="s">
        <v>360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6" t="s">
        <v>361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6" t="s">
        <v>362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6" t="s">
        <v>363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6" t="s">
        <v>364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6" t="s">
        <v>365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6" t="s">
        <v>366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6" t="s">
        <v>367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6" t="s">
        <v>368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6" t="s">
        <v>369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6" t="s">
        <v>370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6" t="s">
        <v>371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6" t="s">
        <v>372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6" t="s">
        <v>373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6" t="s">
        <v>374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6" t="s">
        <v>375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6" t="s">
        <v>376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6" t="s">
        <v>377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6" t="s">
        <v>378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6" t="s">
        <v>379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6" t="s">
        <v>380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6" t="s">
        <v>381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6" t="s">
        <v>382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6" t="s">
        <v>383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6" t="s">
        <v>384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6" t="s">
        <v>385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6" t="s">
        <v>386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6" t="s">
        <v>387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6" t="s">
        <v>388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6" t="s">
        <v>389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6" t="s">
        <v>390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6" t="s">
        <v>391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6" t="s">
        <v>392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6" t="s">
        <v>393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6" t="s">
        <v>394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6" t="s">
        <v>395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6" t="s">
        <v>396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6" t="s">
        <v>397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6" t="s">
        <v>398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6" t="s">
        <v>399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6" t="s">
        <v>400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6" t="s">
        <v>401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6" t="s">
        <v>402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6" t="s">
        <v>403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6" t="s">
        <v>404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6" t="s">
        <v>405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6" t="s">
        <v>406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6" t="s">
        <v>407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6" t="s">
        <v>408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6" t="s">
        <v>409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6" t="s">
        <v>410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6" t="s">
        <v>411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6" t="s">
        <v>412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6" t="s">
        <v>413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6" t="s">
        <v>414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6" t="s">
        <v>415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6" t="s">
        <v>416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6" t="s">
        <v>417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6" t="s">
        <v>418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6" t="s">
        <v>419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6" t="s">
        <v>420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6" t="s">
        <v>421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6" t="s">
        <v>422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6" t="s">
        <v>423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6" t="s">
        <v>424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6" t="s">
        <v>425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6" t="s">
        <v>426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6" t="s">
        <v>427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6" t="s">
        <v>428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6" t="s">
        <v>429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6" t="s">
        <v>430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6" t="s">
        <v>431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6" t="s">
        <v>432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6" t="s">
        <v>433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6" t="s">
        <v>434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6" t="s">
        <v>435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6" t="s">
        <v>436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6" t="s">
        <v>437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6" t="s">
        <v>438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6" t="s">
        <v>439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6" t="s">
        <v>440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6" t="s">
        <v>441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6" t="s">
        <v>442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6" t="s">
        <v>443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6" t="s">
        <v>444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6" t="s">
        <v>445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6" t="s">
        <v>446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6" t="s">
        <v>447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6" t="s">
        <v>448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6" t="s">
        <v>449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6" t="s">
        <v>450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6" t="s">
        <v>451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6" t="s">
        <v>452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6" t="s">
        <v>453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6" t="s">
        <v>454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6" t="s">
        <v>455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6" t="s">
        <v>456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6" t="s">
        <v>457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6" t="s">
        <v>458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6" t="s">
        <v>459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6" t="s">
        <v>460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6" t="s">
        <v>461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6" t="s">
        <v>462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6" t="s">
        <v>463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6" t="s">
        <v>464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6" t="s">
        <v>465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6" t="s">
        <v>466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6" t="s">
        <v>467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6" t="s">
        <v>468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6" t="s">
        <v>469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6" t="s">
        <v>470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6" t="s">
        <v>471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6" t="s">
        <v>472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6" t="s">
        <v>473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6" t="s">
        <v>474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6" t="s">
        <v>475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6" t="s">
        <v>476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6" t="s">
        <v>477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6" t="s">
        <v>478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6" t="s">
        <v>479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6" t="s">
        <v>480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6" t="s">
        <v>481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6" t="s">
        <v>482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6" t="s">
        <v>483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6" t="s">
        <v>484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6" t="s">
        <v>485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6" t="s">
        <v>486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6" t="s">
        <v>487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6" t="s">
        <v>488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6" t="s">
        <v>489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6" t="s">
        <v>490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6" t="s">
        <v>491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6" t="s">
        <v>492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6" t="s">
        <v>493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6" t="s">
        <v>494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6" t="s">
        <v>495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6" t="s">
        <v>496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6" t="s">
        <v>497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6" t="s">
        <v>498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6" t="s">
        <v>499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6" t="s">
        <v>500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6" t="s">
        <v>501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6" t="s">
        <v>502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6" t="s">
        <v>503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6" t="s">
        <v>504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6" t="s">
        <v>505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6" t="s">
        <v>506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6" t="s">
        <v>507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6" t="s">
        <v>508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6" t="s">
        <v>509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6" t="s">
        <v>510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6" t="s">
        <v>511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6" t="s">
        <v>512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6" t="s">
        <v>513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6" t="s">
        <v>514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6" t="s">
        <v>515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6" t="s">
        <v>516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6" t="s">
        <v>517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6" t="s">
        <v>518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6" t="s">
        <v>519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6" t="s">
        <v>520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6" t="s">
        <v>521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6" t="s">
        <v>522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6" t="s">
        <v>523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6" t="s">
        <v>524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6" t="s">
        <v>525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6" t="s">
        <v>526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6" t="s">
        <v>527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6" t="s">
        <v>528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6" t="s">
        <v>529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6" t="s">
        <v>530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6" t="s">
        <v>531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6" t="s">
        <v>532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6" t="s">
        <v>533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6" t="s">
        <v>534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6" t="s">
        <v>535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6" t="s">
        <v>536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6" t="s">
        <v>537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6" t="s">
        <v>538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6" t="s">
        <v>539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6" t="s">
        <v>540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6" t="s">
        <v>541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6" t="s">
        <v>542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6" t="s">
        <v>543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6" t="s">
        <v>544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6" t="s">
        <v>545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6" t="s">
        <v>546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6" t="s">
        <v>547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6" t="s">
        <v>548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6" t="s">
        <v>549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6" t="s">
        <v>550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6" t="s">
        <v>551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6" t="s">
        <v>552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6" t="s">
        <v>553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6" t="s">
        <v>554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6" t="s">
        <v>555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6" t="s">
        <v>556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6" t="s">
        <v>557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6" t="s">
        <v>558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6" t="s">
        <v>559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6" t="s">
        <v>560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6" t="s">
        <v>561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6" t="s">
        <v>562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6" t="s">
        <v>563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6" t="s">
        <v>564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6" t="s">
        <v>565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6" t="s">
        <v>566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6" t="s">
        <v>567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6" t="s">
        <v>568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6" t="s">
        <v>569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6" t="s">
        <v>570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6" t="s">
        <v>571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6" t="s">
        <v>572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6" t="s">
        <v>573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6" t="s">
        <v>574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6" t="s">
        <v>575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6" t="s">
        <v>576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6" t="s">
        <v>577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6" t="s">
        <v>578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6" t="s">
        <v>579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6" t="s">
        <v>580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6" t="s">
        <v>581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6" t="s">
        <v>582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6" t="s">
        <v>583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6" t="s">
        <v>584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6" t="s">
        <v>585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6" t="s">
        <v>586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6" t="s">
        <v>587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6" t="s">
        <v>588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6" t="s">
        <v>589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6" t="s">
        <v>590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6" t="s">
        <v>591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6" t="s">
        <v>592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6" t="s">
        <v>593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6" t="s">
        <v>594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6" t="s">
        <v>595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6" t="s">
        <v>596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6" t="s">
        <v>597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6" t="s">
        <v>598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6" t="s">
        <v>599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6" t="s">
        <v>600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6" t="s">
        <v>601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6" t="s">
        <v>602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6" t="s">
        <v>603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6" t="s">
        <v>604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6" t="s">
        <v>605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6" t="s">
        <v>606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6" t="s">
        <v>607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6" t="s">
        <v>608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6" t="s">
        <v>609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6" t="s">
        <v>610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6" t="s">
        <v>611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6" t="s">
        <v>612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6" t="s">
        <v>613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6" t="s">
        <v>614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6" t="s">
        <v>615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6" t="s">
        <v>616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6" t="s">
        <v>617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6" t="s">
        <v>618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6" t="s">
        <v>619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6" t="s">
        <v>620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6" t="s">
        <v>621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6" t="s">
        <v>622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6" t="s">
        <v>623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6" t="s">
        <v>624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6" t="s">
        <v>625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6" t="s">
        <v>626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6" t="s">
        <v>627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6" t="s">
        <v>628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6" t="s">
        <v>629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6" t="s">
        <v>630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6" t="s">
        <v>631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6" t="s">
        <v>632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6" t="s">
        <v>633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6" t="s">
        <v>634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6" t="s">
        <v>635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6" t="s">
        <v>636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6" t="s">
        <v>637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6" t="s">
        <v>638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6" t="s">
        <v>639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6" t="s">
        <v>640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6" t="s">
        <v>641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6" t="s">
        <v>642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6" t="s">
        <v>643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6" t="s">
        <v>644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6" t="s">
        <v>645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6" t="s">
        <v>646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6" t="s">
        <v>647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6" t="s">
        <v>648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6" t="s">
        <v>649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6" t="s">
        <v>650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6" t="s">
        <v>651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6" t="s">
        <v>652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6" t="s">
        <v>653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6" t="s">
        <v>654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6" t="s">
        <v>655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6" t="s">
        <v>656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6" t="s">
        <v>657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6" t="s">
        <v>658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6" t="s">
        <v>659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6" t="s">
        <v>660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6" t="s">
        <v>661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6" t="s">
        <v>662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6" t="s">
        <v>663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6" t="s">
        <v>664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6" t="s">
        <v>665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6" t="s">
        <v>666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6" t="s">
        <v>667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6" t="s">
        <v>668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6" t="s">
        <v>669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6" t="s">
        <v>670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6" t="s">
        <v>671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6" t="s">
        <v>672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6" t="s">
        <v>673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6" t="s">
        <v>674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6" t="s">
        <v>675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6" t="s">
        <v>676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6" t="s">
        <v>677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6" t="s">
        <v>678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6" t="s">
        <v>679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6" t="s">
        <v>680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6" t="s">
        <v>681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6" t="s">
        <v>682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6" t="s">
        <v>683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6" t="s">
        <v>684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6" t="s">
        <v>685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6" t="s">
        <v>686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6" t="s">
        <v>687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6" t="s">
        <v>688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6" t="s">
        <v>689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6" t="s">
        <v>690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6" t="s">
        <v>691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6" t="s">
        <v>692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6" t="s">
        <v>693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6" t="s">
        <v>694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6" t="s">
        <v>695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6" t="s">
        <v>696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6" t="s">
        <v>697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6" t="s">
        <v>698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6" t="s">
        <v>699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6" t="s">
        <v>700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6" t="s">
        <v>701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6" t="s">
        <v>702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6" t="s">
        <v>703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6" t="s">
        <v>704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6" t="s">
        <v>705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6" t="s">
        <v>706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6" t="s">
        <v>707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6" t="s">
        <v>708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6" t="s">
        <v>709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6" t="s">
        <v>710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6" t="s">
        <v>711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6" t="s">
        <v>712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6" t="s">
        <v>713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6" t="s">
        <v>714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6" t="s">
        <v>715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6" t="s">
        <v>716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6" t="s">
        <v>717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6" t="s">
        <v>718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6" t="s">
        <v>719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6" t="s">
        <v>720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6" t="s">
        <v>721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6" t="s">
        <v>722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6" t="s">
        <v>723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6" t="s">
        <v>724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6" t="s">
        <v>725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6" t="s">
        <v>726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6" t="s">
        <v>727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6" t="s">
        <v>728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6" t="s">
        <v>729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6" t="s">
        <v>730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6" t="s">
        <v>731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6" t="s">
        <v>732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6" t="s">
        <v>733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6" t="s">
        <v>734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6" t="s">
        <v>735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6" t="s">
        <v>736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6" t="s">
        <v>737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6" t="s">
        <v>738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6" t="s">
        <v>739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6" t="s">
        <v>740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6" t="s">
        <v>741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6" t="s">
        <v>742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6" t="s">
        <v>743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6" t="s">
        <v>744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6" t="s">
        <v>745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6" t="s">
        <v>746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6" t="s">
        <v>747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6" t="s">
        <v>748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6" t="s">
        <v>749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6" t="s">
        <v>750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6" t="s">
        <v>751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6" t="s">
        <v>752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6" t="s">
        <v>753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6" t="s">
        <v>754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6" t="s">
        <v>755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6" t="s">
        <v>756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6" t="s">
        <v>757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6" t="s">
        <v>758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6" t="s">
        <v>759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6" t="s">
        <v>760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6" t="s">
        <v>761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6" t="s">
        <v>762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6" t="s">
        <v>763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6" t="s">
        <v>764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6" t="s">
        <v>765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6" t="s">
        <v>766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6" t="s">
        <v>767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6" t="s">
        <v>768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6" t="s">
        <v>769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6" t="s">
        <v>770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6" t="s">
        <v>771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6" t="s">
        <v>772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6" t="s">
        <v>773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6" t="s">
        <v>774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6" t="s">
        <v>775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6" t="s">
        <v>776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6" t="s">
        <v>777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6" t="s">
        <v>778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6" t="s">
        <v>779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6" t="s">
        <v>780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6" t="s">
        <v>781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6" t="s">
        <v>782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6" t="s">
        <v>783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6" t="s">
        <v>784</v>
      </c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6" t="s">
        <v>785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6" t="s">
        <v>786</v>
      </c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6" t="s">
        <v>787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6" t="s">
        <v>788</v>
      </c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6" t="s">
        <v>789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6" t="s">
        <v>790</v>
      </c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6" t="s">
        <v>791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6" t="s">
        <v>792</v>
      </c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6" t="s">
        <v>793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6" t="s">
        <v>794</v>
      </c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6" t="s">
        <v>795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6" t="s">
        <v>796</v>
      </c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6" t="s">
        <v>797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6" t="s">
        <v>798</v>
      </c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6" t="s">
        <v>799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6" t="s">
        <v>800</v>
      </c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6" t="s">
        <v>801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6" t="s">
        <v>802</v>
      </c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6" t="s">
        <v>803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6" t="s">
        <v>804</v>
      </c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6" t="s">
        <v>805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6" t="s">
        <v>806</v>
      </c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6" t="s">
        <v>807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6" t="s">
        <v>808</v>
      </c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6" t="s">
        <v>809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6" t="s">
        <v>810</v>
      </c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6" t="s">
        <v>811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6" t="s">
        <v>812</v>
      </c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6" t="s">
        <v>813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6" t="s">
        <v>814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6" t="s">
        <v>815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6" t="s">
        <v>816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6" t="s">
        <v>817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6" t="s">
        <v>818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6" t="s">
        <v>819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6" t="s">
        <v>820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6" t="s">
        <v>821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6" t="s">
        <v>822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6" t="s">
        <v>823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6" t="s">
        <v>824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6" t="s">
        <v>825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6" t="s">
        <v>826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6" t="s">
        <v>827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6" t="s">
        <v>828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6" t="s">
        <v>829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6" t="s">
        <v>830</v>
      </c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6" t="s">
        <v>831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6" t="s">
        <v>832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6" t="s">
        <v>833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6" t="s">
        <v>834</v>
      </c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6" t="s">
        <v>835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6" t="s">
        <v>836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6" t="s">
        <v>837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6" t="s">
        <v>838</v>
      </c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6" t="s">
        <v>839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6" t="s">
        <v>840</v>
      </c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6" t="s">
        <v>841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6" t="s">
        <v>842</v>
      </c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6" t="s">
        <v>843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6" t="s">
        <v>844</v>
      </c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6" t="s">
        <v>845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6" t="s">
        <v>846</v>
      </c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6" t="s">
        <v>847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6" t="s">
        <v>848</v>
      </c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6" t="s">
        <v>849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6" t="s">
        <v>850</v>
      </c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6" t="s">
        <v>851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6" t="s">
        <v>852</v>
      </c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6" t="s">
        <v>853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6" t="s">
        <v>854</v>
      </c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6" t="s">
        <v>855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6" t="s">
        <v>856</v>
      </c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6" t="s">
        <v>857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6" t="s">
        <v>858</v>
      </c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6" t="s">
        <v>859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6" t="s">
        <v>860</v>
      </c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6" t="s">
        <v>861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6" t="s">
        <v>862</v>
      </c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6" t="s">
        <v>863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6" t="s">
        <v>864</v>
      </c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6" t="s">
        <v>865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6" t="s">
        <v>866</v>
      </c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6" t="s">
        <v>867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6" t="s">
        <v>868</v>
      </c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6" t="s">
        <v>869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6" t="s">
        <v>870</v>
      </c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6" t="s">
        <v>871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6" t="s">
        <v>872</v>
      </c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6" t="s">
        <v>873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6" t="s">
        <v>874</v>
      </c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6" t="s">
        <v>875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6" t="s">
        <v>876</v>
      </c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6" t="s">
        <v>877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6" t="s">
        <v>878</v>
      </c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6" t="s">
        <v>879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6" t="s">
        <v>880</v>
      </c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6" t="s">
        <v>881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6" t="s">
        <v>882</v>
      </c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6" t="s">
        <v>883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6" t="s">
        <v>884</v>
      </c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6" t="s">
        <v>885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6" t="s">
        <v>886</v>
      </c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6" t="s">
        <v>887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6" t="s">
        <v>888</v>
      </c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6" t="s">
        <v>889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6" t="s">
        <v>890</v>
      </c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6" t="s">
        <v>891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6" t="s">
        <v>892</v>
      </c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6" t="s">
        <v>893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6" t="s">
        <v>894</v>
      </c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6" t="s">
        <v>895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6" t="s">
        <v>896</v>
      </c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6" t="s">
        <v>897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6" t="s">
        <v>898</v>
      </c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6" t="s">
        <v>899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6" t="s">
        <v>900</v>
      </c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6" t="s">
        <v>901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6" t="s">
        <v>902</v>
      </c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6" t="s">
        <v>903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6" t="s">
        <v>904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6" t="s">
        <v>905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6" t="s">
        <v>906</v>
      </c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6" t="s">
        <v>907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6" t="s">
        <v>908</v>
      </c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6" t="s">
        <v>909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6" t="s">
        <v>910</v>
      </c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6" t="s">
        <v>911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6" t="s">
        <v>912</v>
      </c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6" t="s">
        <v>913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6" t="s">
        <v>914</v>
      </c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6" t="s">
        <v>915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6" t="s">
        <v>916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6" t="s">
        <v>917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6" t="s">
        <v>918</v>
      </c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6" t="s">
        <v>919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6" t="s">
        <v>920</v>
      </c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6" t="s">
        <v>921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6" t="s">
        <v>922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6" t="s">
        <v>923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6" t="s">
        <v>924</v>
      </c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6" t="s">
        <v>925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6" t="s">
        <v>926</v>
      </c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6" t="s">
        <v>927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6" t="s">
        <v>928</v>
      </c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6" t="s">
        <v>929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6" t="s">
        <v>930</v>
      </c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6" t="s">
        <v>931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6" t="s">
        <v>932</v>
      </c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6" t="s">
        <v>933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6" t="s">
        <v>934</v>
      </c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6" t="s">
        <v>935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6" t="s">
        <v>936</v>
      </c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6" t="s">
        <v>937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6" t="s">
        <v>938</v>
      </c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6" t="s">
        <v>939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6" t="s">
        <v>940</v>
      </c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6" t="s">
        <v>941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6" t="s">
        <v>942</v>
      </c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6" t="s">
        <v>943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6" t="s">
        <v>944</v>
      </c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6" t="s">
        <v>945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6" t="s">
        <v>946</v>
      </c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6" t="s">
        <v>947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6" t="s">
        <v>948</v>
      </c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6" t="s">
        <v>949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6" t="s">
        <v>950</v>
      </c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6" t="s">
        <v>951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6" t="s">
        <v>952</v>
      </c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6" t="s">
        <v>953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6" t="s">
        <v>954</v>
      </c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6" t="s">
        <v>955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6" t="s">
        <v>956</v>
      </c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6" t="s">
        <v>957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6" t="s">
        <v>958</v>
      </c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6" t="s">
        <v>959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6" t="s">
        <v>960</v>
      </c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6" t="s">
        <v>961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6" t="s">
        <v>962</v>
      </c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6" t="s">
        <v>963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6" t="s">
        <v>964</v>
      </c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6" t="s">
        <v>965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6" t="s">
        <v>966</v>
      </c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6" t="s">
        <v>967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6" t="s">
        <v>968</v>
      </c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6" t="s">
        <v>969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6" t="s">
        <v>970</v>
      </c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6" t="s">
        <v>971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6" t="s">
        <v>972</v>
      </c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6" t="s">
        <v>973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6" t="s">
        <v>974</v>
      </c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6" t="s">
        <v>975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6" t="s">
        <v>976</v>
      </c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6" t="s">
        <v>977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6" t="s">
        <v>978</v>
      </c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6" t="s">
        <v>979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6" t="s">
        <v>980</v>
      </c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6" t="s">
        <v>981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6" t="s">
        <v>982</v>
      </c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6" t="s">
        <v>983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6" t="s">
        <v>984</v>
      </c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6" t="s">
        <v>985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6" t="s">
        <v>986</v>
      </c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6" t="s">
        <v>987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6" t="s">
        <v>988</v>
      </c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6" t="s">
        <v>989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6" t="s">
        <v>990</v>
      </c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6" t="s">
        <v>991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6" t="s">
        <v>992</v>
      </c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6" t="s">
        <v>993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6" t="s">
        <v>994</v>
      </c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6" t="s">
        <v>995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6" t="s">
        <v>996</v>
      </c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6" t="s">
        <v>997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6" t="s">
        <v>998</v>
      </c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6" t="s">
        <v>999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6" t="s">
        <v>1000</v>
      </c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6" t="s">
        <v>1001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6" t="s">
        <v>1002</v>
      </c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6" t="s">
        <v>1003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6" t="s">
        <v>1004</v>
      </c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6" t="s">
        <v>1005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6" t="s">
        <v>1006</v>
      </c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6" t="s">
        <v>1007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6" t="s">
        <v>1008</v>
      </c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6" t="s">
        <v>1009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6" t="s">
        <v>1010</v>
      </c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6" t="s">
        <v>1011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6" t="s">
        <v>1012</v>
      </c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6" t="s">
        <v>1013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16" t="s">
        <v>1014</v>
      </c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16" t="s">
        <v>1015</v>
      </c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16" t="s">
        <v>1016</v>
      </c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16" t="s">
        <v>1017</v>
      </c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16" t="s">
        <v>1018</v>
      </c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16" t="s">
        <v>1019</v>
      </c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16" t="s">
        <v>1020</v>
      </c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16" t="s">
        <v>1021</v>
      </c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16" t="s">
        <v>1022</v>
      </c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16" t="s">
        <v>1023</v>
      </c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16" t="s">
        <v>1024</v>
      </c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16" t="s">
        <v>1025</v>
      </c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16" t="s">
        <v>1026</v>
      </c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16" t="s">
        <v>1027</v>
      </c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16" t="s">
        <v>1028</v>
      </c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16" t="s">
        <v>1029</v>
      </c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16" t="s">
        <v>1030</v>
      </c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16" t="s">
        <v>1031</v>
      </c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16" t="s">
        <v>1032</v>
      </c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16" t="s">
        <v>1033</v>
      </c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16" t="s">
        <v>1034</v>
      </c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16" t="s">
        <v>1035</v>
      </c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16" t="s">
        <v>1036</v>
      </c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16" t="s">
        <v>1037</v>
      </c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16" t="s">
        <v>1038</v>
      </c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16" t="s">
        <v>1039</v>
      </c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16" t="s">
        <v>1040</v>
      </c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16" t="s">
        <v>1041</v>
      </c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16" t="s">
        <v>1042</v>
      </c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16" t="s">
        <v>1043</v>
      </c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16" t="s">
        <v>1044</v>
      </c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16" t="s">
        <v>1045</v>
      </c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16" t="s">
        <v>1046</v>
      </c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16" t="s">
        <v>1047</v>
      </c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16" t="s">
        <v>1048</v>
      </c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16" t="s">
        <v>1049</v>
      </c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16" t="s">
        <v>1050</v>
      </c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16" t="s">
        <v>1051</v>
      </c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16" t="s">
        <v>1052</v>
      </c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16" t="s">
        <v>1053</v>
      </c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16" t="s">
        <v>1054</v>
      </c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16" t="s">
        <v>1055</v>
      </c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16" t="s">
        <v>1056</v>
      </c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16" t="s">
        <v>1057</v>
      </c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16" t="s">
        <v>1058</v>
      </c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16" t="s">
        <v>1059</v>
      </c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16" t="s">
        <v>1060</v>
      </c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16" t="s">
        <v>1061</v>
      </c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16" t="s">
        <v>1062</v>
      </c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16" t="s">
        <v>1063</v>
      </c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16" t="s">
        <v>1064</v>
      </c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16" t="s">
        <v>1065</v>
      </c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16" t="s">
        <v>1066</v>
      </c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16" t="s">
        <v>1067</v>
      </c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16" t="s">
        <v>1068</v>
      </c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16" t="s">
        <v>1069</v>
      </c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16" t="s">
        <v>1070</v>
      </c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16" t="s">
        <v>1071</v>
      </c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16" t="s">
        <v>1072</v>
      </c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16" t="s">
        <v>1073</v>
      </c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16" t="s">
        <v>1074</v>
      </c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16" t="s">
        <v>1075</v>
      </c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16" t="s">
        <v>1076</v>
      </c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16" t="s">
        <v>1077</v>
      </c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16" t="s">
        <v>1078</v>
      </c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16" t="s">
        <v>1079</v>
      </c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16" t="s">
        <v>1080</v>
      </c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16" t="s">
        <v>1081</v>
      </c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16" t="s">
        <v>1082</v>
      </c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16" t="s">
        <v>1083</v>
      </c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16" t="s">
        <v>1084</v>
      </c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16" t="s">
        <v>1085</v>
      </c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16" t="s">
        <v>1086</v>
      </c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16" t="s">
        <v>1087</v>
      </c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16" t="s">
        <v>1088</v>
      </c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16" t="s">
        <v>1089</v>
      </c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16" t="s">
        <v>1090</v>
      </c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16" t="s">
        <v>1091</v>
      </c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16" t="s">
        <v>1092</v>
      </c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16" t="s">
        <v>1093</v>
      </c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16" t="s">
        <v>1094</v>
      </c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16" t="s">
        <v>1095</v>
      </c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16" t="s">
        <v>1096</v>
      </c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16" t="s">
        <v>1097</v>
      </c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16" t="s">
        <v>1098</v>
      </c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16" t="s">
        <v>1099</v>
      </c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16" t="s">
        <v>1100</v>
      </c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16" t="s">
        <v>1101</v>
      </c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16" t="s">
        <v>1102</v>
      </c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16" t="s">
        <v>1103</v>
      </c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16" t="s">
        <v>1104</v>
      </c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16" t="s">
        <v>1105</v>
      </c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16" t="s">
        <v>1106</v>
      </c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16" t="s">
        <v>1107</v>
      </c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16" t="s">
        <v>1108</v>
      </c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16" t="s">
        <v>1109</v>
      </c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16" t="s">
        <v>1110</v>
      </c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16" t="s">
        <v>1111</v>
      </c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16" t="s">
        <v>1112</v>
      </c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16" t="s">
        <v>1113</v>
      </c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16" t="s">
        <v>1114</v>
      </c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16" t="s">
        <v>1115</v>
      </c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16" t="s">
        <v>1116</v>
      </c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16" t="s">
        <v>1117</v>
      </c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16" t="s">
        <v>1118</v>
      </c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16" t="s">
        <v>1119</v>
      </c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16" t="s">
        <v>1120</v>
      </c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16" t="s">
        <v>1121</v>
      </c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16" t="s">
        <v>1122</v>
      </c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16" t="s">
        <v>1123</v>
      </c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16" t="s">
        <v>1124</v>
      </c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16" t="s">
        <v>1125</v>
      </c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16" t="s">
        <v>1126</v>
      </c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16" t="s">
        <v>1127</v>
      </c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16" t="s">
        <v>1128</v>
      </c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16" t="s">
        <v>1129</v>
      </c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16" t="s">
        <v>1130</v>
      </c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16" t="s">
        <v>1131</v>
      </c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16" t="s">
        <v>1132</v>
      </c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16" t="s">
        <v>1133</v>
      </c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16" t="s">
        <v>1134</v>
      </c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16" t="s">
        <v>1135</v>
      </c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16" t="s">
        <v>1136</v>
      </c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16" t="s">
        <v>1137</v>
      </c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16" t="s">
        <v>1138</v>
      </c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16" t="s">
        <v>1139</v>
      </c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16" t="s">
        <v>1140</v>
      </c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16" t="s">
        <v>1141</v>
      </c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16" t="s">
        <v>1142</v>
      </c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16" t="s">
        <v>1143</v>
      </c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6" t="s">
        <v>1144</v>
      </c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16" t="s">
        <v>1145</v>
      </c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16" t="s">
        <v>1146</v>
      </c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16" t="s">
        <v>1147</v>
      </c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16" t="s">
        <v>1148</v>
      </c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16" t="s">
        <v>1149</v>
      </c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16" t="s">
        <v>1150</v>
      </c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16" t="s">
        <v>1151</v>
      </c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16" t="s">
        <v>1152</v>
      </c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16" t="s">
        <v>1153</v>
      </c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16" t="s">
        <v>1154</v>
      </c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16" t="s">
        <v>1155</v>
      </c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16" t="s">
        <v>1156</v>
      </c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16" t="s">
        <v>1157</v>
      </c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16" t="s">
        <v>1158</v>
      </c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16" t="s">
        <v>1159</v>
      </c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16" t="s">
        <v>1160</v>
      </c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16" t="s">
        <v>1161</v>
      </c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16" t="s">
        <v>1162</v>
      </c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16" t="s">
        <v>1163</v>
      </c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16" t="s">
        <v>1164</v>
      </c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16" t="s">
        <v>1165</v>
      </c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16" t="s">
        <v>1166</v>
      </c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16" t="s">
        <v>1167</v>
      </c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16" t="s">
        <v>1168</v>
      </c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16" t="s">
        <v>1169</v>
      </c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16" t="s">
        <v>1170</v>
      </c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16" t="s">
        <v>1171</v>
      </c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16" t="s">
        <v>1172</v>
      </c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16" t="s">
        <v>1173</v>
      </c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16" t="s">
        <v>1174</v>
      </c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16" t="s">
        <v>1175</v>
      </c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16" t="s">
        <v>1176</v>
      </c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16" t="s">
        <v>1177</v>
      </c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16" t="s">
        <v>1178</v>
      </c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16" t="s">
        <v>1179</v>
      </c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16" t="s">
        <v>1180</v>
      </c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16" t="s">
        <v>1181</v>
      </c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16" t="s">
        <v>1182</v>
      </c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16" t="s">
        <v>1183</v>
      </c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16" t="s">
        <v>1184</v>
      </c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16" t="s">
        <v>1185</v>
      </c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16" t="s">
        <v>1186</v>
      </c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16" t="s">
        <v>1187</v>
      </c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16" t="s">
        <v>1188</v>
      </c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16" t="s">
        <v>1189</v>
      </c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16" t="s">
        <v>1190</v>
      </c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16" t="s">
        <v>1191</v>
      </c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16" t="s">
        <v>1192</v>
      </c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16" t="s">
        <v>1193</v>
      </c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16" t="s">
        <v>1194</v>
      </c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16" t="s">
        <v>1195</v>
      </c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16" t="s">
        <v>1196</v>
      </c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16" t="s">
        <v>1197</v>
      </c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16" t="s">
        <v>1198</v>
      </c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16" t="s">
        <v>1199</v>
      </c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16" t="s">
        <v>1200</v>
      </c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16" t="s">
        <v>1201</v>
      </c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16" t="s">
        <v>1202</v>
      </c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16" t="s">
        <v>1203</v>
      </c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16" t="s">
        <v>1204</v>
      </c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16" t="s">
        <v>1205</v>
      </c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16" t="s">
        <v>1206</v>
      </c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16" t="s">
        <v>1207</v>
      </c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16" t="s">
        <v>1208</v>
      </c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16" t="s">
        <v>1209</v>
      </c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16" t="s">
        <v>1210</v>
      </c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16" t="s">
        <v>1211</v>
      </c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16" t="s">
        <v>1212</v>
      </c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16" t="s">
        <v>1213</v>
      </c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16" t="s">
        <v>1214</v>
      </c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16" t="s">
        <v>1215</v>
      </c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16" t="s">
        <v>1216</v>
      </c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16" t="s">
        <v>1217</v>
      </c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16" t="s">
        <v>1218</v>
      </c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16" t="s">
        <v>1219</v>
      </c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16" t="s">
        <v>1220</v>
      </c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16" t="s">
        <v>1221</v>
      </c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16" t="s">
        <v>1222</v>
      </c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16" t="s">
        <v>1223</v>
      </c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16" t="s">
        <v>1224</v>
      </c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16" t="s">
        <v>1225</v>
      </c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16" t="s">
        <v>1226</v>
      </c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16" t="s">
        <v>1227</v>
      </c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16" t="s">
        <v>1228</v>
      </c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16" t="s">
        <v>1229</v>
      </c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16" t="s">
        <v>1230</v>
      </c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16" t="s">
        <v>1231</v>
      </c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16" t="s">
        <v>1232</v>
      </c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16" t="s">
        <v>1233</v>
      </c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16" t="s">
        <v>1234</v>
      </c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16" t="s">
        <v>1235</v>
      </c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16" t="s">
        <v>1236</v>
      </c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16" t="s">
        <v>1237</v>
      </c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16" t="s">
        <v>1238</v>
      </c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16" t="s">
        <v>1239</v>
      </c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16" t="s">
        <v>1240</v>
      </c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16" t="s">
        <v>1241</v>
      </c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16" t="s">
        <v>1242</v>
      </c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16" t="s">
        <v>1243</v>
      </c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16" t="s">
        <v>1244</v>
      </c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16" t="s">
        <v>1245</v>
      </c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16" t="s">
        <v>1246</v>
      </c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16" t="s">
        <v>1247</v>
      </c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16" t="s">
        <v>1248</v>
      </c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16" t="s">
        <v>1249</v>
      </c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16" t="s">
        <v>1250</v>
      </c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16" t="s">
        <v>1251</v>
      </c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16" t="s">
        <v>1252</v>
      </c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16" t="s">
        <v>1253</v>
      </c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16" t="s">
        <v>1254</v>
      </c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16" t="s">
        <v>1255</v>
      </c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16" t="s">
        <v>1256</v>
      </c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16" t="s">
        <v>1257</v>
      </c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16" t="s">
        <v>1258</v>
      </c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16" t="s">
        <v>1259</v>
      </c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16" t="s">
        <v>1260</v>
      </c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6" t="s">
        <v>1261</v>
      </c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16" t="s">
        <v>1262</v>
      </c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16" t="s">
        <v>1263</v>
      </c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16" t="s">
        <v>1264</v>
      </c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16" t="s">
        <v>1265</v>
      </c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16" t="s">
        <v>1266</v>
      </c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16" t="s">
        <v>1267</v>
      </c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16" t="s">
        <v>1268</v>
      </c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16" t="s">
        <v>1269</v>
      </c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16" t="s">
        <v>1270</v>
      </c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16" t="s">
        <v>1271</v>
      </c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16" t="s">
        <v>1272</v>
      </c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16" t="s">
        <v>1273</v>
      </c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16" t="s">
        <v>1274</v>
      </c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16" t="s">
        <v>1275</v>
      </c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16" t="s">
        <v>1276</v>
      </c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16" t="s">
        <v>1277</v>
      </c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16" t="s">
        <v>1278</v>
      </c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16" t="s">
        <v>1279</v>
      </c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16" t="s">
        <v>1280</v>
      </c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16" t="s">
        <v>1281</v>
      </c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16" t="s">
        <v>1282</v>
      </c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16" t="s">
        <v>1283</v>
      </c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16" t="s">
        <v>1284</v>
      </c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16" t="s">
        <v>1285</v>
      </c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16" t="s">
        <v>1286</v>
      </c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16" t="s">
        <v>1287</v>
      </c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16" t="s">
        <v>1288</v>
      </c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16" t="s">
        <v>1289</v>
      </c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16" t="s">
        <v>1290</v>
      </c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16" t="s">
        <v>1291</v>
      </c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16" t="s">
        <v>1292</v>
      </c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16" t="s">
        <v>1293</v>
      </c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16" t="s">
        <v>1294</v>
      </c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16" t="s">
        <v>1295</v>
      </c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16" t="s">
        <v>1296</v>
      </c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16" t="s">
        <v>1297</v>
      </c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16" t="s">
        <v>1298</v>
      </c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16" t="s">
        <v>1299</v>
      </c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16" t="s">
        <v>1300</v>
      </c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16" t="s">
        <v>1301</v>
      </c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16" t="s">
        <v>1302</v>
      </c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16" t="s">
        <v>1303</v>
      </c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16" t="s">
        <v>1304</v>
      </c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16" t="s">
        <v>1305</v>
      </c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16" t="s">
        <v>1306</v>
      </c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16" t="s">
        <v>1307</v>
      </c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16" t="s">
        <v>1308</v>
      </c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16" t="s">
        <v>1309</v>
      </c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16" t="s">
        <v>1310</v>
      </c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16" t="s">
        <v>1311</v>
      </c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16" t="s">
        <v>1312</v>
      </c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16" t="s">
        <v>1313</v>
      </c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16" t="s">
        <v>1314</v>
      </c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16" t="s">
        <v>1315</v>
      </c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16" t="s">
        <v>1316</v>
      </c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16" t="s">
        <v>1317</v>
      </c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16" t="s">
        <v>1318</v>
      </c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16" t="s">
        <v>1319</v>
      </c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16" t="s">
        <v>1320</v>
      </c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16" t="s">
        <v>1321</v>
      </c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16" t="s">
        <v>1322</v>
      </c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16" t="s">
        <v>1323</v>
      </c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16" t="s">
        <v>1324</v>
      </c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16" t="s">
        <v>1325</v>
      </c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16" t="s">
        <v>1326</v>
      </c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16" t="s">
        <v>1327</v>
      </c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16" t="s">
        <v>1328</v>
      </c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16" t="s">
        <v>1329</v>
      </c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16" t="s">
        <v>1330</v>
      </c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16" t="s">
        <v>1331</v>
      </c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16" t="s">
        <v>1332</v>
      </c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16" t="s">
        <v>1333</v>
      </c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16" t="s">
        <v>1334</v>
      </c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16" t="s">
        <v>1335</v>
      </c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16" t="s">
        <v>1336</v>
      </c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16" t="s">
        <v>1337</v>
      </c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16" t="s">
        <v>1338</v>
      </c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16" t="s">
        <v>1339</v>
      </c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16" t="s">
        <v>1340</v>
      </c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16" t="s">
        <v>1341</v>
      </c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16" t="s">
        <v>1342</v>
      </c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16" t="s">
        <v>1343</v>
      </c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16" t="s">
        <v>1344</v>
      </c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16" t="s">
        <v>1345</v>
      </c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16" t="s">
        <v>1346</v>
      </c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16" t="s">
        <v>1347</v>
      </c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16" t="s">
        <v>1348</v>
      </c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16" t="s">
        <v>1349</v>
      </c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16" t="s">
        <v>1350</v>
      </c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16" t="s">
        <v>1351</v>
      </c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16" t="s">
        <v>1352</v>
      </c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16" t="s">
        <v>1353</v>
      </c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16" t="s">
        <v>1354</v>
      </c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16" t="s">
        <v>1355</v>
      </c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16" t="s">
        <v>1356</v>
      </c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16" t="s">
        <v>1357</v>
      </c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16" t="s">
        <v>1358</v>
      </c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16" t="s">
        <v>1359</v>
      </c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16" t="s">
        <v>1360</v>
      </c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16" t="s">
        <v>1361</v>
      </c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16" t="s">
        <v>1362</v>
      </c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16" t="s">
        <v>1363</v>
      </c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16" t="s">
        <v>1364</v>
      </c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16" t="s">
        <v>1365</v>
      </c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16" t="s">
        <v>1366</v>
      </c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16" t="s">
        <v>1367</v>
      </c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16" t="s">
        <v>1368</v>
      </c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16" t="s">
        <v>1369</v>
      </c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16" t="s">
        <v>1370</v>
      </c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16" t="s">
        <v>1371</v>
      </c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16" t="s">
        <v>1372</v>
      </c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16" t="s">
        <v>1373</v>
      </c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16" t="s">
        <v>1374</v>
      </c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16" t="s">
        <v>1375</v>
      </c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16" t="s">
        <v>1376</v>
      </c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16" t="s">
        <v>1377</v>
      </c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16" t="s">
        <v>1378</v>
      </c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16" t="s">
        <v>1379</v>
      </c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16" t="s">
        <v>1380</v>
      </c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16" t="s">
        <v>1381</v>
      </c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16" t="s">
        <v>1382</v>
      </c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16" t="s">
        <v>1383</v>
      </c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16" t="s">
        <v>1384</v>
      </c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16" t="s">
        <v>1385</v>
      </c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16" t="s">
        <v>1386</v>
      </c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16" t="s">
        <v>1387</v>
      </c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16" t="s">
        <v>1388</v>
      </c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16" t="s">
        <v>1389</v>
      </c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16" t="s">
        <v>1390</v>
      </c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16" t="s">
        <v>1391</v>
      </c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6" t="s">
        <v>1392</v>
      </c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6" t="s">
        <v>1393</v>
      </c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6" t="s">
        <v>1394</v>
      </c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6" t="s">
        <v>1395</v>
      </c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6" t="s">
        <v>1396</v>
      </c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6" t="s">
        <v>1397</v>
      </c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6" t="s">
        <v>1398</v>
      </c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6" t="s">
        <v>1399</v>
      </c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6" t="s">
        <v>1400</v>
      </c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6" t="s">
        <v>1401</v>
      </c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6" t="s">
        <v>1402</v>
      </c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6" t="s">
        <v>1403</v>
      </c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6" t="s">
        <v>1404</v>
      </c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6" t="s">
        <v>1405</v>
      </c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6" t="s">
        <v>1406</v>
      </c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6" t="s">
        <v>1407</v>
      </c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6" t="s">
        <v>1408</v>
      </c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6" t="s">
        <v>1409</v>
      </c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6" t="s">
        <v>1410</v>
      </c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6" t="s">
        <v>1411</v>
      </c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6" t="s">
        <v>1412</v>
      </c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6" t="s">
        <v>1413</v>
      </c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6" t="s">
        <v>1414</v>
      </c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6" t="s">
        <v>1415</v>
      </c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6" t="s">
        <v>1416</v>
      </c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6" t="s">
        <v>1417</v>
      </c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6" t="s">
        <v>1418</v>
      </c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6" t="s">
        <v>1419</v>
      </c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6" t="s">
        <v>1420</v>
      </c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6" t="s">
        <v>1421</v>
      </c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6" t="s">
        <v>1422</v>
      </c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6" t="s">
        <v>1423</v>
      </c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6" t="s">
        <v>1424</v>
      </c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6" t="s">
        <v>1425</v>
      </c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6" t="s">
        <v>1426</v>
      </c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6" t="s">
        <v>1427</v>
      </c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6" t="s">
        <v>1428</v>
      </c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6" t="s">
        <v>1429</v>
      </c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6" t="s">
        <v>1430</v>
      </c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6" t="s">
        <v>1431</v>
      </c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6" t="s">
        <v>1432</v>
      </c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6" t="s">
        <v>1433</v>
      </c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6" t="s">
        <v>1434</v>
      </c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6" t="s">
        <v>1435</v>
      </c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6" t="s">
        <v>1436</v>
      </c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6" t="s">
        <v>1437</v>
      </c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6" t="s">
        <v>1438</v>
      </c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6" t="s">
        <v>1439</v>
      </c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6" t="s">
        <v>1440</v>
      </c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6" t="s">
        <v>1441</v>
      </c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6" t="s">
        <v>1442</v>
      </c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6" t="s">
        <v>1443</v>
      </c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6" t="s">
        <v>1444</v>
      </c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6" t="s">
        <v>1445</v>
      </c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6" t="s">
        <v>1446</v>
      </c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6" t="s">
        <v>1447</v>
      </c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6" t="s">
        <v>1448</v>
      </c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6" t="s">
        <v>1449</v>
      </c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6" t="s">
        <v>1450</v>
      </c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6" t="s">
        <v>1451</v>
      </c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6" t="s">
        <v>1452</v>
      </c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6" t="s">
        <v>1453</v>
      </c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6" t="s">
        <v>1454</v>
      </c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6" t="s">
        <v>1455</v>
      </c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6" t="s">
        <v>1456</v>
      </c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6" t="s">
        <v>1457</v>
      </c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6" t="s">
        <v>1458</v>
      </c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6" t="s">
        <v>1459</v>
      </c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6" t="s">
        <v>1460</v>
      </c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6" t="s">
        <v>1461</v>
      </c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6" t="s">
        <v>1462</v>
      </c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6" t="s">
        <v>1463</v>
      </c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6" t="s">
        <v>1464</v>
      </c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6" t="s">
        <v>1465</v>
      </c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6" t="s">
        <v>1466</v>
      </c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6" t="s">
        <v>1467</v>
      </c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6" t="s">
        <v>1468</v>
      </c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6" t="s">
        <v>1469</v>
      </c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6" t="s">
        <v>1470</v>
      </c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6" t="s">
        <v>1471</v>
      </c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6" t="s">
        <v>1472</v>
      </c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6" t="s">
        <v>1473</v>
      </c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6" t="s">
        <v>1474</v>
      </c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6" t="s">
        <v>1475</v>
      </c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6" t="s">
        <v>1476</v>
      </c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6" t="s">
        <v>1477</v>
      </c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6" t="s">
        <v>1478</v>
      </c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6" t="s">
        <v>1479</v>
      </c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6" t="s">
        <v>1480</v>
      </c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6" t="s">
        <v>1481</v>
      </c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6" t="s">
        <v>1482</v>
      </c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6" t="s">
        <v>1483</v>
      </c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6" t="s">
        <v>1484</v>
      </c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6" t="s">
        <v>1485</v>
      </c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6" t="s">
        <v>1486</v>
      </c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6" t="s">
        <v>1487</v>
      </c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6" t="s">
        <v>1488</v>
      </c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6" t="s">
        <v>1489</v>
      </c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6" t="s">
        <v>1490</v>
      </c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6" t="s">
        <v>1491</v>
      </c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6" t="s">
        <v>1492</v>
      </c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6" t="s">
        <v>1493</v>
      </c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6" t="s">
        <v>1494</v>
      </c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6" t="s">
        <v>1495</v>
      </c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6" t="s">
        <v>1496</v>
      </c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6" t="s">
        <v>1497</v>
      </c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6" t="s">
        <v>1498</v>
      </c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6" t="s">
        <v>1499</v>
      </c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6" t="s">
        <v>1500</v>
      </c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6" t="s">
        <v>1501</v>
      </c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6" t="s">
        <v>1502</v>
      </c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6" t="s">
        <v>1503</v>
      </c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6" t="s">
        <v>1504</v>
      </c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6" t="s">
        <v>1505</v>
      </c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6" t="s">
        <v>1506</v>
      </c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6" t="s">
        <v>1507</v>
      </c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6" t="s">
        <v>1508</v>
      </c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6" t="s">
        <v>1509</v>
      </c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6" t="s">
        <v>1510</v>
      </c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6" t="s">
        <v>1511</v>
      </c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6" t="s">
        <v>1512</v>
      </c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6" t="s">
        <v>1513</v>
      </c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6" t="s">
        <v>1514</v>
      </c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6" t="s">
        <v>1515</v>
      </c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6" t="s">
        <v>1516</v>
      </c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6" t="s">
        <v>1517</v>
      </c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6" t="s">
        <v>1518</v>
      </c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6" t="s">
        <v>1519</v>
      </c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6" t="s">
        <v>1520</v>
      </c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6" t="s">
        <v>1521</v>
      </c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6" t="s">
        <v>1522</v>
      </c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6" t="s">
        <v>1523</v>
      </c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6" t="s">
        <v>1524</v>
      </c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6" t="s">
        <v>1525</v>
      </c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6" t="s">
        <v>1526</v>
      </c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6" t="s">
        <v>1527</v>
      </c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6" t="s">
        <v>1528</v>
      </c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6" t="s">
        <v>1529</v>
      </c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6" t="s">
        <v>1530</v>
      </c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6" t="s">
        <v>1531</v>
      </c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6" t="s">
        <v>1532</v>
      </c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6" t="s">
        <v>1533</v>
      </c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6" t="s">
        <v>1534</v>
      </c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6" t="s">
        <v>1535</v>
      </c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6" t="s">
        <v>1536</v>
      </c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6" t="s">
        <v>1537</v>
      </c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6" t="s">
        <v>1538</v>
      </c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6" t="s">
        <v>1539</v>
      </c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6" t="s">
        <v>1540</v>
      </c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6" t="s">
        <v>1541</v>
      </c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6" t="s">
        <v>1542</v>
      </c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6" t="s">
        <v>1543</v>
      </c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6" t="s">
        <v>1544</v>
      </c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6" t="s">
        <v>1545</v>
      </c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6" t="s">
        <v>1546</v>
      </c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6" t="s">
        <v>1547</v>
      </c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6" t="s">
        <v>1548</v>
      </c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6" t="s">
        <v>1549</v>
      </c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6" t="s">
        <v>1550</v>
      </c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6" t="s">
        <v>1551</v>
      </c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6" t="s">
        <v>1552</v>
      </c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6" t="s">
        <v>1553</v>
      </c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6" t="s">
        <v>1554</v>
      </c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6" t="s">
        <v>1555</v>
      </c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6" t="s">
        <v>1556</v>
      </c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6" t="s">
        <v>1557</v>
      </c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6" t="s">
        <v>1558</v>
      </c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6" t="s">
        <v>1559</v>
      </c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6" t="s">
        <v>1560</v>
      </c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6" t="s">
        <v>1561</v>
      </c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6" t="s">
        <v>1562</v>
      </c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6" t="s">
        <v>1563</v>
      </c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6" t="s">
        <v>1564</v>
      </c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6" t="s">
        <v>1565</v>
      </c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6" t="s">
        <v>1566</v>
      </c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6" t="s">
        <v>1567</v>
      </c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6" t="s">
        <v>1568</v>
      </c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6" t="s">
        <v>1569</v>
      </c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6" t="s">
        <v>1570</v>
      </c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6" t="s">
        <v>1571</v>
      </c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6" t="s">
        <v>1572</v>
      </c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6" t="s">
        <v>1573</v>
      </c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6" t="s">
        <v>1574</v>
      </c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6" t="s">
        <v>1575</v>
      </c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6" t="s">
        <v>1576</v>
      </c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6" t="s">
        <v>1577</v>
      </c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6" t="s">
        <v>1578</v>
      </c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6" t="s">
        <v>1579</v>
      </c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6" t="s">
        <v>1580</v>
      </c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6" t="s">
        <v>1581</v>
      </c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6" t="s">
        <v>1582</v>
      </c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6" t="s">
        <v>1583</v>
      </c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6" t="s">
        <v>1584</v>
      </c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6" t="s">
        <v>1585</v>
      </c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6" t="s">
        <v>1586</v>
      </c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6" t="s">
        <v>1587</v>
      </c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6" t="s">
        <v>1588</v>
      </c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6" t="s">
        <v>1589</v>
      </c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6" t="s">
        <v>1590</v>
      </c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6" t="s">
        <v>1591</v>
      </c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6" t="s">
        <v>1592</v>
      </c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6" t="s">
        <v>1593</v>
      </c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6" t="s">
        <v>1594</v>
      </c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6" t="s">
        <v>1595</v>
      </c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6" t="s">
        <v>1596</v>
      </c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6" t="s">
        <v>1597</v>
      </c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6" t="s">
        <v>1598</v>
      </c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6" t="s">
        <v>1599</v>
      </c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6" t="s">
        <v>1600</v>
      </c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6" t="s">
        <v>1601</v>
      </c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6" t="s">
        <v>1602</v>
      </c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6" t="s">
        <v>1603</v>
      </c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6" t="s">
        <v>1604</v>
      </c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6" t="s">
        <v>1605</v>
      </c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6" t="s">
        <v>1606</v>
      </c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6" t="s">
        <v>1607</v>
      </c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6" t="s">
        <v>1608</v>
      </c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6" t="s">
        <v>1609</v>
      </c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6" t="s">
        <v>1610</v>
      </c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6" t="s">
        <v>1611</v>
      </c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6" t="s">
        <v>1612</v>
      </c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6" t="s">
        <v>1613</v>
      </c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6" t="s">
        <v>1614</v>
      </c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6" t="s">
        <v>1615</v>
      </c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6" t="s">
        <v>1616</v>
      </c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6" t="s">
        <v>1617</v>
      </c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6" t="s">
        <v>1618</v>
      </c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6" t="s">
        <v>1619</v>
      </c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6" t="s">
        <v>1620</v>
      </c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6" t="s">
        <v>1621</v>
      </c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6" t="s">
        <v>1622</v>
      </c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6" t="s">
        <v>1623</v>
      </c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6" t="s">
        <v>1624</v>
      </c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6" t="s">
        <v>1625</v>
      </c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6" t="s">
        <v>1626</v>
      </c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6" t="s">
        <v>1627</v>
      </c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6" t="s">
        <v>1628</v>
      </c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6" t="s">
        <v>1629</v>
      </c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6" t="s">
        <v>1630</v>
      </c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6" t="s">
        <v>1631</v>
      </c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6" t="s">
        <v>1632</v>
      </c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6" t="s">
        <v>1633</v>
      </c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6" t="s">
        <v>1634</v>
      </c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6" t="s">
        <v>1635</v>
      </c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6" t="s">
        <v>1636</v>
      </c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6" t="s">
        <v>1637</v>
      </c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6" t="s">
        <v>1638</v>
      </c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6" t="s">
        <v>1639</v>
      </c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6" t="s">
        <v>1640</v>
      </c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6" t="s">
        <v>1641</v>
      </c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6" t="s">
        <v>1642</v>
      </c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6" t="s">
        <v>1643</v>
      </c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6" t="s">
        <v>1644</v>
      </c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6" t="s">
        <v>1645</v>
      </c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6" t="s">
        <v>1646</v>
      </c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6" t="s">
        <v>1647</v>
      </c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6" t="s">
        <v>1648</v>
      </c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6" t="s">
        <v>1649</v>
      </c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6" t="s">
        <v>1650</v>
      </c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6" t="s">
        <v>1651</v>
      </c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6" t="s">
        <v>1652</v>
      </c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6" t="s">
        <v>1653</v>
      </c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6" t="s">
        <v>1654</v>
      </c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6" t="s">
        <v>1655</v>
      </c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6" t="s">
        <v>1656</v>
      </c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6" t="s">
        <v>1657</v>
      </c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6" t="s">
        <v>1658</v>
      </c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6" t="s">
        <v>1659</v>
      </c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6" t="s">
        <v>1660</v>
      </c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6" t="s">
        <v>1661</v>
      </c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6" t="s">
        <v>1662</v>
      </c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6" t="s">
        <v>1663</v>
      </c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6" t="s">
        <v>1664</v>
      </c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6" t="s">
        <v>1665</v>
      </c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6" t="s">
        <v>1666</v>
      </c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6" t="s">
        <v>1667</v>
      </c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6" t="s">
        <v>1668</v>
      </c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6" t="s">
        <v>1669</v>
      </c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6" t="s">
        <v>1670</v>
      </c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6" t="s">
        <v>1671</v>
      </c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6" t="s">
        <v>1672</v>
      </c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6" t="s">
        <v>1673</v>
      </c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6" t="s">
        <v>1674</v>
      </c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6" t="s">
        <v>1675</v>
      </c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6" t="s">
        <v>1676</v>
      </c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6" t="s">
        <v>1677</v>
      </c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6" t="s">
        <v>1678</v>
      </c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6" t="s">
        <v>1679</v>
      </c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6" t="s">
        <v>1680</v>
      </c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6" t="s">
        <v>1681</v>
      </c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6" t="s">
        <v>1682</v>
      </c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6" t="s">
        <v>1683</v>
      </c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6" t="s">
        <v>1684</v>
      </c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6" t="s">
        <v>1685</v>
      </c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6" t="s">
        <v>1686</v>
      </c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6" t="s">
        <v>1687</v>
      </c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6" t="s">
        <v>1688</v>
      </c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6" t="s">
        <v>1689</v>
      </c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6" t="s">
        <v>1690</v>
      </c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6" t="s">
        <v>1691</v>
      </c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6" t="s">
        <v>1692</v>
      </c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6" t="s">
        <v>1693</v>
      </c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6" t="s">
        <v>1694</v>
      </c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6" t="s">
        <v>1695</v>
      </c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6" t="s">
        <v>1696</v>
      </c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6" t="s">
        <v>1697</v>
      </c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6" t="s">
        <v>1698</v>
      </c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6" t="s">
        <v>1699</v>
      </c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6" t="s">
        <v>1700</v>
      </c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6" t="s">
        <v>1701</v>
      </c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6" t="s">
        <v>1702</v>
      </c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6" t="s">
        <v>1703</v>
      </c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6" t="s">
        <v>1704</v>
      </c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6" t="s">
        <v>1705</v>
      </c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6" t="s">
        <v>1706</v>
      </c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6" t="s">
        <v>1707</v>
      </c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6" t="s">
        <v>1708</v>
      </c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6" t="s">
        <v>1709</v>
      </c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6" t="s">
        <v>1710</v>
      </c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6" t="s">
        <v>1711</v>
      </c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6" t="s">
        <v>1712</v>
      </c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6" t="s">
        <v>1713</v>
      </c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6" t="s">
        <v>1714</v>
      </c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6" t="s">
        <v>1715</v>
      </c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6" t="s">
        <v>1716</v>
      </c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6" t="s">
        <v>1717</v>
      </c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6" t="s">
        <v>1718</v>
      </c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6" t="s">
        <v>1719</v>
      </c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6" t="s">
        <v>1720</v>
      </c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6" t="s">
        <v>1721</v>
      </c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6" t="s">
        <v>1722</v>
      </c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6" t="s">
        <v>1723</v>
      </c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6" t="s">
        <v>1724</v>
      </c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6" t="s">
        <v>1725</v>
      </c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6" t="s">
        <v>1726</v>
      </c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6" t="s">
        <v>1727</v>
      </c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6" t="s">
        <v>1728</v>
      </c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6" t="s">
        <v>1729</v>
      </c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6" t="s">
        <v>1730</v>
      </c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6" t="s">
        <v>1731</v>
      </c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6" t="s">
        <v>1732</v>
      </c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6" t="s">
        <v>1733</v>
      </c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6" t="s">
        <v>1734</v>
      </c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6" t="s">
        <v>1735</v>
      </c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6" t="s">
        <v>1736</v>
      </c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6" t="s">
        <v>1737</v>
      </c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6" t="s">
        <v>1738</v>
      </c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6" t="s">
        <v>1739</v>
      </c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6" t="s">
        <v>1740</v>
      </c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6" t="s">
        <v>1741</v>
      </c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6" t="s">
        <v>1742</v>
      </c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6" t="s">
        <v>1743</v>
      </c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6" t="s">
        <v>1744</v>
      </c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6" t="s">
        <v>1745</v>
      </c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6" t="s">
        <v>1746</v>
      </c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6" t="s">
        <v>1747</v>
      </c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6" t="s">
        <v>1748</v>
      </c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6" t="s">
        <v>1749</v>
      </c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6" t="s">
        <v>1750</v>
      </c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6" t="s">
        <v>1751</v>
      </c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6" t="s">
        <v>1752</v>
      </c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6" t="s">
        <v>1753</v>
      </c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6" t="s">
        <v>1754</v>
      </c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6" t="s">
        <v>1755</v>
      </c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6" t="s">
        <v>1756</v>
      </c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6" t="s">
        <v>1757</v>
      </c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6" t="s">
        <v>1758</v>
      </c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6" t="s">
        <v>1759</v>
      </c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6" t="s">
        <v>1760</v>
      </c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6" t="s">
        <v>1761</v>
      </c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6" t="s">
        <v>1762</v>
      </c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6" t="s">
        <v>1763</v>
      </c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6" t="s">
        <v>1764</v>
      </c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6" t="s">
        <v>1765</v>
      </c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6" t="s">
        <v>1766</v>
      </c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6" t="s">
        <v>1767</v>
      </c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6" t="s">
        <v>1768</v>
      </c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6" t="s">
        <v>1769</v>
      </c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6" t="s">
        <v>1770</v>
      </c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6" t="s">
        <v>1771</v>
      </c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6" t="s">
        <v>1772</v>
      </c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6" t="s">
        <v>1773</v>
      </c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6" t="s">
        <v>1774</v>
      </c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6" t="s">
        <v>1775</v>
      </c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6" t="s">
        <v>1776</v>
      </c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6" t="s">
        <v>1777</v>
      </c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6" t="s">
        <v>1778</v>
      </c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6" t="s">
        <v>1779</v>
      </c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6" t="s">
        <v>1780</v>
      </c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6" t="s">
        <v>1781</v>
      </c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6" t="s">
        <v>1782</v>
      </c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6" t="s">
        <v>1783</v>
      </c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6" t="s">
        <v>1784</v>
      </c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6" t="s">
        <v>1785</v>
      </c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6" t="s">
        <v>1786</v>
      </c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6" t="s">
        <v>1787</v>
      </c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6" t="s">
        <v>1788</v>
      </c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6" t="s">
        <v>1789</v>
      </c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6" t="s">
        <v>1790</v>
      </c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6" t="s">
        <v>1791</v>
      </c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6" t="s">
        <v>1792</v>
      </c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6" t="s">
        <v>1793</v>
      </c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6" t="s">
        <v>1794</v>
      </c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6" t="s">
        <v>1795</v>
      </c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6" t="s">
        <v>1796</v>
      </c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6" t="s">
        <v>1797</v>
      </c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6" t="s">
        <v>1798</v>
      </c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6" t="s">
        <v>1799</v>
      </c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6" t="s">
        <v>1800</v>
      </c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6" t="s">
        <v>1801</v>
      </c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6" t="s">
        <v>1802</v>
      </c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6" t="s">
        <v>1803</v>
      </c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6" t="s">
        <v>1804</v>
      </c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6" t="s">
        <v>1805</v>
      </c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6" t="s">
        <v>1806</v>
      </c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6" t="s">
        <v>1807</v>
      </c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6" t="s">
        <v>1808</v>
      </c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6" t="s">
        <v>1809</v>
      </c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6" t="s">
        <v>1810</v>
      </c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6" t="s">
        <v>1811</v>
      </c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6" t="s">
        <v>1812</v>
      </c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6" t="s">
        <v>1813</v>
      </c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6" t="s">
        <v>1814</v>
      </c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6" t="s">
        <v>1815</v>
      </c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6" t="s">
        <v>1816</v>
      </c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6" t="s">
        <v>1817</v>
      </c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6" t="s">
        <v>1818</v>
      </c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6" t="s">
        <v>1819</v>
      </c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6" t="s">
        <v>1820</v>
      </c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6" t="s">
        <v>1821</v>
      </c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6" t="s">
        <v>1822</v>
      </c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6" t="s">
        <v>1823</v>
      </c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6" t="s">
        <v>1824</v>
      </c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6" t="s">
        <v>1825</v>
      </c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6" t="s">
        <v>1826</v>
      </c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6" t="s">
        <v>1827</v>
      </c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6" t="s">
        <v>1828</v>
      </c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6" t="s">
        <v>1829</v>
      </c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6" t="s">
        <v>1830</v>
      </c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6" t="s">
        <v>1831</v>
      </c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6" t="s">
        <v>1832</v>
      </c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6" t="s">
        <v>1833</v>
      </c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6" t="s">
        <v>1834</v>
      </c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6" t="s">
        <v>1835</v>
      </c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6" t="s">
        <v>1836</v>
      </c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6" t="s">
        <v>1837</v>
      </c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6" t="s">
        <v>1838</v>
      </c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6" t="s">
        <v>1839</v>
      </c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6" t="s">
        <v>1840</v>
      </c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6" t="s">
        <v>1841</v>
      </c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6" t="s">
        <v>1842</v>
      </c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6" t="s">
        <v>1843</v>
      </c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6" t="s">
        <v>1844</v>
      </c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6" t="s">
        <v>1845</v>
      </c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6" t="s">
        <v>1846</v>
      </c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6" t="s">
        <v>1847</v>
      </c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6" t="s">
        <v>1848</v>
      </c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6" t="s">
        <v>1849</v>
      </c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6" t="s">
        <v>1850</v>
      </c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6" t="s">
        <v>1851</v>
      </c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6" t="s">
        <v>1852</v>
      </c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6" t="s">
        <v>1853</v>
      </c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6" t="s">
        <v>1854</v>
      </c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6" t="s">
        <v>1855</v>
      </c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6" t="s">
        <v>1856</v>
      </c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6" t="s">
        <v>1857</v>
      </c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6" t="s">
        <v>1858</v>
      </c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6" t="s">
        <v>1859</v>
      </c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6" t="s">
        <v>1860</v>
      </c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6" t="s">
        <v>1861</v>
      </c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6" t="s">
        <v>1862</v>
      </c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6" t="s">
        <v>1863</v>
      </c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6" t="s">
        <v>1864</v>
      </c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6" t="s">
        <v>1865</v>
      </c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6" t="s">
        <v>1866</v>
      </c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6" t="s">
        <v>1867</v>
      </c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6" t="s">
        <v>1868</v>
      </c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6" t="s">
        <v>1869</v>
      </c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6" t="s">
        <v>1870</v>
      </c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6" t="s">
        <v>1871</v>
      </c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6" t="s">
        <v>1872</v>
      </c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6" t="s">
        <v>1873</v>
      </c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6" t="s">
        <v>1874</v>
      </c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6" t="s">
        <v>1875</v>
      </c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6" t="s">
        <v>1876</v>
      </c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6" t="s">
        <v>1877</v>
      </c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6" t="s">
        <v>1878</v>
      </c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6" t="s">
        <v>1879</v>
      </c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6" t="s">
        <v>1880</v>
      </c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6" t="s">
        <v>1881</v>
      </c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6" t="s">
        <v>1882</v>
      </c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6" t="s">
        <v>1883</v>
      </c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6" t="s">
        <v>1884</v>
      </c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6" t="s">
        <v>1885</v>
      </c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6" t="s">
        <v>1886</v>
      </c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6" t="s">
        <v>1887</v>
      </c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6" t="s">
        <v>1888</v>
      </c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6" t="s">
        <v>1889</v>
      </c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6" t="s">
        <v>1890</v>
      </c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6" t="s">
        <v>1891</v>
      </c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6" t="s">
        <v>1892</v>
      </c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6" t="s">
        <v>1893</v>
      </c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6" t="s">
        <v>1894</v>
      </c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6" t="s">
        <v>1895</v>
      </c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6" t="s">
        <v>1896</v>
      </c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6" t="s">
        <v>1897</v>
      </c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6" t="s">
        <v>1898</v>
      </c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6" t="s">
        <v>1899</v>
      </c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6" t="s">
        <v>1900</v>
      </c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6" t="s">
        <v>1901</v>
      </c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6" t="s">
        <v>1902</v>
      </c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6" t="s">
        <v>1903</v>
      </c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6" t="s">
        <v>1904</v>
      </c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6" t="s">
        <v>1905</v>
      </c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6" t="s">
        <v>1906</v>
      </c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6" t="s">
        <v>1907</v>
      </c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6" t="s">
        <v>1908</v>
      </c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6" t="s">
        <v>1909</v>
      </c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6" t="s">
        <v>1910</v>
      </c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6" t="s">
        <v>1911</v>
      </c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6" t="s">
        <v>1912</v>
      </c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6" t="s">
        <v>1913</v>
      </c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6" t="s">
        <v>1914</v>
      </c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6" t="s">
        <v>1915</v>
      </c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6" t="s">
        <v>1916</v>
      </c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6" t="s">
        <v>1917</v>
      </c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6" t="s">
        <v>1918</v>
      </c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6" t="s">
        <v>1919</v>
      </c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6" t="s">
        <v>1920</v>
      </c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6" t="s">
        <v>1921</v>
      </c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6" t="s">
        <v>1922</v>
      </c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6" t="s">
        <v>1923</v>
      </c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6" t="s">
        <v>1924</v>
      </c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6" t="s">
        <v>1925</v>
      </c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6" t="s">
        <v>1926</v>
      </c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6" t="s">
        <v>1927</v>
      </c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6" t="s">
        <v>1928</v>
      </c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6" t="s">
        <v>1929</v>
      </c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6" t="s">
        <v>1930</v>
      </c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6" t="s">
        <v>1931</v>
      </c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6" t="s">
        <v>1932</v>
      </c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6" t="s">
        <v>1933</v>
      </c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6" t="s">
        <v>1934</v>
      </c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6" t="s">
        <v>1935</v>
      </c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6" t="s">
        <v>1936</v>
      </c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6" t="s">
        <v>1937</v>
      </c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6" t="s">
        <v>1938</v>
      </c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6" t="s">
        <v>1939</v>
      </c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6" t="s">
        <v>1940</v>
      </c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6" t="s">
        <v>1941</v>
      </c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6" t="s">
        <v>1942</v>
      </c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6" t="s">
        <v>1943</v>
      </c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6" t="s">
        <v>1944</v>
      </c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6" t="s">
        <v>1945</v>
      </c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6" t="s">
        <v>1946</v>
      </c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6" t="s">
        <v>1947</v>
      </c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6" t="s">
        <v>1948</v>
      </c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6" t="s">
        <v>1949</v>
      </c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6" t="s">
        <v>1950</v>
      </c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6" t="s">
        <v>1951</v>
      </c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6" t="s">
        <v>1952</v>
      </c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6" t="s">
        <v>1953</v>
      </c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6" t="s">
        <v>1954</v>
      </c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6" t="s">
        <v>1955</v>
      </c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6" t="s">
        <v>1956</v>
      </c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6" t="s">
        <v>1957</v>
      </c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6" t="s">
        <v>1958</v>
      </c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6" t="s">
        <v>1959</v>
      </c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6" t="s">
        <v>1960</v>
      </c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6" t="s">
        <v>1961</v>
      </c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6" t="s">
        <v>1962</v>
      </c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6" t="s">
        <v>1963</v>
      </c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6" t="s">
        <v>1964</v>
      </c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6" t="s">
        <v>1965</v>
      </c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6" t="s">
        <v>1966</v>
      </c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6" t="s">
        <v>1967</v>
      </c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6" t="s">
        <v>1968</v>
      </c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6" t="s">
        <v>1969</v>
      </c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6" t="s">
        <v>1970</v>
      </c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6" t="s">
        <v>1971</v>
      </c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6" t="s">
        <v>1972</v>
      </c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6" t="s">
        <v>1973</v>
      </c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6" t="s">
        <v>1974</v>
      </c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6" t="s">
        <v>1975</v>
      </c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6" t="s">
        <v>1976</v>
      </c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6" t="s">
        <v>1977</v>
      </c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6" t="s">
        <v>1978</v>
      </c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6" t="s">
        <v>1979</v>
      </c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6" t="s">
        <v>1980</v>
      </c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6" t="s">
        <v>1981</v>
      </c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6" t="s">
        <v>1982</v>
      </c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6" t="s">
        <v>1983</v>
      </c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6" t="s">
        <v>1984</v>
      </c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6" t="s">
        <v>1985</v>
      </c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6" t="s">
        <v>1986</v>
      </c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6" t="s">
        <v>1987</v>
      </c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6" t="s">
        <v>1988</v>
      </c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6" t="s">
        <v>1989</v>
      </c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6" t="s">
        <v>1990</v>
      </c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6" t="s">
        <v>1991</v>
      </c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6" t="s">
        <v>1992</v>
      </c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6" t="s">
        <v>1993</v>
      </c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6" t="s">
        <v>1994</v>
      </c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6" t="s">
        <v>1995</v>
      </c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6" t="s">
        <v>1996</v>
      </c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6" t="s">
        <v>1997</v>
      </c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6" t="s">
        <v>1998</v>
      </c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6" t="s">
        <v>1999</v>
      </c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6" t="s">
        <v>2000</v>
      </c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6" t="s">
        <v>2001</v>
      </c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6" t="s">
        <v>2002</v>
      </c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6" t="s">
        <v>2003</v>
      </c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6" t="s">
        <v>2004</v>
      </c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6" t="s">
        <v>2005</v>
      </c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6" t="s">
        <v>2006</v>
      </c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6" t="s">
        <v>2007</v>
      </c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6" t="s">
        <v>2008</v>
      </c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6" t="s">
        <v>2009</v>
      </c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6" t="s">
        <v>2010</v>
      </c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6" t="s">
        <v>2011</v>
      </c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6" t="s">
        <v>2012</v>
      </c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6" t="s">
        <v>2013</v>
      </c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>
      <c r="A2002" s="16" t="s">
        <v>2014</v>
      </c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>
      <c r="A2003" s="16" t="s">
        <v>2015</v>
      </c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>
      <c r="A2004" s="16" t="s">
        <v>2016</v>
      </c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>
      <c r="A2005" s="16" t="s">
        <v>2017</v>
      </c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>
      <c r="A2006" s="16" t="s">
        <v>2018</v>
      </c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>
      <c r="A2007" s="16" t="s">
        <v>2019</v>
      </c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>
      <c r="A2008" s="16" t="s">
        <v>2020</v>
      </c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</sheetData>
  <dataValidations>
    <dataValidation type="custom" allowBlank="1" showDropDown="1" showErrorMessage="1" sqref="B1:B2008">
      <formula1>OR(NOT(ISERROR(DATEVALUE(B1))), AND(ISNUMBER(B1), LEFT(CELL("format", B1))="D"))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6.56"/>
    <col customWidth="1" min="2" max="2" width="6.78"/>
  </cols>
  <sheetData>
    <row r="1">
      <c r="A1" s="19" t="s">
        <v>2021</v>
      </c>
      <c r="B1" s="19" t="s">
        <v>2022</v>
      </c>
    </row>
    <row r="2">
      <c r="A2" s="20" t="s">
        <v>2023</v>
      </c>
      <c r="B2" s="21">
        <v>47.51</v>
      </c>
    </row>
    <row r="3">
      <c r="A3" s="20" t="s">
        <v>2024</v>
      </c>
      <c r="B3" s="21">
        <v>1.15</v>
      </c>
    </row>
    <row r="4">
      <c r="A4" s="20" t="s">
        <v>2025</v>
      </c>
      <c r="B4" s="21">
        <v>1.0</v>
      </c>
    </row>
    <row r="5">
      <c r="B5" s="21"/>
    </row>
    <row r="6">
      <c r="B6" s="22"/>
    </row>
    <row r="7">
      <c r="B7" s="22"/>
    </row>
    <row r="8">
      <c r="B8" s="22"/>
    </row>
    <row r="9">
      <c r="B9" s="22"/>
    </row>
    <row r="10">
      <c r="B10" s="22"/>
    </row>
    <row r="11">
      <c r="B11" s="22"/>
    </row>
    <row r="12">
      <c r="B12" s="22"/>
    </row>
    <row r="13">
      <c r="B13" s="22"/>
    </row>
    <row r="14">
      <c r="B14" s="22"/>
    </row>
    <row r="15">
      <c r="B15" s="2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  <row r="998">
      <c r="B998" s="22"/>
    </row>
    <row r="999">
      <c r="B999" s="22"/>
    </row>
    <row r="1000">
      <c r="B1000" s="22"/>
    </row>
    <row r="1001">
      <c r="B1001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19.78"/>
    <col customWidth="1" min="2" max="2" width="8.11"/>
    <col customWidth="1" min="3" max="3" width="7.11"/>
    <col customWidth="1" min="4" max="4" width="8.33"/>
    <col customWidth="1" min="5" max="5" width="7.67"/>
    <col customWidth="1" min="6" max="6" width="4.22"/>
    <col customWidth="1" min="7" max="7" width="14.56"/>
    <col customWidth="1" min="8" max="8" width="20.89"/>
    <col customWidth="1" min="9" max="9" width="10.89"/>
    <col customWidth="1" min="10" max="10" width="1.56"/>
    <col customWidth="1" min="12" max="12" width="19.89"/>
    <col customWidth="1" min="13" max="13" width="3.89"/>
    <col customWidth="1" min="14" max="14" width="7.33"/>
    <col customWidth="1" min="15" max="15" width="7.67"/>
    <col customWidth="1" min="16" max="16" width="13.33"/>
    <col customWidth="1" min="17" max="17" width="6.44"/>
    <col customWidth="1" min="18" max="18" width="24.89"/>
    <col customWidth="1" min="19" max="19" width="13.11"/>
    <col customWidth="1" min="28" max="28" width="8.44"/>
    <col customWidth="1" min="29" max="29" width="1.33"/>
  </cols>
  <sheetData>
    <row r="1"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>
      <c r="N3" s="27" t="s">
        <v>2036</v>
      </c>
      <c r="O3" s="28"/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N6" s="30"/>
      <c r="O6" s="31" t="s">
        <v>2040</v>
      </c>
      <c r="P6" s="32">
        <v>2015.0</v>
      </c>
      <c r="Q6" s="30"/>
      <c r="R6" s="31" t="s">
        <v>2041</v>
      </c>
      <c r="S6" s="32" t="s">
        <v>2025</v>
      </c>
      <c r="T6" s="33">
        <f>VLOOKUP(S6,'Курс валют'!$A:$B,2,0)</f>
        <v>1</v>
      </c>
      <c r="U6" s="30"/>
      <c r="V6" s="30"/>
      <c r="W6" s="30"/>
      <c r="X6" s="30"/>
      <c r="Y6" s="30"/>
      <c r="Z6" s="30"/>
      <c r="AA6" s="30"/>
      <c r="AB6" s="30"/>
      <c r="AC6" s="30"/>
    </row>
    <row r="7"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>
      <c r="L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>
      <c r="L13" s="34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>
      <c r="L14" s="34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>
      <c r="B15" s="26"/>
      <c r="C15" s="26"/>
      <c r="D15" s="26"/>
      <c r="E15" s="26"/>
      <c r="L15" s="34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>
      <c r="B16" s="26"/>
      <c r="C16" s="26"/>
      <c r="D16" s="26"/>
      <c r="E16" s="26"/>
      <c r="L16" s="34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>
      <c r="B17" s="26"/>
      <c r="C17" s="26"/>
      <c r="D17" s="26"/>
      <c r="E17" s="26"/>
      <c r="L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>
      <c r="B18" s="26"/>
      <c r="C18" s="26"/>
      <c r="D18" s="26"/>
      <c r="E18" s="26"/>
      <c r="L18" s="34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>
      <c r="B19" s="26"/>
      <c r="C19" s="26"/>
      <c r="D19" s="26"/>
      <c r="E19" s="26"/>
      <c r="L19" s="34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>
      <c r="B20" s="26"/>
      <c r="C20" s="26"/>
      <c r="D20" s="26"/>
      <c r="E20" s="26"/>
      <c r="L20" s="34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>
      <c r="B21" s="26"/>
      <c r="C21" s="26"/>
      <c r="D21" s="26"/>
      <c r="E21" s="26"/>
      <c r="L21" s="34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>
      <c r="B22" s="26"/>
      <c r="C22" s="26"/>
      <c r="D22" s="26"/>
      <c r="E22" s="26"/>
      <c r="L22" s="34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>
      <c r="B23" s="26"/>
      <c r="C23" s="26"/>
      <c r="D23" s="26"/>
      <c r="E23" s="26"/>
      <c r="L23" s="34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>
      <c r="B24" s="26"/>
      <c r="C24" s="26"/>
      <c r="D24" s="26"/>
      <c r="E24" s="26"/>
      <c r="L24" s="34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>
      <c r="B25" s="26"/>
      <c r="C25" s="26"/>
      <c r="D25" s="26"/>
      <c r="E25" s="26"/>
      <c r="L25" s="34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>
      <c r="B26" s="26"/>
      <c r="C26" s="26"/>
      <c r="D26" s="26"/>
      <c r="E26" s="26"/>
      <c r="L26" s="34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>
      <c r="L27" s="34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L28" s="34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L29" s="34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L30" s="34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L31" s="34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>
      <c r="L32" s="34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>
      <c r="L33" s="3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>
      <c r="L34" s="3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>
      <c r="L35" s="34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>
      <c r="L36" s="34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>
      <c r="L37" s="34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>
      <c r="L38" s="34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>
      <c r="L39" s="34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L40" s="34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>
      <c r="L41" s="34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>
      <c r="L42" s="34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>
      <c r="L43" s="34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>
      <c r="L44" s="34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>
      <c r="L45" s="3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>
      <c r="L46" s="34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>
      <c r="L47" s="34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>
      <c r="L48" s="34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>
      <c r="L49" s="34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>
      <c r="L50" s="34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>
      <c r="L51" s="34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</sheetData>
  <mergeCells count="1">
    <mergeCell ref="N3:S3"/>
  </mergeCells>
  <dataValidations>
    <dataValidation type="list" allowBlank="1" showErrorMessage="1" sqref="S6">
      <formula1>'Курс валют'!$A$2:$A$4</formula1>
    </dataValidation>
    <dataValidation type="list" allowBlank="1" showErrorMessage="1" sqref="P6">
      <formula1>"2014,2015"</formula1>
    </dataValidation>
  </dataValidations>
  <drawing r:id="rId7"/>
</worksheet>
</file>