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U\Gestión y Regulación de Riesgos Financieros\Tareas\T1\"/>
    </mc:Choice>
  </mc:AlternateContent>
  <xr:revisionPtr revIDLastSave="0" documentId="13_ncr:1_{A79B19C0-11F3-4D37-A4F2-4B8678BD3A12}" xr6:coauthVersionLast="47" xr6:coauthVersionMax="47" xr10:uidLastSave="{00000000-0000-0000-0000-000000000000}"/>
  <bookViews>
    <workbookView xWindow="-110" yWindow="-110" windowWidth="19420" windowHeight="10300" xr2:uid="{9DE82793-15E6-4EE6-9FDD-042A1E556610}"/>
  </bookViews>
  <sheets>
    <sheet name="Supuestos y convenciones" sheetId="7" r:id="rId1"/>
    <sheet name="Tasas Swap CLP vs Camara" sheetId="2" r:id="rId2"/>
    <sheet name="Cálculo Curva Cero Pesos" sheetId="1" r:id="rId3"/>
    <sheet name="Tasas XCCY UF vs Camara" sheetId="3" r:id="rId4"/>
    <sheet name="Cálculo Curva Cero UF" sheetId="5" r:id="rId5"/>
    <sheet name="Valor FRA" sheetId="6" r:id="rId6"/>
    <sheet name="Valor Forward starting Swap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B17" i="8"/>
  <c r="B23" i="8" s="1"/>
  <c r="A28" i="8" s="1"/>
  <c r="B10" i="6"/>
  <c r="B9" i="6"/>
  <c r="B11" i="6"/>
  <c r="H29" i="5"/>
  <c r="A10" i="8"/>
  <c r="C10" i="8" s="1"/>
  <c r="F10" i="8" s="1"/>
  <c r="A11" i="8"/>
  <c r="C11" i="8" s="1"/>
  <c r="A12" i="8"/>
  <c r="C12" i="8" s="1"/>
  <c r="F12" i="8" s="1"/>
  <c r="A9" i="8"/>
  <c r="C9" i="8" s="1"/>
  <c r="F9" i="8" s="1"/>
  <c r="G4" i="5"/>
  <c r="J7" i="5"/>
  <c r="B7" i="6"/>
  <c r="B8" i="6"/>
  <c r="I26" i="5"/>
  <c r="I27" i="5"/>
  <c r="I28" i="5"/>
  <c r="I30" i="5"/>
  <c r="I25" i="5"/>
  <c r="I29" i="5"/>
  <c r="J16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I353" i="5" s="1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5" i="5"/>
  <c r="G74" i="5"/>
  <c r="G73" i="5"/>
  <c r="G72" i="5"/>
  <c r="G71" i="5"/>
  <c r="G70" i="5"/>
  <c r="G69" i="5"/>
  <c r="G68" i="5"/>
  <c r="G67" i="5"/>
  <c r="G66" i="5"/>
  <c r="G65" i="5"/>
  <c r="G64" i="5"/>
  <c r="G58" i="5"/>
  <c r="G57" i="5"/>
  <c r="G56" i="5"/>
  <c r="G55" i="5"/>
  <c r="G54" i="5"/>
  <c r="G53" i="5"/>
  <c r="G52" i="5"/>
  <c r="G51" i="5"/>
  <c r="G50" i="5"/>
  <c r="G49" i="5"/>
  <c r="G43" i="5"/>
  <c r="G42" i="5"/>
  <c r="G41" i="5"/>
  <c r="G40" i="5"/>
  <c r="G39" i="5"/>
  <c r="G38" i="5"/>
  <c r="G37" i="5"/>
  <c r="G36" i="5"/>
  <c r="G30" i="5"/>
  <c r="G29" i="5"/>
  <c r="G28" i="5"/>
  <c r="G27" i="5"/>
  <c r="G26" i="5"/>
  <c r="G25" i="5"/>
  <c r="G19" i="5"/>
  <c r="G18" i="5"/>
  <c r="G17" i="5"/>
  <c r="G16" i="5"/>
  <c r="G10" i="5"/>
  <c r="G9" i="5"/>
  <c r="G8" i="5"/>
  <c r="G7" i="5"/>
  <c r="G6" i="5"/>
  <c r="G5" i="5"/>
  <c r="G4" i="1"/>
  <c r="C392" i="5"/>
  <c r="D392" i="5" s="1"/>
  <c r="B392" i="5"/>
  <c r="C391" i="5"/>
  <c r="D391" i="5" s="1"/>
  <c r="E391" i="5" s="1"/>
  <c r="B391" i="5"/>
  <c r="C390" i="5"/>
  <c r="D390" i="5" s="1"/>
  <c r="B390" i="5"/>
  <c r="C389" i="5"/>
  <c r="D389" i="5" s="1"/>
  <c r="E389" i="5" s="1"/>
  <c r="B389" i="5"/>
  <c r="C388" i="5"/>
  <c r="D388" i="5" s="1"/>
  <c r="B388" i="5"/>
  <c r="C387" i="5"/>
  <c r="D387" i="5" s="1"/>
  <c r="E387" i="5" s="1"/>
  <c r="B387" i="5"/>
  <c r="C386" i="5"/>
  <c r="D386" i="5" s="1"/>
  <c r="B386" i="5"/>
  <c r="C385" i="5"/>
  <c r="D385" i="5" s="1"/>
  <c r="E385" i="5" s="1"/>
  <c r="B385" i="5"/>
  <c r="C384" i="5"/>
  <c r="D384" i="5" s="1"/>
  <c r="B384" i="5"/>
  <c r="C383" i="5"/>
  <c r="D383" i="5" s="1"/>
  <c r="E383" i="5" s="1"/>
  <c r="B383" i="5"/>
  <c r="B382" i="5"/>
  <c r="C382" i="5" s="1"/>
  <c r="D382" i="5" s="1"/>
  <c r="J382" i="5" s="1"/>
  <c r="C381" i="5"/>
  <c r="D381" i="5" s="1"/>
  <c r="B381" i="5"/>
  <c r="B380" i="5"/>
  <c r="C380" i="5" s="1"/>
  <c r="D380" i="5" s="1"/>
  <c r="J380" i="5" s="1"/>
  <c r="D379" i="5"/>
  <c r="C379" i="5"/>
  <c r="B379" i="5"/>
  <c r="B378" i="5"/>
  <c r="C378" i="5" s="1"/>
  <c r="D378" i="5" s="1"/>
  <c r="C377" i="5"/>
  <c r="D377" i="5" s="1"/>
  <c r="B377" i="5"/>
  <c r="B376" i="5"/>
  <c r="C376" i="5" s="1"/>
  <c r="D376" i="5" s="1"/>
  <c r="D375" i="5"/>
  <c r="J375" i="5" s="1"/>
  <c r="C375" i="5"/>
  <c r="B375" i="5"/>
  <c r="D374" i="5"/>
  <c r="C374" i="5"/>
  <c r="B374" i="5"/>
  <c r="B373" i="5"/>
  <c r="C373" i="5" s="1"/>
  <c r="D373" i="5" s="1"/>
  <c r="J373" i="5" s="1"/>
  <c r="C372" i="5"/>
  <c r="D372" i="5" s="1"/>
  <c r="B372" i="5"/>
  <c r="B371" i="5"/>
  <c r="C371" i="5" s="1"/>
  <c r="D371" i="5" s="1"/>
  <c r="C370" i="5"/>
  <c r="D370" i="5" s="1"/>
  <c r="B370" i="5"/>
  <c r="B369" i="5"/>
  <c r="C369" i="5" s="1"/>
  <c r="D369" i="5" s="1"/>
  <c r="J368" i="5"/>
  <c r="D368" i="5"/>
  <c r="E368" i="5" s="1"/>
  <c r="I368" i="5" s="1"/>
  <c r="B368" i="5"/>
  <c r="C368" i="5" s="1"/>
  <c r="C367" i="5"/>
  <c r="D367" i="5" s="1"/>
  <c r="B367" i="5"/>
  <c r="B366" i="5"/>
  <c r="C366" i="5" s="1"/>
  <c r="D366" i="5" s="1"/>
  <c r="C365" i="5"/>
  <c r="D365" i="5" s="1"/>
  <c r="B365" i="5"/>
  <c r="B364" i="5"/>
  <c r="C364" i="5" s="1"/>
  <c r="D364" i="5" s="1"/>
  <c r="J363" i="5"/>
  <c r="C363" i="5"/>
  <c r="D363" i="5" s="1"/>
  <c r="B363" i="5"/>
  <c r="J362" i="5"/>
  <c r="I362" i="5"/>
  <c r="B362" i="5"/>
  <c r="C362" i="5" s="1"/>
  <c r="D362" i="5" s="1"/>
  <c r="E362" i="5" s="1"/>
  <c r="J361" i="5"/>
  <c r="C361" i="5"/>
  <c r="D361" i="5" s="1"/>
  <c r="B361" i="5"/>
  <c r="B360" i="5"/>
  <c r="C360" i="5" s="1"/>
  <c r="D360" i="5" s="1"/>
  <c r="D359" i="5"/>
  <c r="J359" i="5" s="1"/>
  <c r="C359" i="5"/>
  <c r="B359" i="5"/>
  <c r="J358" i="5"/>
  <c r="D358" i="5"/>
  <c r="C358" i="5"/>
  <c r="B358" i="5"/>
  <c r="B357" i="5"/>
  <c r="C357" i="5" s="1"/>
  <c r="D357" i="5" s="1"/>
  <c r="C356" i="5"/>
  <c r="D356" i="5" s="1"/>
  <c r="J356" i="5" s="1"/>
  <c r="B356" i="5"/>
  <c r="B355" i="5"/>
  <c r="C355" i="5" s="1"/>
  <c r="D355" i="5" s="1"/>
  <c r="J354" i="5"/>
  <c r="C354" i="5"/>
  <c r="D354" i="5" s="1"/>
  <c r="B354" i="5"/>
  <c r="J353" i="5"/>
  <c r="B353" i="5"/>
  <c r="C353" i="5" s="1"/>
  <c r="D353" i="5" s="1"/>
  <c r="E353" i="5" s="1"/>
  <c r="J352" i="5"/>
  <c r="D352" i="5"/>
  <c r="E352" i="5" s="1"/>
  <c r="I352" i="5" s="1"/>
  <c r="B352" i="5"/>
  <c r="C352" i="5" s="1"/>
  <c r="C351" i="5"/>
  <c r="D351" i="5" s="1"/>
  <c r="B351" i="5"/>
  <c r="C350" i="5"/>
  <c r="D350" i="5" s="1"/>
  <c r="B350" i="5"/>
  <c r="D349" i="5"/>
  <c r="C349" i="5"/>
  <c r="B349" i="5"/>
  <c r="J348" i="5"/>
  <c r="B348" i="5"/>
  <c r="C348" i="5" s="1"/>
  <c r="D348" i="5" s="1"/>
  <c r="J347" i="5"/>
  <c r="E347" i="5"/>
  <c r="I347" i="5" s="1"/>
  <c r="D347" i="5"/>
  <c r="E348" i="5" s="1"/>
  <c r="I348" i="5" s="1"/>
  <c r="C347" i="5"/>
  <c r="B347" i="5"/>
  <c r="B346" i="5"/>
  <c r="C346" i="5" s="1"/>
  <c r="D346" i="5" s="1"/>
  <c r="J345" i="5"/>
  <c r="E345" i="5"/>
  <c r="C345" i="5"/>
  <c r="D345" i="5" s="1"/>
  <c r="B345" i="5"/>
  <c r="B344" i="5"/>
  <c r="C344" i="5" s="1"/>
  <c r="D344" i="5" s="1"/>
  <c r="J343" i="5"/>
  <c r="D343" i="5"/>
  <c r="C343" i="5"/>
  <c r="B343" i="5"/>
  <c r="D342" i="5"/>
  <c r="J342" i="5" s="1"/>
  <c r="C342" i="5"/>
  <c r="B342" i="5"/>
  <c r="B341" i="5"/>
  <c r="C341" i="5" s="1"/>
  <c r="D341" i="5" s="1"/>
  <c r="J340" i="5"/>
  <c r="D340" i="5"/>
  <c r="C340" i="5"/>
  <c r="B340" i="5"/>
  <c r="B339" i="5"/>
  <c r="C339" i="5" s="1"/>
  <c r="D339" i="5" s="1"/>
  <c r="C338" i="5"/>
  <c r="D338" i="5" s="1"/>
  <c r="B338" i="5"/>
  <c r="C337" i="5"/>
  <c r="D337" i="5" s="1"/>
  <c r="B337" i="5"/>
  <c r="J336" i="5"/>
  <c r="D336" i="5"/>
  <c r="E336" i="5" s="1"/>
  <c r="I336" i="5" s="1"/>
  <c r="B336" i="5"/>
  <c r="C336" i="5" s="1"/>
  <c r="J335" i="5"/>
  <c r="C335" i="5"/>
  <c r="D335" i="5" s="1"/>
  <c r="B335" i="5"/>
  <c r="B334" i="5"/>
  <c r="C334" i="5" s="1"/>
  <c r="D334" i="5" s="1"/>
  <c r="C333" i="5"/>
  <c r="B333" i="5"/>
  <c r="D327" i="5"/>
  <c r="B327" i="5"/>
  <c r="C327" i="5" s="1"/>
  <c r="B326" i="5"/>
  <c r="C326" i="5" s="1"/>
  <c r="D326" i="5" s="1"/>
  <c r="B325" i="5"/>
  <c r="C325" i="5" s="1"/>
  <c r="D325" i="5" s="1"/>
  <c r="E325" i="5" s="1"/>
  <c r="C324" i="5"/>
  <c r="D324" i="5" s="1"/>
  <c r="B324" i="5"/>
  <c r="B323" i="5"/>
  <c r="C323" i="5" s="1"/>
  <c r="D323" i="5" s="1"/>
  <c r="E323" i="5" s="1"/>
  <c r="B322" i="5"/>
  <c r="C322" i="5" s="1"/>
  <c r="D322" i="5" s="1"/>
  <c r="E322" i="5" s="1"/>
  <c r="D321" i="5"/>
  <c r="C321" i="5"/>
  <c r="B321" i="5"/>
  <c r="D320" i="5"/>
  <c r="E320" i="5" s="1"/>
  <c r="C320" i="5"/>
  <c r="B320" i="5"/>
  <c r="C319" i="5"/>
  <c r="D319" i="5" s="1"/>
  <c r="B319" i="5"/>
  <c r="C318" i="5"/>
  <c r="D318" i="5" s="1"/>
  <c r="B318" i="5"/>
  <c r="C317" i="5"/>
  <c r="D317" i="5" s="1"/>
  <c r="B317" i="5"/>
  <c r="J316" i="5"/>
  <c r="B316" i="5"/>
  <c r="C316" i="5" s="1"/>
  <c r="D316" i="5" s="1"/>
  <c r="D315" i="5"/>
  <c r="C315" i="5"/>
  <c r="B315" i="5"/>
  <c r="B314" i="5"/>
  <c r="C314" i="5" s="1"/>
  <c r="D314" i="5" s="1"/>
  <c r="E314" i="5" s="1"/>
  <c r="I314" i="5" s="1"/>
  <c r="D313" i="5"/>
  <c r="J313" i="5" s="1"/>
  <c r="B313" i="5"/>
  <c r="C313" i="5" s="1"/>
  <c r="D312" i="5"/>
  <c r="C312" i="5"/>
  <c r="B312" i="5"/>
  <c r="B311" i="5"/>
  <c r="C311" i="5" s="1"/>
  <c r="D311" i="5" s="1"/>
  <c r="C310" i="5"/>
  <c r="D310" i="5" s="1"/>
  <c r="B310" i="5"/>
  <c r="C309" i="5"/>
  <c r="D309" i="5" s="1"/>
  <c r="B309" i="5"/>
  <c r="D308" i="5"/>
  <c r="J308" i="5" s="1"/>
  <c r="C308" i="5"/>
  <c r="B308" i="5"/>
  <c r="B307" i="5"/>
  <c r="C307" i="5" s="1"/>
  <c r="D307" i="5" s="1"/>
  <c r="J306" i="5"/>
  <c r="C306" i="5"/>
  <c r="D306" i="5" s="1"/>
  <c r="E306" i="5" s="1"/>
  <c r="I306" i="5" s="1"/>
  <c r="B306" i="5"/>
  <c r="D305" i="5"/>
  <c r="B305" i="5"/>
  <c r="C305" i="5" s="1"/>
  <c r="J304" i="5"/>
  <c r="D304" i="5"/>
  <c r="C304" i="5"/>
  <c r="B304" i="5"/>
  <c r="J303" i="5"/>
  <c r="C303" i="5"/>
  <c r="D303" i="5" s="1"/>
  <c r="E303" i="5" s="1"/>
  <c r="I303" i="5" s="1"/>
  <c r="B303" i="5"/>
  <c r="B302" i="5"/>
  <c r="C302" i="5" s="1"/>
  <c r="D302" i="5" s="1"/>
  <c r="J302" i="5" s="1"/>
  <c r="C301" i="5"/>
  <c r="D301" i="5" s="1"/>
  <c r="B301" i="5"/>
  <c r="B300" i="5"/>
  <c r="C300" i="5" s="1"/>
  <c r="D300" i="5" s="1"/>
  <c r="D299" i="5"/>
  <c r="C299" i="5"/>
  <c r="B299" i="5"/>
  <c r="B298" i="5"/>
  <c r="C298" i="5" s="1"/>
  <c r="D298" i="5" s="1"/>
  <c r="J297" i="5"/>
  <c r="D297" i="5"/>
  <c r="B297" i="5"/>
  <c r="C297" i="5" s="1"/>
  <c r="D296" i="5"/>
  <c r="C296" i="5"/>
  <c r="B296" i="5"/>
  <c r="B295" i="5"/>
  <c r="C295" i="5" s="1"/>
  <c r="D295" i="5" s="1"/>
  <c r="J295" i="5" s="1"/>
  <c r="C294" i="5"/>
  <c r="D294" i="5" s="1"/>
  <c r="B294" i="5"/>
  <c r="J293" i="5"/>
  <c r="C293" i="5"/>
  <c r="D293" i="5" s="1"/>
  <c r="E293" i="5" s="1"/>
  <c r="I293" i="5" s="1"/>
  <c r="B293" i="5"/>
  <c r="C292" i="5"/>
  <c r="D292" i="5" s="1"/>
  <c r="B292" i="5"/>
  <c r="J291" i="5"/>
  <c r="B291" i="5"/>
  <c r="C291" i="5" s="1"/>
  <c r="D291" i="5" s="1"/>
  <c r="C290" i="5"/>
  <c r="D290" i="5" s="1"/>
  <c r="B290" i="5"/>
  <c r="B289" i="5"/>
  <c r="C289" i="5" s="1"/>
  <c r="D289" i="5" s="1"/>
  <c r="D288" i="5"/>
  <c r="J288" i="5" s="1"/>
  <c r="C288" i="5"/>
  <c r="B288" i="5"/>
  <c r="C287" i="5"/>
  <c r="D287" i="5" s="1"/>
  <c r="B287" i="5"/>
  <c r="C286" i="5"/>
  <c r="D286" i="5" s="1"/>
  <c r="B286" i="5"/>
  <c r="D285" i="5"/>
  <c r="J285" i="5" s="1"/>
  <c r="C285" i="5"/>
  <c r="B285" i="5"/>
  <c r="C284" i="5"/>
  <c r="D284" i="5" s="1"/>
  <c r="B284" i="5"/>
  <c r="J283" i="5"/>
  <c r="C283" i="5"/>
  <c r="D283" i="5" s="1"/>
  <c r="B283" i="5"/>
  <c r="C282" i="5"/>
  <c r="D282" i="5" s="1"/>
  <c r="B282" i="5"/>
  <c r="J281" i="5"/>
  <c r="D281" i="5"/>
  <c r="B281" i="5"/>
  <c r="C281" i="5" s="1"/>
  <c r="C280" i="5"/>
  <c r="D280" i="5" s="1"/>
  <c r="B280" i="5"/>
  <c r="C279" i="5"/>
  <c r="D279" i="5" s="1"/>
  <c r="J279" i="5" s="1"/>
  <c r="B279" i="5"/>
  <c r="E278" i="5"/>
  <c r="D278" i="5"/>
  <c r="C278" i="5"/>
  <c r="B278" i="5"/>
  <c r="B272" i="5"/>
  <c r="C272" i="5" s="1"/>
  <c r="D272" i="5" s="1"/>
  <c r="H264" i="5" s="1"/>
  <c r="C271" i="5"/>
  <c r="D271" i="5" s="1"/>
  <c r="E271" i="5" s="1"/>
  <c r="B271" i="5"/>
  <c r="B270" i="5"/>
  <c r="C270" i="5" s="1"/>
  <c r="D270" i="5" s="1"/>
  <c r="C269" i="5"/>
  <c r="D269" i="5" s="1"/>
  <c r="B269" i="5"/>
  <c r="D268" i="5"/>
  <c r="B268" i="5"/>
  <c r="C268" i="5" s="1"/>
  <c r="B267" i="5"/>
  <c r="C267" i="5" s="1"/>
  <c r="D267" i="5" s="1"/>
  <c r="E267" i="5" s="1"/>
  <c r="B266" i="5"/>
  <c r="C266" i="5" s="1"/>
  <c r="D266" i="5" s="1"/>
  <c r="E266" i="5" s="1"/>
  <c r="H265" i="5"/>
  <c r="C265" i="5"/>
  <c r="D265" i="5" s="1"/>
  <c r="E265" i="5" s="1"/>
  <c r="B265" i="5"/>
  <c r="E264" i="5"/>
  <c r="C264" i="5"/>
  <c r="D264" i="5" s="1"/>
  <c r="B264" i="5"/>
  <c r="C263" i="5"/>
  <c r="D263" i="5" s="1"/>
  <c r="B263" i="5"/>
  <c r="B262" i="5"/>
  <c r="C262" i="5" s="1"/>
  <c r="D262" i="5" s="1"/>
  <c r="H268" i="5" s="1"/>
  <c r="D261" i="5"/>
  <c r="C261" i="5"/>
  <c r="B261" i="5"/>
  <c r="B260" i="5"/>
  <c r="C260" i="5" s="1"/>
  <c r="D260" i="5" s="1"/>
  <c r="C259" i="5"/>
  <c r="D259" i="5" s="1"/>
  <c r="B259" i="5"/>
  <c r="B258" i="5"/>
  <c r="C258" i="5" s="1"/>
  <c r="D258" i="5" s="1"/>
  <c r="E257" i="5"/>
  <c r="C257" i="5"/>
  <c r="D257" i="5" s="1"/>
  <c r="J257" i="5" s="1"/>
  <c r="B257" i="5"/>
  <c r="B256" i="5"/>
  <c r="C256" i="5" s="1"/>
  <c r="D256" i="5" s="1"/>
  <c r="D255" i="5"/>
  <c r="C255" i="5"/>
  <c r="B255" i="5"/>
  <c r="B254" i="5"/>
  <c r="C254" i="5" s="1"/>
  <c r="D254" i="5" s="1"/>
  <c r="B253" i="5"/>
  <c r="C253" i="5" s="1"/>
  <c r="D253" i="5" s="1"/>
  <c r="B252" i="5"/>
  <c r="C252" i="5" s="1"/>
  <c r="D252" i="5" s="1"/>
  <c r="E251" i="5"/>
  <c r="I251" i="5" s="1"/>
  <c r="B251" i="5"/>
  <c r="C251" i="5" s="1"/>
  <c r="D251" i="5" s="1"/>
  <c r="J251" i="5" s="1"/>
  <c r="B250" i="5"/>
  <c r="C250" i="5" s="1"/>
  <c r="D250" i="5" s="1"/>
  <c r="B249" i="5"/>
  <c r="C249" i="5" s="1"/>
  <c r="D249" i="5" s="1"/>
  <c r="D248" i="5"/>
  <c r="B248" i="5"/>
  <c r="C248" i="5" s="1"/>
  <c r="C247" i="5"/>
  <c r="D247" i="5" s="1"/>
  <c r="B247" i="5"/>
  <c r="B246" i="5"/>
  <c r="C246" i="5" s="1"/>
  <c r="D246" i="5" s="1"/>
  <c r="C245" i="5"/>
  <c r="D245" i="5" s="1"/>
  <c r="B245" i="5"/>
  <c r="D244" i="5"/>
  <c r="B244" i="5"/>
  <c r="C244" i="5" s="1"/>
  <c r="C243" i="5"/>
  <c r="D243" i="5" s="1"/>
  <c r="B243" i="5"/>
  <c r="D242" i="5"/>
  <c r="B242" i="5"/>
  <c r="C242" i="5" s="1"/>
  <c r="B241" i="5"/>
  <c r="C241" i="5" s="1"/>
  <c r="D241" i="5" s="1"/>
  <c r="J240" i="5"/>
  <c r="D240" i="5"/>
  <c r="B240" i="5"/>
  <c r="C240" i="5" s="1"/>
  <c r="J239" i="5"/>
  <c r="C239" i="5"/>
  <c r="D239" i="5" s="1"/>
  <c r="B239" i="5"/>
  <c r="B238" i="5"/>
  <c r="C238" i="5" s="1"/>
  <c r="D238" i="5" s="1"/>
  <c r="B237" i="5"/>
  <c r="C237" i="5" s="1"/>
  <c r="D237" i="5" s="1"/>
  <c r="I236" i="5"/>
  <c r="E236" i="5"/>
  <c r="D236" i="5"/>
  <c r="J236" i="5" s="1"/>
  <c r="B236" i="5"/>
  <c r="C236" i="5" s="1"/>
  <c r="J235" i="5"/>
  <c r="E235" i="5"/>
  <c r="I235" i="5" s="1"/>
  <c r="C235" i="5"/>
  <c r="D235" i="5" s="1"/>
  <c r="B235" i="5"/>
  <c r="J234" i="5"/>
  <c r="C234" i="5"/>
  <c r="D234" i="5" s="1"/>
  <c r="B234" i="5"/>
  <c r="B233" i="5"/>
  <c r="C233" i="5" s="1"/>
  <c r="B227" i="5"/>
  <c r="C227" i="5" s="1"/>
  <c r="D227" i="5" s="1"/>
  <c r="E226" i="5"/>
  <c r="B226" i="5"/>
  <c r="C226" i="5" s="1"/>
  <c r="D226" i="5" s="1"/>
  <c r="E225" i="5"/>
  <c r="B225" i="5"/>
  <c r="C225" i="5" s="1"/>
  <c r="D225" i="5" s="1"/>
  <c r="B224" i="5"/>
  <c r="C224" i="5" s="1"/>
  <c r="D224" i="5" s="1"/>
  <c r="E223" i="5"/>
  <c r="C223" i="5"/>
  <c r="D223" i="5" s="1"/>
  <c r="E224" i="5" s="1"/>
  <c r="B223" i="5"/>
  <c r="B222" i="5"/>
  <c r="C222" i="5" s="1"/>
  <c r="D222" i="5" s="1"/>
  <c r="D221" i="5"/>
  <c r="B221" i="5"/>
  <c r="C221" i="5" s="1"/>
  <c r="D220" i="5"/>
  <c r="C220" i="5"/>
  <c r="B220" i="5"/>
  <c r="J219" i="5"/>
  <c r="C219" i="5"/>
  <c r="D219" i="5" s="1"/>
  <c r="B219" i="5"/>
  <c r="B218" i="5"/>
  <c r="C218" i="5" s="1"/>
  <c r="D218" i="5" s="1"/>
  <c r="J218" i="5" s="1"/>
  <c r="D217" i="5"/>
  <c r="B217" i="5"/>
  <c r="C217" i="5" s="1"/>
  <c r="C216" i="5"/>
  <c r="D216" i="5" s="1"/>
  <c r="B216" i="5"/>
  <c r="D215" i="5"/>
  <c r="B215" i="5"/>
  <c r="C215" i="5" s="1"/>
  <c r="B214" i="5"/>
  <c r="C214" i="5" s="1"/>
  <c r="D214" i="5" s="1"/>
  <c r="C213" i="5"/>
  <c r="D213" i="5" s="1"/>
  <c r="B213" i="5"/>
  <c r="B212" i="5"/>
  <c r="C212" i="5" s="1"/>
  <c r="D212" i="5" s="1"/>
  <c r="J212" i="5" s="1"/>
  <c r="C211" i="5"/>
  <c r="D211" i="5" s="1"/>
  <c r="J211" i="5" s="1"/>
  <c r="B211" i="5"/>
  <c r="C210" i="5"/>
  <c r="D210" i="5" s="1"/>
  <c r="B210" i="5"/>
  <c r="B209" i="5"/>
  <c r="C209" i="5" s="1"/>
  <c r="D209" i="5" s="1"/>
  <c r="J208" i="5"/>
  <c r="B208" i="5"/>
  <c r="C208" i="5" s="1"/>
  <c r="D208" i="5" s="1"/>
  <c r="J207" i="5"/>
  <c r="E207" i="5"/>
  <c r="I207" i="5" s="1"/>
  <c r="D207" i="5"/>
  <c r="C207" i="5"/>
  <c r="B207" i="5"/>
  <c r="B206" i="5"/>
  <c r="C206" i="5" s="1"/>
  <c r="D206" i="5" s="1"/>
  <c r="C205" i="5"/>
  <c r="D205" i="5" s="1"/>
  <c r="B205" i="5"/>
  <c r="E204" i="5"/>
  <c r="D204" i="5"/>
  <c r="J204" i="5" s="1"/>
  <c r="B204" i="5"/>
  <c r="C204" i="5" s="1"/>
  <c r="E203" i="5"/>
  <c r="I203" i="5" s="1"/>
  <c r="C203" i="5"/>
  <c r="D203" i="5" s="1"/>
  <c r="J203" i="5" s="1"/>
  <c r="B203" i="5"/>
  <c r="J202" i="5"/>
  <c r="D202" i="5"/>
  <c r="E202" i="5" s="1"/>
  <c r="C202" i="5"/>
  <c r="B202" i="5"/>
  <c r="C201" i="5"/>
  <c r="D201" i="5" s="1"/>
  <c r="J201" i="5" s="1"/>
  <c r="B201" i="5"/>
  <c r="B200" i="5"/>
  <c r="C200" i="5" s="1"/>
  <c r="D200" i="5" s="1"/>
  <c r="J199" i="5"/>
  <c r="D199" i="5"/>
  <c r="C199" i="5"/>
  <c r="B199" i="5"/>
  <c r="B198" i="5"/>
  <c r="C198" i="5" s="1"/>
  <c r="C192" i="5"/>
  <c r="D192" i="5" s="1"/>
  <c r="B192" i="5"/>
  <c r="B191" i="5"/>
  <c r="C191" i="5" s="1"/>
  <c r="D191" i="5" s="1"/>
  <c r="C190" i="5"/>
  <c r="D190" i="5" s="1"/>
  <c r="E190" i="5" s="1"/>
  <c r="B190" i="5"/>
  <c r="B189" i="5"/>
  <c r="C189" i="5" s="1"/>
  <c r="D189" i="5" s="1"/>
  <c r="C188" i="5"/>
  <c r="D188" i="5" s="1"/>
  <c r="B188" i="5"/>
  <c r="D187" i="5"/>
  <c r="J187" i="5" s="1"/>
  <c r="B187" i="5"/>
  <c r="C187" i="5" s="1"/>
  <c r="J186" i="5"/>
  <c r="D186" i="5"/>
  <c r="C186" i="5"/>
  <c r="B186" i="5"/>
  <c r="D185" i="5"/>
  <c r="C185" i="5"/>
  <c r="B185" i="5"/>
  <c r="B184" i="5"/>
  <c r="C184" i="5" s="1"/>
  <c r="D184" i="5" s="1"/>
  <c r="J184" i="5" s="1"/>
  <c r="B183" i="5"/>
  <c r="C183" i="5" s="1"/>
  <c r="D183" i="5" s="1"/>
  <c r="E184" i="5" s="1"/>
  <c r="I184" i="5" s="1"/>
  <c r="C182" i="5"/>
  <c r="D182" i="5" s="1"/>
  <c r="B182" i="5"/>
  <c r="C181" i="5"/>
  <c r="D181" i="5" s="1"/>
  <c r="B181" i="5"/>
  <c r="B180" i="5"/>
  <c r="C180" i="5" s="1"/>
  <c r="D180" i="5" s="1"/>
  <c r="D179" i="5"/>
  <c r="J179" i="5" s="1"/>
  <c r="B179" i="5"/>
  <c r="C179" i="5" s="1"/>
  <c r="C178" i="5"/>
  <c r="D178" i="5" s="1"/>
  <c r="B178" i="5"/>
  <c r="C177" i="5"/>
  <c r="D177" i="5" s="1"/>
  <c r="B177" i="5"/>
  <c r="E176" i="5"/>
  <c r="I176" i="5" s="1"/>
  <c r="C176" i="5"/>
  <c r="D176" i="5" s="1"/>
  <c r="J176" i="5" s="1"/>
  <c r="B176" i="5"/>
  <c r="D175" i="5"/>
  <c r="B175" i="5"/>
  <c r="C175" i="5" s="1"/>
  <c r="C174" i="5"/>
  <c r="D174" i="5" s="1"/>
  <c r="B174" i="5"/>
  <c r="B173" i="5"/>
  <c r="C173" i="5" s="1"/>
  <c r="D173" i="5" s="1"/>
  <c r="E172" i="5"/>
  <c r="I172" i="5" s="1"/>
  <c r="C172" i="5"/>
  <c r="D172" i="5" s="1"/>
  <c r="J172" i="5" s="1"/>
  <c r="B172" i="5"/>
  <c r="D171" i="5"/>
  <c r="J171" i="5" s="1"/>
  <c r="B171" i="5"/>
  <c r="C171" i="5" s="1"/>
  <c r="J170" i="5"/>
  <c r="E170" i="5"/>
  <c r="I170" i="5" s="1"/>
  <c r="D170" i="5"/>
  <c r="C170" i="5"/>
  <c r="B170" i="5"/>
  <c r="I169" i="5"/>
  <c r="D169" i="5"/>
  <c r="J169" i="5" s="1"/>
  <c r="C169" i="5"/>
  <c r="E169" i="5" s="1"/>
  <c r="B169" i="5"/>
  <c r="B163" i="5"/>
  <c r="C163" i="5" s="1"/>
  <c r="D163" i="5" s="1"/>
  <c r="D162" i="5"/>
  <c r="C162" i="5"/>
  <c r="B162" i="5"/>
  <c r="B161" i="5"/>
  <c r="C161" i="5" s="1"/>
  <c r="D161" i="5" s="1"/>
  <c r="J161" i="5" s="1"/>
  <c r="C160" i="5"/>
  <c r="D160" i="5" s="1"/>
  <c r="E160" i="5" s="1"/>
  <c r="I160" i="5" s="1"/>
  <c r="B160" i="5"/>
  <c r="B159" i="5"/>
  <c r="C159" i="5" s="1"/>
  <c r="D159" i="5" s="1"/>
  <c r="C158" i="5"/>
  <c r="D158" i="5" s="1"/>
  <c r="B158" i="5"/>
  <c r="B157" i="5"/>
  <c r="C157" i="5" s="1"/>
  <c r="D157" i="5" s="1"/>
  <c r="D156" i="5"/>
  <c r="J156" i="5" s="1"/>
  <c r="C156" i="5"/>
  <c r="B156" i="5"/>
  <c r="C155" i="5"/>
  <c r="D155" i="5" s="1"/>
  <c r="B155" i="5"/>
  <c r="C154" i="5"/>
  <c r="D154" i="5" s="1"/>
  <c r="B154" i="5"/>
  <c r="C153" i="5"/>
  <c r="D153" i="5" s="1"/>
  <c r="J153" i="5" s="1"/>
  <c r="B153" i="5"/>
  <c r="D152" i="5"/>
  <c r="B152" i="5"/>
  <c r="C152" i="5" s="1"/>
  <c r="D151" i="5"/>
  <c r="C151" i="5"/>
  <c r="B151" i="5"/>
  <c r="B150" i="5"/>
  <c r="C150" i="5" s="1"/>
  <c r="D150" i="5" s="1"/>
  <c r="B149" i="5"/>
  <c r="C149" i="5" s="1"/>
  <c r="D149" i="5" s="1"/>
  <c r="J149" i="5" s="1"/>
  <c r="D148" i="5"/>
  <c r="C148" i="5"/>
  <c r="B148" i="5"/>
  <c r="B147" i="5"/>
  <c r="C147" i="5" s="1"/>
  <c r="D147" i="5" s="1"/>
  <c r="J147" i="5" s="1"/>
  <c r="B146" i="5"/>
  <c r="C146" i="5" s="1"/>
  <c r="D146" i="5" s="1"/>
  <c r="C145" i="5"/>
  <c r="D145" i="5" s="1"/>
  <c r="J145" i="5" s="1"/>
  <c r="B145" i="5"/>
  <c r="E144" i="5"/>
  <c r="D144" i="5"/>
  <c r="J144" i="5" s="1"/>
  <c r="B144" i="5"/>
  <c r="C144" i="5" s="1"/>
  <c r="J138" i="5"/>
  <c r="O18" i="5" s="1"/>
  <c r="B138" i="5"/>
  <c r="C138" i="5" s="1"/>
  <c r="D138" i="5" s="1"/>
  <c r="B137" i="5"/>
  <c r="C137" i="5" s="1"/>
  <c r="D137" i="5" s="1"/>
  <c r="E137" i="5" s="1"/>
  <c r="C136" i="5"/>
  <c r="D136" i="5" s="1"/>
  <c r="H137" i="5" s="1"/>
  <c r="B136" i="5"/>
  <c r="C135" i="5"/>
  <c r="D135" i="5" s="1"/>
  <c r="J135" i="5" s="1"/>
  <c r="B135" i="5"/>
  <c r="B134" i="5"/>
  <c r="C134" i="5" s="1"/>
  <c r="D134" i="5" s="1"/>
  <c r="C133" i="5"/>
  <c r="D133" i="5" s="1"/>
  <c r="B133" i="5"/>
  <c r="D132" i="5"/>
  <c r="J132" i="5" s="1"/>
  <c r="B132" i="5"/>
  <c r="C132" i="5" s="1"/>
  <c r="B131" i="5"/>
  <c r="C131" i="5" s="1"/>
  <c r="D131" i="5" s="1"/>
  <c r="C130" i="5"/>
  <c r="D130" i="5" s="1"/>
  <c r="J130" i="5" s="1"/>
  <c r="B130" i="5"/>
  <c r="D129" i="5"/>
  <c r="J129" i="5" s="1"/>
  <c r="B129" i="5"/>
  <c r="C129" i="5" s="1"/>
  <c r="C128" i="5"/>
  <c r="D128" i="5" s="1"/>
  <c r="E128" i="5" s="1"/>
  <c r="I128" i="5" s="1"/>
  <c r="B128" i="5"/>
  <c r="B127" i="5"/>
  <c r="C127" i="5" s="1"/>
  <c r="D127" i="5" s="1"/>
  <c r="J127" i="5" s="1"/>
  <c r="B126" i="5"/>
  <c r="C126" i="5" s="1"/>
  <c r="D126" i="5" s="1"/>
  <c r="J126" i="5" s="1"/>
  <c r="D125" i="5"/>
  <c r="C125" i="5"/>
  <c r="B125" i="5"/>
  <c r="B124" i="5"/>
  <c r="C124" i="5" s="1"/>
  <c r="D124" i="5" s="1"/>
  <c r="J124" i="5" s="1"/>
  <c r="C123" i="5"/>
  <c r="D123" i="5" s="1"/>
  <c r="B123" i="5"/>
  <c r="B122" i="5"/>
  <c r="C122" i="5" s="1"/>
  <c r="D122" i="5" s="1"/>
  <c r="E121" i="5"/>
  <c r="I121" i="5" s="1"/>
  <c r="B121" i="5"/>
  <c r="C121" i="5" s="1"/>
  <c r="D121" i="5" s="1"/>
  <c r="J121" i="5" s="1"/>
  <c r="B115" i="5"/>
  <c r="C115" i="5" s="1"/>
  <c r="D115" i="5" s="1"/>
  <c r="E114" i="5"/>
  <c r="D114" i="5"/>
  <c r="B114" i="5"/>
  <c r="C114" i="5" s="1"/>
  <c r="C113" i="5"/>
  <c r="D113" i="5" s="1"/>
  <c r="B113" i="5"/>
  <c r="J112" i="5"/>
  <c r="B112" i="5"/>
  <c r="C112" i="5" s="1"/>
  <c r="D112" i="5" s="1"/>
  <c r="E112" i="5" s="1"/>
  <c r="B111" i="5"/>
  <c r="C111" i="5" s="1"/>
  <c r="D111" i="5" s="1"/>
  <c r="J111" i="5" s="1"/>
  <c r="D110" i="5"/>
  <c r="E110" i="5" s="1"/>
  <c r="C110" i="5"/>
  <c r="B110" i="5"/>
  <c r="B109" i="5"/>
  <c r="C109" i="5" s="1"/>
  <c r="D109" i="5" s="1"/>
  <c r="J109" i="5" s="1"/>
  <c r="C108" i="5"/>
  <c r="D108" i="5" s="1"/>
  <c r="E109" i="5" s="1"/>
  <c r="I109" i="5" s="1"/>
  <c r="B108" i="5"/>
  <c r="B107" i="5"/>
  <c r="C107" i="5" s="1"/>
  <c r="D107" i="5" s="1"/>
  <c r="B106" i="5"/>
  <c r="C106" i="5" s="1"/>
  <c r="D106" i="5" s="1"/>
  <c r="J106" i="5" s="1"/>
  <c r="J105" i="5"/>
  <c r="C105" i="5"/>
  <c r="D105" i="5" s="1"/>
  <c r="B105" i="5"/>
  <c r="C104" i="5"/>
  <c r="D104" i="5" s="1"/>
  <c r="J104" i="5" s="1"/>
  <c r="B104" i="5"/>
  <c r="B103" i="5"/>
  <c r="C103" i="5" s="1"/>
  <c r="D103" i="5" s="1"/>
  <c r="C102" i="5"/>
  <c r="D102" i="5" s="1"/>
  <c r="B102" i="5"/>
  <c r="B101" i="5"/>
  <c r="C101" i="5" s="1"/>
  <c r="D101" i="5" s="1"/>
  <c r="B100" i="5"/>
  <c r="C100" i="5" s="1"/>
  <c r="D94" i="5"/>
  <c r="B94" i="5"/>
  <c r="C94" i="5" s="1"/>
  <c r="B93" i="5"/>
  <c r="C93" i="5" s="1"/>
  <c r="D93" i="5" s="1"/>
  <c r="E93" i="5" s="1"/>
  <c r="C92" i="5"/>
  <c r="D92" i="5" s="1"/>
  <c r="J92" i="5" s="1"/>
  <c r="B92" i="5"/>
  <c r="B91" i="5"/>
  <c r="C91" i="5" s="1"/>
  <c r="D91" i="5" s="1"/>
  <c r="J91" i="5" s="1"/>
  <c r="J90" i="5"/>
  <c r="D90" i="5"/>
  <c r="C90" i="5"/>
  <c r="B90" i="5"/>
  <c r="C89" i="5"/>
  <c r="D89" i="5" s="1"/>
  <c r="J89" i="5" s="1"/>
  <c r="B89" i="5"/>
  <c r="C88" i="5"/>
  <c r="D88" i="5" s="1"/>
  <c r="B88" i="5"/>
  <c r="C87" i="5"/>
  <c r="D87" i="5" s="1"/>
  <c r="E87" i="5" s="1"/>
  <c r="I87" i="5" s="1"/>
  <c r="B87" i="5"/>
  <c r="J86" i="5"/>
  <c r="B86" i="5"/>
  <c r="C86" i="5" s="1"/>
  <c r="D86" i="5" s="1"/>
  <c r="B85" i="5"/>
  <c r="C85" i="5" s="1"/>
  <c r="D85" i="5" s="1"/>
  <c r="C84" i="5"/>
  <c r="D84" i="5" s="1"/>
  <c r="B84" i="5"/>
  <c r="C83" i="5"/>
  <c r="D83" i="5" s="1"/>
  <c r="J83" i="5" s="1"/>
  <c r="B83" i="5"/>
  <c r="D82" i="5"/>
  <c r="J82" i="5" s="1"/>
  <c r="B82" i="5"/>
  <c r="C82" i="5" s="1"/>
  <c r="J81" i="5"/>
  <c r="D81" i="5"/>
  <c r="C81" i="5"/>
  <c r="E81" i="5" s="1"/>
  <c r="B81" i="5"/>
  <c r="J75" i="5"/>
  <c r="D75" i="5"/>
  <c r="C75" i="5"/>
  <c r="B75" i="5"/>
  <c r="D74" i="5"/>
  <c r="C74" i="5"/>
  <c r="B74" i="5"/>
  <c r="B73" i="5"/>
  <c r="C73" i="5" s="1"/>
  <c r="D73" i="5" s="1"/>
  <c r="C72" i="5"/>
  <c r="D72" i="5" s="1"/>
  <c r="B72" i="5"/>
  <c r="B71" i="5"/>
  <c r="C71" i="5" s="1"/>
  <c r="D71" i="5" s="1"/>
  <c r="J71" i="5" s="1"/>
  <c r="B70" i="5"/>
  <c r="C70" i="5" s="1"/>
  <c r="D70" i="5" s="1"/>
  <c r="D69" i="5"/>
  <c r="J69" i="5" s="1"/>
  <c r="C69" i="5"/>
  <c r="B69" i="5"/>
  <c r="B68" i="5"/>
  <c r="C68" i="5" s="1"/>
  <c r="D68" i="5" s="1"/>
  <c r="D67" i="5"/>
  <c r="J67" i="5" s="1"/>
  <c r="B67" i="5"/>
  <c r="C67" i="5" s="1"/>
  <c r="C66" i="5"/>
  <c r="D66" i="5" s="1"/>
  <c r="B66" i="5"/>
  <c r="C65" i="5"/>
  <c r="D65" i="5" s="1"/>
  <c r="B65" i="5"/>
  <c r="C64" i="5"/>
  <c r="B64" i="5"/>
  <c r="C58" i="5"/>
  <c r="D58" i="5" s="1"/>
  <c r="B58" i="5"/>
  <c r="H57" i="5"/>
  <c r="J57" i="5" s="1"/>
  <c r="C57" i="5"/>
  <c r="D57" i="5" s="1"/>
  <c r="B57" i="5"/>
  <c r="B56" i="5"/>
  <c r="C56" i="5" s="1"/>
  <c r="D56" i="5" s="1"/>
  <c r="J56" i="5" s="1"/>
  <c r="B55" i="5"/>
  <c r="C55" i="5" s="1"/>
  <c r="D55" i="5" s="1"/>
  <c r="D54" i="5"/>
  <c r="C54" i="5"/>
  <c r="B54" i="5"/>
  <c r="B53" i="5"/>
  <c r="C53" i="5" s="1"/>
  <c r="D53" i="5" s="1"/>
  <c r="D52" i="5"/>
  <c r="J52" i="5" s="1"/>
  <c r="B52" i="5"/>
  <c r="C52" i="5" s="1"/>
  <c r="C51" i="5"/>
  <c r="D51" i="5" s="1"/>
  <c r="B51" i="5"/>
  <c r="C50" i="5"/>
  <c r="D50" i="5" s="1"/>
  <c r="B50" i="5"/>
  <c r="C49" i="5"/>
  <c r="B49" i="5"/>
  <c r="C43" i="5"/>
  <c r="D43" i="5" s="1"/>
  <c r="B43" i="5"/>
  <c r="H42" i="5"/>
  <c r="C42" i="5"/>
  <c r="D42" i="5" s="1"/>
  <c r="B42" i="5"/>
  <c r="B41" i="5"/>
  <c r="C41" i="5" s="1"/>
  <c r="D41" i="5" s="1"/>
  <c r="J41" i="5" s="1"/>
  <c r="B40" i="5"/>
  <c r="C40" i="5" s="1"/>
  <c r="D40" i="5" s="1"/>
  <c r="D39" i="5"/>
  <c r="C39" i="5"/>
  <c r="B39" i="5"/>
  <c r="B38" i="5"/>
  <c r="C38" i="5" s="1"/>
  <c r="D38" i="5" s="1"/>
  <c r="D37" i="5"/>
  <c r="J37" i="5" s="1"/>
  <c r="B37" i="5"/>
  <c r="C37" i="5" s="1"/>
  <c r="C36" i="5"/>
  <c r="E36" i="5" s="1"/>
  <c r="B36" i="5"/>
  <c r="J30" i="5"/>
  <c r="O12" i="5" s="1"/>
  <c r="D30" i="5"/>
  <c r="C30" i="5"/>
  <c r="B30" i="5"/>
  <c r="D29" i="5"/>
  <c r="C29" i="5"/>
  <c r="B29" i="5"/>
  <c r="C28" i="5"/>
  <c r="D28" i="5" s="1"/>
  <c r="B28" i="5"/>
  <c r="C27" i="5"/>
  <c r="D27" i="5" s="1"/>
  <c r="B27" i="5"/>
  <c r="E26" i="5"/>
  <c r="B26" i="5"/>
  <c r="C26" i="5" s="1"/>
  <c r="D26" i="5" s="1"/>
  <c r="J26" i="5" s="1"/>
  <c r="J25" i="5"/>
  <c r="E25" i="5"/>
  <c r="D25" i="5"/>
  <c r="B25" i="5"/>
  <c r="C25" i="5" s="1"/>
  <c r="B19" i="5"/>
  <c r="C19" i="5" s="1"/>
  <c r="D19" i="5" s="1"/>
  <c r="C18" i="5"/>
  <c r="D18" i="5" s="1"/>
  <c r="J18" i="5" s="1"/>
  <c r="B18" i="5"/>
  <c r="B17" i="5"/>
  <c r="C17" i="5" s="1"/>
  <c r="D17" i="5" s="1"/>
  <c r="B16" i="5"/>
  <c r="C16" i="5" s="1"/>
  <c r="C10" i="5"/>
  <c r="D10" i="5" s="1"/>
  <c r="N9" i="5"/>
  <c r="D9" i="5"/>
  <c r="C9" i="5"/>
  <c r="N8" i="5"/>
  <c r="B8" i="5"/>
  <c r="C8" i="5" s="1"/>
  <c r="D8" i="5" s="1"/>
  <c r="N7" i="5"/>
  <c r="B7" i="5"/>
  <c r="C7" i="5" s="1"/>
  <c r="D7" i="5" s="1"/>
  <c r="N6" i="5"/>
  <c r="C6" i="5"/>
  <c r="D6" i="5" s="1"/>
  <c r="B6" i="5"/>
  <c r="N5" i="5"/>
  <c r="C5" i="5"/>
  <c r="D5" i="5" s="1"/>
  <c r="B5" i="5"/>
  <c r="N4" i="5"/>
  <c r="B4" i="5"/>
  <c r="C4" i="5" s="1"/>
  <c r="O24" i="1"/>
  <c r="O23" i="1"/>
  <c r="H384" i="1"/>
  <c r="I384" i="1" s="1"/>
  <c r="H385" i="1"/>
  <c r="H386" i="1"/>
  <c r="I386" i="1" s="1"/>
  <c r="H387" i="1"/>
  <c r="J387" i="1" s="1"/>
  <c r="H388" i="1"/>
  <c r="J388" i="1" s="1"/>
  <c r="H389" i="1"/>
  <c r="J389" i="1" s="1"/>
  <c r="H390" i="1"/>
  <c r="J390" i="1" s="1"/>
  <c r="H391" i="1"/>
  <c r="I391" i="1" s="1"/>
  <c r="H383" i="1"/>
  <c r="I383" i="1" s="1"/>
  <c r="G334" i="1"/>
  <c r="I334" i="1" s="1"/>
  <c r="J334" i="1"/>
  <c r="G335" i="1"/>
  <c r="I335" i="1"/>
  <c r="J335" i="1"/>
  <c r="G336" i="1"/>
  <c r="I336" i="1"/>
  <c r="J336" i="1"/>
  <c r="G337" i="1"/>
  <c r="I337" i="1"/>
  <c r="J337" i="1"/>
  <c r="G338" i="1"/>
  <c r="I338" i="1"/>
  <c r="J338" i="1"/>
  <c r="G339" i="1"/>
  <c r="I339" i="1" s="1"/>
  <c r="J339" i="1"/>
  <c r="G340" i="1"/>
  <c r="I340" i="1" s="1"/>
  <c r="J340" i="1"/>
  <c r="G341" i="1"/>
  <c r="I341" i="1" s="1"/>
  <c r="J341" i="1"/>
  <c r="G342" i="1"/>
  <c r="I342" i="1" s="1"/>
  <c r="J342" i="1"/>
  <c r="G343" i="1"/>
  <c r="I343" i="1"/>
  <c r="J343" i="1"/>
  <c r="G344" i="1"/>
  <c r="I344" i="1"/>
  <c r="J344" i="1"/>
  <c r="G345" i="1"/>
  <c r="I345" i="1"/>
  <c r="J345" i="1"/>
  <c r="G346" i="1"/>
  <c r="I346" i="1"/>
  <c r="J346" i="1"/>
  <c r="G347" i="1"/>
  <c r="I347" i="1" s="1"/>
  <c r="J347" i="1"/>
  <c r="G348" i="1"/>
  <c r="I348" i="1" s="1"/>
  <c r="J348" i="1"/>
  <c r="G349" i="1"/>
  <c r="I349" i="1" s="1"/>
  <c r="J349" i="1"/>
  <c r="G350" i="1"/>
  <c r="I350" i="1" s="1"/>
  <c r="J350" i="1"/>
  <c r="G351" i="1"/>
  <c r="I351" i="1"/>
  <c r="J351" i="1"/>
  <c r="G352" i="1"/>
  <c r="I352" i="1"/>
  <c r="J352" i="1"/>
  <c r="G353" i="1"/>
  <c r="I353" i="1"/>
  <c r="J353" i="1"/>
  <c r="G354" i="1"/>
  <c r="I354" i="1"/>
  <c r="J354" i="1"/>
  <c r="G355" i="1"/>
  <c r="I355" i="1" s="1"/>
  <c r="J355" i="1"/>
  <c r="G356" i="1"/>
  <c r="I356" i="1" s="1"/>
  <c r="J356" i="1"/>
  <c r="G357" i="1"/>
  <c r="I357" i="1" s="1"/>
  <c r="J357" i="1"/>
  <c r="G358" i="1"/>
  <c r="I358" i="1" s="1"/>
  <c r="J358" i="1"/>
  <c r="G359" i="1"/>
  <c r="I359" i="1"/>
  <c r="J359" i="1"/>
  <c r="G360" i="1"/>
  <c r="I360" i="1"/>
  <c r="J360" i="1"/>
  <c r="G361" i="1"/>
  <c r="I361" i="1"/>
  <c r="J361" i="1"/>
  <c r="G362" i="1"/>
  <c r="I362" i="1"/>
  <c r="J362" i="1"/>
  <c r="G363" i="1"/>
  <c r="I363" i="1" s="1"/>
  <c r="J363" i="1"/>
  <c r="G364" i="1"/>
  <c r="I364" i="1" s="1"/>
  <c r="J364" i="1"/>
  <c r="G365" i="1"/>
  <c r="I365" i="1" s="1"/>
  <c r="J365" i="1"/>
  <c r="G366" i="1"/>
  <c r="I366" i="1" s="1"/>
  <c r="J366" i="1"/>
  <c r="G367" i="1"/>
  <c r="I367" i="1"/>
  <c r="J367" i="1"/>
  <c r="G368" i="1"/>
  <c r="I368" i="1"/>
  <c r="J368" i="1"/>
  <c r="G369" i="1"/>
  <c r="I369" i="1"/>
  <c r="J369" i="1"/>
  <c r="G370" i="1"/>
  <c r="I370" i="1"/>
  <c r="J370" i="1"/>
  <c r="G371" i="1"/>
  <c r="I371" i="1" s="1"/>
  <c r="J371" i="1"/>
  <c r="G372" i="1"/>
  <c r="I372" i="1" s="1"/>
  <c r="J372" i="1"/>
  <c r="G373" i="1"/>
  <c r="I373" i="1" s="1"/>
  <c r="J373" i="1"/>
  <c r="G374" i="1"/>
  <c r="I374" i="1" s="1"/>
  <c r="J374" i="1"/>
  <c r="G375" i="1"/>
  <c r="I375" i="1"/>
  <c r="J375" i="1"/>
  <c r="G376" i="1"/>
  <c r="I376" i="1"/>
  <c r="J376" i="1"/>
  <c r="G377" i="1"/>
  <c r="I377" i="1"/>
  <c r="J377" i="1"/>
  <c r="G378" i="1"/>
  <c r="I378" i="1"/>
  <c r="J378" i="1"/>
  <c r="G379" i="1"/>
  <c r="I379" i="1" s="1"/>
  <c r="J379" i="1"/>
  <c r="G380" i="1"/>
  <c r="I380" i="1" s="1"/>
  <c r="J380" i="1"/>
  <c r="G381" i="1"/>
  <c r="I381" i="1" s="1"/>
  <c r="J381" i="1"/>
  <c r="G382" i="1"/>
  <c r="I382" i="1" s="1"/>
  <c r="J382" i="1"/>
  <c r="G383" i="1"/>
  <c r="G384" i="1"/>
  <c r="G385" i="1"/>
  <c r="I385" i="1"/>
  <c r="J385" i="1"/>
  <c r="G386" i="1"/>
  <c r="G387" i="1"/>
  <c r="G388" i="1"/>
  <c r="G389" i="1"/>
  <c r="G390" i="1"/>
  <c r="G391" i="1"/>
  <c r="G392" i="1"/>
  <c r="I392" i="1"/>
  <c r="J392" i="1"/>
  <c r="J333" i="1"/>
  <c r="G333" i="1"/>
  <c r="I333" i="1" s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34" i="1"/>
  <c r="E333" i="1"/>
  <c r="B334" i="1"/>
  <c r="C334" i="1" s="1"/>
  <c r="D334" i="1" s="1"/>
  <c r="B335" i="1"/>
  <c r="C335" i="1" s="1"/>
  <c r="D335" i="1" s="1"/>
  <c r="B336" i="1"/>
  <c r="C336" i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/>
  <c r="D340" i="1" s="1"/>
  <c r="B341" i="1"/>
  <c r="C341" i="1"/>
  <c r="D341" i="1"/>
  <c r="B342" i="1"/>
  <c r="C342" i="1" s="1"/>
  <c r="D342" i="1" s="1"/>
  <c r="B343" i="1"/>
  <c r="C343" i="1" s="1"/>
  <c r="D343" i="1" s="1"/>
  <c r="B344" i="1"/>
  <c r="C344" i="1"/>
  <c r="D344" i="1" s="1"/>
  <c r="B345" i="1"/>
  <c r="C345" i="1"/>
  <c r="D345" i="1"/>
  <c r="B346" i="1"/>
  <c r="C346" i="1" s="1"/>
  <c r="D346" i="1" s="1"/>
  <c r="B347" i="1"/>
  <c r="C347" i="1" s="1"/>
  <c r="D347" i="1" s="1"/>
  <c r="B348" i="1"/>
  <c r="C348" i="1"/>
  <c r="D348" i="1" s="1"/>
  <c r="B349" i="1"/>
  <c r="C349" i="1"/>
  <c r="D349" i="1"/>
  <c r="B350" i="1"/>
  <c r="C350" i="1" s="1"/>
  <c r="D350" i="1" s="1"/>
  <c r="B351" i="1"/>
  <c r="C351" i="1" s="1"/>
  <c r="D351" i="1" s="1"/>
  <c r="B352" i="1"/>
  <c r="C352" i="1"/>
  <c r="D352" i="1" s="1"/>
  <c r="B353" i="1"/>
  <c r="C353" i="1"/>
  <c r="D353" i="1"/>
  <c r="B354" i="1"/>
  <c r="C354" i="1" s="1"/>
  <c r="D354" i="1" s="1"/>
  <c r="B355" i="1"/>
  <c r="C355" i="1" s="1"/>
  <c r="D355" i="1" s="1"/>
  <c r="B356" i="1"/>
  <c r="C356" i="1"/>
  <c r="D356" i="1" s="1"/>
  <c r="B357" i="1"/>
  <c r="C357" i="1"/>
  <c r="D357" i="1"/>
  <c r="B358" i="1"/>
  <c r="C358" i="1" s="1"/>
  <c r="D358" i="1" s="1"/>
  <c r="B359" i="1"/>
  <c r="C359" i="1" s="1"/>
  <c r="D359" i="1" s="1"/>
  <c r="B360" i="1"/>
  <c r="C360" i="1"/>
  <c r="D360" i="1" s="1"/>
  <c r="B361" i="1"/>
  <c r="C361" i="1"/>
  <c r="D361" i="1"/>
  <c r="B362" i="1"/>
  <c r="C362" i="1" s="1"/>
  <c r="D362" i="1" s="1"/>
  <c r="B363" i="1"/>
  <c r="C363" i="1" s="1"/>
  <c r="D363" i="1" s="1"/>
  <c r="B364" i="1"/>
  <c r="C364" i="1"/>
  <c r="D364" i="1" s="1"/>
  <c r="B365" i="1"/>
  <c r="C365" i="1"/>
  <c r="D365" i="1"/>
  <c r="B366" i="1"/>
  <c r="C366" i="1" s="1"/>
  <c r="D366" i="1" s="1"/>
  <c r="B367" i="1"/>
  <c r="C367" i="1" s="1"/>
  <c r="D367" i="1" s="1"/>
  <c r="B368" i="1"/>
  <c r="C368" i="1"/>
  <c r="D368" i="1" s="1"/>
  <c r="B369" i="1"/>
  <c r="C369" i="1"/>
  <c r="D369" i="1"/>
  <c r="B370" i="1"/>
  <c r="C370" i="1" s="1"/>
  <c r="D370" i="1" s="1"/>
  <c r="B371" i="1"/>
  <c r="C371" i="1" s="1"/>
  <c r="D371" i="1" s="1"/>
  <c r="B372" i="1"/>
  <c r="C372" i="1"/>
  <c r="D372" i="1" s="1"/>
  <c r="B373" i="1"/>
  <c r="C373" i="1"/>
  <c r="D373" i="1"/>
  <c r="B374" i="1"/>
  <c r="C374" i="1" s="1"/>
  <c r="D374" i="1" s="1"/>
  <c r="B375" i="1"/>
  <c r="C375" i="1" s="1"/>
  <c r="D375" i="1" s="1"/>
  <c r="B376" i="1"/>
  <c r="C376" i="1"/>
  <c r="D376" i="1" s="1"/>
  <c r="B377" i="1"/>
  <c r="C377" i="1"/>
  <c r="D377" i="1"/>
  <c r="B378" i="1"/>
  <c r="C378" i="1" s="1"/>
  <c r="D378" i="1" s="1"/>
  <c r="B379" i="1"/>
  <c r="C379" i="1" s="1"/>
  <c r="D379" i="1" s="1"/>
  <c r="B380" i="1"/>
  <c r="C380" i="1"/>
  <c r="D380" i="1" s="1"/>
  <c r="B381" i="1"/>
  <c r="C381" i="1"/>
  <c r="D381" i="1" s="1"/>
  <c r="B382" i="1"/>
  <c r="C382" i="1" s="1"/>
  <c r="D382" i="1" s="1"/>
  <c r="B383" i="1"/>
  <c r="C383" i="1" s="1"/>
  <c r="D383" i="1" s="1"/>
  <c r="B384" i="1"/>
  <c r="C384" i="1"/>
  <c r="D384" i="1" s="1"/>
  <c r="B385" i="1"/>
  <c r="C385" i="1"/>
  <c r="D385" i="1"/>
  <c r="B386" i="1"/>
  <c r="C386" i="1" s="1"/>
  <c r="D386" i="1" s="1"/>
  <c r="B387" i="1"/>
  <c r="C387" i="1" s="1"/>
  <c r="D387" i="1" s="1"/>
  <c r="B388" i="1"/>
  <c r="C388" i="1"/>
  <c r="D388" i="1" s="1"/>
  <c r="B389" i="1"/>
  <c r="C389" i="1"/>
  <c r="D389" i="1"/>
  <c r="B390" i="1"/>
  <c r="C390" i="1" s="1"/>
  <c r="D390" i="1" s="1"/>
  <c r="B391" i="1"/>
  <c r="C391" i="1" s="1"/>
  <c r="D391" i="1" s="1"/>
  <c r="B392" i="1"/>
  <c r="C392" i="1"/>
  <c r="D392" i="1" s="1"/>
  <c r="B333" i="1"/>
  <c r="C333" i="1" s="1"/>
  <c r="D333" i="1" s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J279" i="1"/>
  <c r="I279" i="1"/>
  <c r="J278" i="1"/>
  <c r="I278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279" i="1"/>
  <c r="G278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279" i="1"/>
  <c r="E278" i="1"/>
  <c r="B279" i="1"/>
  <c r="C279" i="1"/>
  <c r="D279" i="1" s="1"/>
  <c r="B280" i="1"/>
  <c r="C280" i="1"/>
  <c r="D280" i="1" s="1"/>
  <c r="B281" i="1"/>
  <c r="C281" i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/>
  <c r="D285" i="1"/>
  <c r="B286" i="1"/>
  <c r="C286" i="1"/>
  <c r="D286" i="1"/>
  <c r="B287" i="1"/>
  <c r="C287" i="1"/>
  <c r="D287" i="1" s="1"/>
  <c r="B288" i="1"/>
  <c r="C288" i="1"/>
  <c r="D288" i="1" s="1"/>
  <c r="B289" i="1"/>
  <c r="C289" i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/>
  <c r="D293" i="1"/>
  <c r="B294" i="1"/>
  <c r="C294" i="1"/>
  <c r="D294" i="1"/>
  <c r="B295" i="1"/>
  <c r="C295" i="1"/>
  <c r="D295" i="1" s="1"/>
  <c r="B296" i="1"/>
  <c r="C296" i="1"/>
  <c r="D296" i="1" s="1"/>
  <c r="B297" i="1"/>
  <c r="C297" i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/>
  <c r="D301" i="1"/>
  <c r="B302" i="1"/>
  <c r="C302" i="1"/>
  <c r="D302" i="1"/>
  <c r="B303" i="1"/>
  <c r="C303" i="1"/>
  <c r="D303" i="1" s="1"/>
  <c r="B304" i="1"/>
  <c r="C304" i="1"/>
  <c r="D304" i="1" s="1"/>
  <c r="B305" i="1"/>
  <c r="C305" i="1"/>
  <c r="D305" i="1" s="1"/>
  <c r="B306" i="1"/>
  <c r="C306" i="1" s="1"/>
  <c r="D306" i="1" s="1"/>
  <c r="B307" i="1"/>
  <c r="C307" i="1" s="1"/>
  <c r="D307" i="1" s="1"/>
  <c r="B308" i="1"/>
  <c r="C308" i="1" s="1"/>
  <c r="D308" i="1" s="1"/>
  <c r="B309" i="1"/>
  <c r="C309" i="1"/>
  <c r="D309" i="1"/>
  <c r="B310" i="1"/>
  <c r="C310" i="1"/>
  <c r="D310" i="1"/>
  <c r="B311" i="1"/>
  <c r="C311" i="1"/>
  <c r="D311" i="1" s="1"/>
  <c r="B312" i="1"/>
  <c r="C312" i="1"/>
  <c r="D312" i="1" s="1"/>
  <c r="B313" i="1"/>
  <c r="C313" i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/>
  <c r="D317" i="1"/>
  <c r="B318" i="1"/>
  <c r="C318" i="1"/>
  <c r="D318" i="1"/>
  <c r="B319" i="1"/>
  <c r="C319" i="1"/>
  <c r="D319" i="1" s="1"/>
  <c r="B320" i="1"/>
  <c r="C320" i="1"/>
  <c r="D320" i="1" s="1"/>
  <c r="B321" i="1"/>
  <c r="C321" i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/>
  <c r="D325" i="1"/>
  <c r="B326" i="1"/>
  <c r="C326" i="1"/>
  <c r="D326" i="1"/>
  <c r="B327" i="1"/>
  <c r="C327" i="1"/>
  <c r="D327" i="1" s="1"/>
  <c r="B278" i="1"/>
  <c r="C278" i="1" s="1"/>
  <c r="D278" i="1" s="1"/>
  <c r="O22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72" i="1"/>
  <c r="J272" i="1"/>
  <c r="H265" i="1"/>
  <c r="I265" i="1" s="1"/>
  <c r="H266" i="1"/>
  <c r="I266" i="1" s="1"/>
  <c r="H267" i="1"/>
  <c r="I267" i="1" s="1"/>
  <c r="H268" i="1"/>
  <c r="I268" i="1" s="1"/>
  <c r="H269" i="1"/>
  <c r="J269" i="1" s="1"/>
  <c r="H270" i="1"/>
  <c r="I270" i="1" s="1"/>
  <c r="H271" i="1"/>
  <c r="J271" i="1" s="1"/>
  <c r="G263" i="1"/>
  <c r="G264" i="1"/>
  <c r="G265" i="1"/>
  <c r="G266" i="1"/>
  <c r="G267" i="1"/>
  <c r="G268" i="1"/>
  <c r="G269" i="1"/>
  <c r="G270" i="1"/>
  <c r="G271" i="1"/>
  <c r="G272" i="1"/>
  <c r="E263" i="1"/>
  <c r="E264" i="1"/>
  <c r="E265" i="1"/>
  <c r="E266" i="1"/>
  <c r="E267" i="1"/>
  <c r="E268" i="1"/>
  <c r="E269" i="1"/>
  <c r="E270" i="1"/>
  <c r="E271" i="1"/>
  <c r="E272" i="1"/>
  <c r="B263" i="1"/>
  <c r="C263" i="1" s="1"/>
  <c r="D263" i="1" s="1"/>
  <c r="B264" i="1"/>
  <c r="C264" i="1"/>
  <c r="D264" i="1"/>
  <c r="B265" i="1"/>
  <c r="C265" i="1"/>
  <c r="D265" i="1" s="1"/>
  <c r="B266" i="1"/>
  <c r="C266" i="1"/>
  <c r="D266" i="1" s="1"/>
  <c r="B267" i="1"/>
  <c r="C267" i="1"/>
  <c r="D267" i="1" s="1"/>
  <c r="B268" i="1"/>
  <c r="C268" i="1" s="1"/>
  <c r="D268" i="1" s="1"/>
  <c r="B269" i="1"/>
  <c r="C269" i="1"/>
  <c r="D269" i="1"/>
  <c r="B270" i="1"/>
  <c r="C270" i="1"/>
  <c r="D270" i="1"/>
  <c r="B271" i="1"/>
  <c r="C271" i="1" s="1"/>
  <c r="D271" i="1" s="1"/>
  <c r="B272" i="1"/>
  <c r="C272" i="1"/>
  <c r="D27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B234" i="1"/>
  <c r="C234" i="1" s="1"/>
  <c r="D234" i="1" s="1"/>
  <c r="E234" i="1" s="1"/>
  <c r="B235" i="1"/>
  <c r="C235" i="1"/>
  <c r="D235" i="1"/>
  <c r="B236" i="1"/>
  <c r="C236" i="1"/>
  <c r="D236" i="1" s="1"/>
  <c r="B237" i="1"/>
  <c r="C237" i="1"/>
  <c r="D237" i="1"/>
  <c r="B238" i="1"/>
  <c r="C238" i="1"/>
  <c r="D238" i="1"/>
  <c r="B239" i="1"/>
  <c r="C239" i="1" s="1"/>
  <c r="D239" i="1" s="1"/>
  <c r="B240" i="1"/>
  <c r="C240" i="1"/>
  <c r="D240" i="1"/>
  <c r="B241" i="1"/>
  <c r="C241" i="1"/>
  <c r="D241" i="1"/>
  <c r="B242" i="1"/>
  <c r="C242" i="1" s="1"/>
  <c r="D242" i="1" s="1"/>
  <c r="B243" i="1"/>
  <c r="C243" i="1"/>
  <c r="D243" i="1"/>
  <c r="B244" i="1"/>
  <c r="C244" i="1"/>
  <c r="D244" i="1" s="1"/>
  <c r="B245" i="1"/>
  <c r="C245" i="1"/>
  <c r="D245" i="1"/>
  <c r="B246" i="1"/>
  <c r="C246" i="1"/>
  <c r="D246" i="1"/>
  <c r="B247" i="1"/>
  <c r="C247" i="1" s="1"/>
  <c r="D247" i="1" s="1"/>
  <c r="B248" i="1"/>
  <c r="C248" i="1"/>
  <c r="D248" i="1"/>
  <c r="B249" i="1"/>
  <c r="C249" i="1"/>
  <c r="D249" i="1"/>
  <c r="B250" i="1"/>
  <c r="C250" i="1" s="1"/>
  <c r="D250" i="1" s="1"/>
  <c r="B251" i="1"/>
  <c r="C251" i="1"/>
  <c r="D251" i="1"/>
  <c r="B252" i="1"/>
  <c r="C252" i="1"/>
  <c r="D252" i="1" s="1"/>
  <c r="B253" i="1"/>
  <c r="C253" i="1"/>
  <c r="D253" i="1"/>
  <c r="B254" i="1"/>
  <c r="C254" i="1"/>
  <c r="D254" i="1"/>
  <c r="B255" i="1"/>
  <c r="C255" i="1" s="1"/>
  <c r="D255" i="1" s="1"/>
  <c r="B256" i="1"/>
  <c r="C256" i="1"/>
  <c r="D256" i="1"/>
  <c r="B257" i="1"/>
  <c r="C257" i="1"/>
  <c r="D257" i="1"/>
  <c r="B258" i="1"/>
  <c r="C258" i="1" s="1"/>
  <c r="D258" i="1" s="1"/>
  <c r="B259" i="1"/>
  <c r="C259" i="1"/>
  <c r="D259" i="1"/>
  <c r="B260" i="1"/>
  <c r="C260" i="1"/>
  <c r="D260" i="1" s="1"/>
  <c r="B261" i="1"/>
  <c r="C261" i="1"/>
  <c r="D261" i="1"/>
  <c r="B262" i="1"/>
  <c r="C262" i="1"/>
  <c r="D262" i="1"/>
  <c r="B233" i="1"/>
  <c r="C233" i="1" s="1"/>
  <c r="O21" i="1"/>
  <c r="H223" i="1"/>
  <c r="J223" i="1" s="1"/>
  <c r="H224" i="1"/>
  <c r="I224" i="1" s="1"/>
  <c r="H225" i="1"/>
  <c r="I225" i="1" s="1"/>
  <c r="H226" i="1"/>
  <c r="J226" i="1" s="1"/>
  <c r="H222" i="1"/>
  <c r="I222" i="1" s="1"/>
  <c r="J224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7" i="1"/>
  <c r="J22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B199" i="1"/>
  <c r="C199" i="1" s="1"/>
  <c r="D199" i="1" s="1"/>
  <c r="E199" i="1" s="1"/>
  <c r="B200" i="1"/>
  <c r="C200" i="1" s="1"/>
  <c r="D200" i="1" s="1"/>
  <c r="B201" i="1"/>
  <c r="C201" i="1"/>
  <c r="D201" i="1" s="1"/>
  <c r="B202" i="1"/>
  <c r="C202" i="1" s="1"/>
  <c r="D202" i="1" s="1"/>
  <c r="B203" i="1"/>
  <c r="C203" i="1"/>
  <c r="D203" i="1"/>
  <c r="B204" i="1"/>
  <c r="C204" i="1" s="1"/>
  <c r="D204" i="1" s="1"/>
  <c r="B205" i="1"/>
  <c r="C205" i="1"/>
  <c r="D205" i="1" s="1"/>
  <c r="B206" i="1"/>
  <c r="C206" i="1"/>
  <c r="D206" i="1"/>
  <c r="B207" i="1"/>
  <c r="C207" i="1" s="1"/>
  <c r="D207" i="1" s="1"/>
  <c r="B208" i="1"/>
  <c r="C208" i="1" s="1"/>
  <c r="D208" i="1" s="1"/>
  <c r="B209" i="1"/>
  <c r="C209" i="1"/>
  <c r="D209" i="1" s="1"/>
  <c r="B210" i="1"/>
  <c r="C210" i="1"/>
  <c r="D210" i="1"/>
  <c r="B211" i="1"/>
  <c r="C211" i="1"/>
  <c r="D211" i="1"/>
  <c r="B212" i="1"/>
  <c r="C212" i="1" s="1"/>
  <c r="D212" i="1" s="1"/>
  <c r="B213" i="1"/>
  <c r="C213" i="1"/>
  <c r="D213" i="1" s="1"/>
  <c r="B214" i="1"/>
  <c r="C214" i="1"/>
  <c r="D214" i="1" s="1"/>
  <c r="B215" i="1"/>
  <c r="C215" i="1" s="1"/>
  <c r="D215" i="1" s="1"/>
  <c r="B216" i="1"/>
  <c r="C216" i="1" s="1"/>
  <c r="D216" i="1" s="1"/>
  <c r="B217" i="1"/>
  <c r="C217" i="1"/>
  <c r="D217" i="1" s="1"/>
  <c r="B218" i="1"/>
  <c r="C218" i="1"/>
  <c r="D218" i="1" s="1"/>
  <c r="B219" i="1"/>
  <c r="C219" i="1"/>
  <c r="D219" i="1"/>
  <c r="B220" i="1"/>
  <c r="C220" i="1" s="1"/>
  <c r="D220" i="1" s="1"/>
  <c r="B221" i="1"/>
  <c r="C221" i="1"/>
  <c r="D221" i="1" s="1"/>
  <c r="B222" i="1"/>
  <c r="C222" i="1"/>
  <c r="D222" i="1"/>
  <c r="B223" i="1"/>
  <c r="C223" i="1" s="1"/>
  <c r="D223" i="1" s="1"/>
  <c r="B224" i="1"/>
  <c r="C224" i="1" s="1"/>
  <c r="D224" i="1" s="1"/>
  <c r="B225" i="1"/>
  <c r="C225" i="1"/>
  <c r="D225" i="1" s="1"/>
  <c r="B226" i="1"/>
  <c r="C226" i="1"/>
  <c r="D226" i="1" s="1"/>
  <c r="B227" i="1"/>
  <c r="C227" i="1"/>
  <c r="D227" i="1"/>
  <c r="B198" i="1"/>
  <c r="C198" i="1" s="1"/>
  <c r="J175" i="1"/>
  <c r="J176" i="1"/>
  <c r="J183" i="1"/>
  <c r="J184" i="1"/>
  <c r="G176" i="1"/>
  <c r="I176" i="1" s="1"/>
  <c r="G184" i="1"/>
  <c r="I184" i="1" s="1"/>
  <c r="G192" i="1"/>
  <c r="I192" i="1" s="1"/>
  <c r="E176" i="1"/>
  <c r="E178" i="1"/>
  <c r="G178" i="1" s="1"/>
  <c r="I178" i="1" s="1"/>
  <c r="E184" i="1"/>
  <c r="E192" i="1"/>
  <c r="B170" i="1"/>
  <c r="C170" i="1" s="1"/>
  <c r="D170" i="1" s="1"/>
  <c r="B171" i="1"/>
  <c r="C171" i="1" s="1"/>
  <c r="D171" i="1" s="1"/>
  <c r="B172" i="1"/>
  <c r="C172" i="1"/>
  <c r="D172" i="1" s="1"/>
  <c r="E172" i="1" s="1"/>
  <c r="G172" i="1" s="1"/>
  <c r="I172" i="1" s="1"/>
  <c r="B173" i="1"/>
  <c r="C173" i="1" s="1"/>
  <c r="D173" i="1" s="1"/>
  <c r="J173" i="1" s="1"/>
  <c r="B174" i="1"/>
  <c r="C174" i="1"/>
  <c r="D174" i="1"/>
  <c r="B175" i="1"/>
  <c r="C175" i="1" s="1"/>
  <c r="D175" i="1" s="1"/>
  <c r="B176" i="1"/>
  <c r="C176" i="1"/>
  <c r="D176" i="1"/>
  <c r="B177" i="1"/>
  <c r="C177" i="1"/>
  <c r="D177" i="1"/>
  <c r="B178" i="1"/>
  <c r="C178" i="1" s="1"/>
  <c r="D178" i="1" s="1"/>
  <c r="J178" i="1" s="1"/>
  <c r="B179" i="1"/>
  <c r="C179" i="1" s="1"/>
  <c r="D179" i="1" s="1"/>
  <c r="B180" i="1"/>
  <c r="C180" i="1"/>
  <c r="D180" i="1" s="1"/>
  <c r="E180" i="1" s="1"/>
  <c r="G180" i="1" s="1"/>
  <c r="I180" i="1" s="1"/>
  <c r="B181" i="1"/>
  <c r="C181" i="1" s="1"/>
  <c r="D181" i="1" s="1"/>
  <c r="E181" i="1" s="1"/>
  <c r="G181" i="1" s="1"/>
  <c r="I181" i="1" s="1"/>
  <c r="B182" i="1"/>
  <c r="C182" i="1"/>
  <c r="D182" i="1" s="1"/>
  <c r="B183" i="1"/>
  <c r="C183" i="1" s="1"/>
  <c r="D183" i="1" s="1"/>
  <c r="B184" i="1"/>
  <c r="C184" i="1"/>
  <c r="D184" i="1"/>
  <c r="B185" i="1"/>
  <c r="C185" i="1"/>
  <c r="D185" i="1"/>
  <c r="B186" i="1"/>
  <c r="C186" i="1" s="1"/>
  <c r="D186" i="1" s="1"/>
  <c r="J186" i="1" s="1"/>
  <c r="B187" i="1"/>
  <c r="C187" i="1" s="1"/>
  <c r="D187" i="1" s="1"/>
  <c r="B188" i="1"/>
  <c r="C188" i="1"/>
  <c r="D188" i="1" s="1"/>
  <c r="E188" i="1" s="1"/>
  <c r="G188" i="1" s="1"/>
  <c r="I188" i="1" s="1"/>
  <c r="B189" i="1"/>
  <c r="C189" i="1" s="1"/>
  <c r="D189" i="1" s="1"/>
  <c r="H189" i="1" s="1"/>
  <c r="J189" i="1" s="1"/>
  <c r="B190" i="1"/>
  <c r="C190" i="1"/>
  <c r="D190" i="1" s="1"/>
  <c r="B191" i="1"/>
  <c r="C191" i="1" s="1"/>
  <c r="D191" i="1" s="1"/>
  <c r="B192" i="1"/>
  <c r="C192" i="1"/>
  <c r="D192" i="1"/>
  <c r="J192" i="1" s="1"/>
  <c r="O20" i="1" s="1"/>
  <c r="B169" i="1"/>
  <c r="C169" i="1" s="1"/>
  <c r="J145" i="1"/>
  <c r="J151" i="1"/>
  <c r="J152" i="1"/>
  <c r="J153" i="1"/>
  <c r="J159" i="1"/>
  <c r="E150" i="1"/>
  <c r="G150" i="1" s="1"/>
  <c r="I150" i="1" s="1"/>
  <c r="E151" i="1"/>
  <c r="G151" i="1" s="1"/>
  <c r="I151" i="1" s="1"/>
  <c r="B145" i="1"/>
  <c r="C145" i="1" s="1"/>
  <c r="D145" i="1" s="1"/>
  <c r="B146" i="1"/>
  <c r="C146" i="1"/>
  <c r="D146" i="1"/>
  <c r="B147" i="1"/>
  <c r="C147" i="1" s="1"/>
  <c r="D147" i="1" s="1"/>
  <c r="B148" i="1"/>
  <c r="C148" i="1"/>
  <c r="D148" i="1" s="1"/>
  <c r="J148" i="1" s="1"/>
  <c r="B149" i="1"/>
  <c r="C149" i="1"/>
  <c r="D149" i="1" s="1"/>
  <c r="B150" i="1"/>
  <c r="C150" i="1" s="1"/>
  <c r="D150" i="1" s="1"/>
  <c r="J150" i="1" s="1"/>
  <c r="B151" i="1"/>
  <c r="C151" i="1" s="1"/>
  <c r="D151" i="1" s="1"/>
  <c r="B152" i="1"/>
  <c r="C152" i="1"/>
  <c r="D152" i="1"/>
  <c r="E152" i="1" s="1"/>
  <c r="G152" i="1" s="1"/>
  <c r="I152" i="1" s="1"/>
  <c r="B153" i="1"/>
  <c r="C153" i="1" s="1"/>
  <c r="D153" i="1" s="1"/>
  <c r="E153" i="1" s="1"/>
  <c r="G153" i="1" s="1"/>
  <c r="I153" i="1" s="1"/>
  <c r="B154" i="1"/>
  <c r="C154" i="1"/>
  <c r="D154" i="1" s="1"/>
  <c r="B155" i="1"/>
  <c r="C155" i="1" s="1"/>
  <c r="D155" i="1" s="1"/>
  <c r="B156" i="1"/>
  <c r="C156" i="1"/>
  <c r="D156" i="1" s="1"/>
  <c r="E156" i="1" s="1"/>
  <c r="G156" i="1" s="1"/>
  <c r="I156" i="1" s="1"/>
  <c r="B157" i="1"/>
  <c r="C157" i="1"/>
  <c r="D157" i="1" s="1"/>
  <c r="B158" i="1"/>
  <c r="C158" i="1" s="1"/>
  <c r="D158" i="1" s="1"/>
  <c r="J158" i="1" s="1"/>
  <c r="B159" i="1"/>
  <c r="C159" i="1" s="1"/>
  <c r="D159" i="1" s="1"/>
  <c r="B160" i="1"/>
  <c r="C160" i="1"/>
  <c r="D160" i="1"/>
  <c r="E160" i="1" s="1"/>
  <c r="G160" i="1" s="1"/>
  <c r="I160" i="1" s="1"/>
  <c r="B161" i="1"/>
  <c r="C161" i="1" s="1"/>
  <c r="D161" i="1" s="1"/>
  <c r="E161" i="1" s="1"/>
  <c r="G161" i="1" s="1"/>
  <c r="I161" i="1" s="1"/>
  <c r="B162" i="1"/>
  <c r="C162" i="1"/>
  <c r="D162" i="1" s="1"/>
  <c r="E162" i="1" s="1"/>
  <c r="G162" i="1" s="1"/>
  <c r="B163" i="1"/>
  <c r="C163" i="1"/>
  <c r="D163" i="1"/>
  <c r="J163" i="1" s="1"/>
  <c r="O19" i="1" s="1"/>
  <c r="B144" i="1"/>
  <c r="C144" i="1" s="1"/>
  <c r="E136" i="1"/>
  <c r="G136" i="1" s="1"/>
  <c r="I136" i="1" s="1"/>
  <c r="J124" i="1"/>
  <c r="J127" i="1"/>
  <c r="J128" i="1"/>
  <c r="J135" i="1"/>
  <c r="J136" i="1"/>
  <c r="B122" i="1"/>
  <c r="C122" i="1"/>
  <c r="D122" i="1"/>
  <c r="J122" i="1" s="1"/>
  <c r="B123" i="1"/>
  <c r="C123" i="1"/>
  <c r="D123" i="1" s="1"/>
  <c r="B124" i="1"/>
  <c r="C124" i="1"/>
  <c r="D124" i="1" s="1"/>
  <c r="B125" i="1"/>
  <c r="C125" i="1"/>
  <c r="D125" i="1"/>
  <c r="E125" i="1" s="1"/>
  <c r="G125" i="1" s="1"/>
  <c r="I125" i="1" s="1"/>
  <c r="B126" i="1"/>
  <c r="C126" i="1"/>
  <c r="D126" i="1" s="1"/>
  <c r="B127" i="1"/>
  <c r="C127" i="1" s="1"/>
  <c r="D127" i="1" s="1"/>
  <c r="B128" i="1"/>
  <c r="C128" i="1" s="1"/>
  <c r="D128" i="1" s="1"/>
  <c r="E128" i="1" s="1"/>
  <c r="G128" i="1" s="1"/>
  <c r="I128" i="1" s="1"/>
  <c r="B129" i="1"/>
  <c r="C129" i="1"/>
  <c r="D129" i="1"/>
  <c r="B130" i="1"/>
  <c r="C130" i="1" s="1"/>
  <c r="B131" i="1"/>
  <c r="C131" i="1"/>
  <c r="D131" i="1" s="1"/>
  <c r="J131" i="1" s="1"/>
  <c r="B132" i="1"/>
  <c r="C132" i="1"/>
  <c r="D132" i="1" s="1"/>
  <c r="B133" i="1"/>
  <c r="C133" i="1" s="1"/>
  <c r="B134" i="1"/>
  <c r="C134" i="1"/>
  <c r="D134" i="1" s="1"/>
  <c r="B135" i="1"/>
  <c r="C135" i="1" s="1"/>
  <c r="D135" i="1" s="1"/>
  <c r="B136" i="1"/>
  <c r="C136" i="1"/>
  <c r="D136" i="1" s="1"/>
  <c r="B137" i="1"/>
  <c r="C137" i="1"/>
  <c r="D137" i="1"/>
  <c r="E137" i="1" s="1"/>
  <c r="G137" i="1" s="1"/>
  <c r="B138" i="1"/>
  <c r="C138" i="1" s="1"/>
  <c r="D138" i="1" s="1"/>
  <c r="B121" i="1"/>
  <c r="B114" i="1"/>
  <c r="B115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83" i="1"/>
  <c r="B84" i="1"/>
  <c r="B85" i="1"/>
  <c r="B86" i="1"/>
  <c r="B87" i="1"/>
  <c r="B88" i="1"/>
  <c r="B89" i="1"/>
  <c r="B90" i="1"/>
  <c r="B91" i="1"/>
  <c r="B92" i="1"/>
  <c r="B93" i="1"/>
  <c r="B94" i="1"/>
  <c r="B82" i="1"/>
  <c r="B81" i="1"/>
  <c r="N9" i="1"/>
  <c r="N8" i="1"/>
  <c r="N7" i="1"/>
  <c r="N6" i="1"/>
  <c r="N5" i="1"/>
  <c r="N4" i="1"/>
  <c r="B66" i="1"/>
  <c r="B67" i="1"/>
  <c r="B68" i="1"/>
  <c r="B69" i="1"/>
  <c r="B70" i="1"/>
  <c r="B71" i="1"/>
  <c r="B72" i="1"/>
  <c r="B73" i="1"/>
  <c r="B74" i="1"/>
  <c r="B75" i="1"/>
  <c r="B65" i="1"/>
  <c r="B64" i="1"/>
  <c r="B51" i="1"/>
  <c r="B52" i="1"/>
  <c r="B53" i="1"/>
  <c r="B54" i="1"/>
  <c r="B55" i="1"/>
  <c r="B56" i="1"/>
  <c r="B57" i="1"/>
  <c r="B58" i="1"/>
  <c r="B50" i="1"/>
  <c r="B49" i="1"/>
  <c r="B38" i="1"/>
  <c r="B39" i="1"/>
  <c r="B40" i="1"/>
  <c r="B41" i="1"/>
  <c r="B42" i="1"/>
  <c r="B43" i="1"/>
  <c r="B37" i="1"/>
  <c r="B36" i="1"/>
  <c r="C25" i="1"/>
  <c r="D25" i="1" s="1"/>
  <c r="J25" i="1" s="1"/>
  <c r="B26" i="1"/>
  <c r="B27" i="1"/>
  <c r="B28" i="1"/>
  <c r="B29" i="1"/>
  <c r="B30" i="1"/>
  <c r="B25" i="1"/>
  <c r="B17" i="1"/>
  <c r="B18" i="1"/>
  <c r="B19" i="1"/>
  <c r="B16" i="1"/>
  <c r="B8" i="1"/>
  <c r="B7" i="1"/>
  <c r="B6" i="1"/>
  <c r="B5" i="1"/>
  <c r="B4" i="1"/>
  <c r="D11" i="8" l="1"/>
  <c r="E11" i="8" s="1"/>
  <c r="D12" i="8"/>
  <c r="E12" i="8" s="1"/>
  <c r="G12" i="8" s="1"/>
  <c r="D9" i="8"/>
  <c r="E9" i="8" s="1"/>
  <c r="G9" i="8" s="1"/>
  <c r="D10" i="8"/>
  <c r="E10" i="8" s="1"/>
  <c r="G10" i="8" s="1"/>
  <c r="F11" i="8"/>
  <c r="B12" i="6"/>
  <c r="B13" i="6" s="1"/>
  <c r="I257" i="5"/>
  <c r="I110" i="5"/>
  <c r="I36" i="5"/>
  <c r="I345" i="5"/>
  <c r="I112" i="5"/>
  <c r="I144" i="5"/>
  <c r="I204" i="5"/>
  <c r="I81" i="5"/>
  <c r="I202" i="5"/>
  <c r="I278" i="5"/>
  <c r="E100" i="5"/>
  <c r="I100" i="5" s="1"/>
  <c r="D100" i="5"/>
  <c r="J100" i="5" s="1"/>
  <c r="E133" i="5"/>
  <c r="I133" i="5" s="1"/>
  <c r="J133" i="5"/>
  <c r="E28" i="5"/>
  <c r="J28" i="5"/>
  <c r="E40" i="5"/>
  <c r="I40" i="5" s="1"/>
  <c r="J40" i="5"/>
  <c r="J101" i="5"/>
  <c r="E101" i="5"/>
  <c r="I101" i="5" s="1"/>
  <c r="E4" i="5"/>
  <c r="D4" i="5"/>
  <c r="E7" i="5"/>
  <c r="E10" i="5"/>
  <c r="E115" i="5"/>
  <c r="I115" i="5" s="1"/>
  <c r="J115" i="5"/>
  <c r="H114" i="5"/>
  <c r="J180" i="5"/>
  <c r="E180" i="5"/>
  <c r="I180" i="5" s="1"/>
  <c r="D16" i="5"/>
  <c r="E16" i="5"/>
  <c r="I16" i="5" s="1"/>
  <c r="J50" i="5"/>
  <c r="J68" i="5"/>
  <c r="E68" i="5"/>
  <c r="I68" i="5" s="1"/>
  <c r="E73" i="5"/>
  <c r="I73" i="5" s="1"/>
  <c r="J73" i="5"/>
  <c r="J88" i="5"/>
  <c r="E88" i="5"/>
  <c r="I88" i="5" s="1"/>
  <c r="E102" i="5"/>
  <c r="I102" i="5" s="1"/>
  <c r="J102" i="5"/>
  <c r="J107" i="5"/>
  <c r="E107" i="5"/>
  <c r="I107" i="5" s="1"/>
  <c r="E8" i="5"/>
  <c r="J137" i="5"/>
  <c r="I137" i="5"/>
  <c r="J53" i="5"/>
  <c r="E53" i="5"/>
  <c r="I53" i="5" s="1"/>
  <c r="J66" i="5"/>
  <c r="E66" i="5"/>
  <c r="I66" i="5" s="1"/>
  <c r="J131" i="5"/>
  <c r="E131" i="5"/>
  <c r="I131" i="5" s="1"/>
  <c r="J51" i="5"/>
  <c r="E51" i="5"/>
  <c r="I51" i="5" s="1"/>
  <c r="J122" i="5"/>
  <c r="E122" i="5"/>
  <c r="I122" i="5" s="1"/>
  <c r="J65" i="5"/>
  <c r="E74" i="5"/>
  <c r="E174" i="5"/>
  <c r="I174" i="5" s="1"/>
  <c r="J174" i="5"/>
  <c r="J182" i="5"/>
  <c r="E182" i="5"/>
  <c r="I182" i="5" s="1"/>
  <c r="E6" i="5"/>
  <c r="E18" i="5"/>
  <c r="I18" i="5" s="1"/>
  <c r="J17" i="5"/>
  <c r="E29" i="5"/>
  <c r="E55" i="5"/>
  <c r="I55" i="5" s="1"/>
  <c r="J55" i="5"/>
  <c r="E84" i="5"/>
  <c r="I84" i="5" s="1"/>
  <c r="J84" i="5"/>
  <c r="J38" i="5"/>
  <c r="E38" i="5"/>
  <c r="I38" i="5" s="1"/>
  <c r="E85" i="5"/>
  <c r="I85" i="5" s="1"/>
  <c r="E86" i="5"/>
  <c r="I86" i="5" s="1"/>
  <c r="J85" i="5"/>
  <c r="E9" i="5"/>
  <c r="J19" i="5"/>
  <c r="O11" i="5" s="1"/>
  <c r="E19" i="5"/>
  <c r="I19" i="5" s="1"/>
  <c r="E70" i="5"/>
  <c r="I70" i="5" s="1"/>
  <c r="J70" i="5"/>
  <c r="H93" i="5"/>
  <c r="E39" i="5"/>
  <c r="I39" i="5" s="1"/>
  <c r="E54" i="5"/>
  <c r="I54" i="5" s="1"/>
  <c r="E150" i="5"/>
  <c r="I150" i="5" s="1"/>
  <c r="J150" i="5"/>
  <c r="J227" i="5"/>
  <c r="O21" i="5" s="1"/>
  <c r="E227" i="5"/>
  <c r="I227" i="5" s="1"/>
  <c r="H224" i="5"/>
  <c r="H222" i="5"/>
  <c r="H223" i="5"/>
  <c r="E147" i="5"/>
  <c r="I147" i="5" s="1"/>
  <c r="E163" i="5"/>
  <c r="I163" i="5" s="1"/>
  <c r="H162" i="5"/>
  <c r="J163" i="5"/>
  <c r="O19" i="5" s="1"/>
  <c r="J213" i="5"/>
  <c r="E213" i="5"/>
  <c r="I213" i="5" s="1"/>
  <c r="J217" i="5"/>
  <c r="E217" i="5"/>
  <c r="I217" i="5" s="1"/>
  <c r="E338" i="5"/>
  <c r="I338" i="5" s="1"/>
  <c r="J338" i="5"/>
  <c r="J364" i="5"/>
  <c r="E364" i="5"/>
  <c r="I364" i="5" s="1"/>
  <c r="D36" i="5"/>
  <c r="J36" i="5" s="1"/>
  <c r="E41" i="5"/>
  <c r="I41" i="5" s="1"/>
  <c r="E56" i="5"/>
  <c r="I56" i="5" s="1"/>
  <c r="E71" i="5"/>
  <c r="I71" i="5" s="1"/>
  <c r="J87" i="5"/>
  <c r="E104" i="5"/>
  <c r="I104" i="5" s="1"/>
  <c r="E106" i="5"/>
  <c r="I106" i="5" s="1"/>
  <c r="E124" i="5"/>
  <c r="I124" i="5" s="1"/>
  <c r="E130" i="5"/>
  <c r="I130" i="5" s="1"/>
  <c r="E153" i="5"/>
  <c r="I153" i="5" s="1"/>
  <c r="J160" i="5"/>
  <c r="E191" i="5"/>
  <c r="E210" i="5"/>
  <c r="I210" i="5" s="1"/>
  <c r="E211" i="5"/>
  <c r="I211" i="5" s="1"/>
  <c r="J214" i="5"/>
  <c r="E214" i="5"/>
  <c r="I214" i="5" s="1"/>
  <c r="E221" i="5"/>
  <c r="I221" i="5" s="1"/>
  <c r="J221" i="5"/>
  <c r="E222" i="5"/>
  <c r="J243" i="5"/>
  <c r="E243" i="5"/>
  <c r="I243" i="5" s="1"/>
  <c r="J261" i="5"/>
  <c r="E261" i="5"/>
  <c r="I261" i="5" s="1"/>
  <c r="E82" i="5"/>
  <c r="I82" i="5" s="1"/>
  <c r="E89" i="5"/>
  <c r="I89" i="5" s="1"/>
  <c r="J39" i="5"/>
  <c r="E43" i="5"/>
  <c r="I43" i="5" s="1"/>
  <c r="J43" i="5"/>
  <c r="O13" i="5" s="1"/>
  <c r="J54" i="5"/>
  <c r="E58" i="5"/>
  <c r="I58" i="5" s="1"/>
  <c r="J58" i="5"/>
  <c r="O14" i="5" s="1"/>
  <c r="E91" i="5"/>
  <c r="I91" i="5" s="1"/>
  <c r="E111" i="5"/>
  <c r="I111" i="5" s="1"/>
  <c r="E113" i="5"/>
  <c r="I113" i="5" s="1"/>
  <c r="J128" i="5"/>
  <c r="E156" i="5"/>
  <c r="I156" i="5" s="1"/>
  <c r="J210" i="5"/>
  <c r="E49" i="5"/>
  <c r="I49" i="5" s="1"/>
  <c r="D49" i="5"/>
  <c r="J49" i="5" s="1"/>
  <c r="J134" i="5"/>
  <c r="E134" i="5"/>
  <c r="I134" i="5" s="1"/>
  <c r="J287" i="5"/>
  <c r="E287" i="5"/>
  <c r="I287" i="5" s="1"/>
  <c r="E288" i="5"/>
  <c r="I288" i="5" s="1"/>
  <c r="J110" i="5"/>
  <c r="E27" i="5"/>
  <c r="J27" i="5"/>
  <c r="E148" i="5"/>
  <c r="I148" i="5" s="1"/>
  <c r="E151" i="5"/>
  <c r="I151" i="5" s="1"/>
  <c r="J151" i="5"/>
  <c r="J154" i="5"/>
  <c r="E154" i="5"/>
  <c r="I154" i="5" s="1"/>
  <c r="E157" i="5"/>
  <c r="I157" i="5" s="1"/>
  <c r="J157" i="5"/>
  <c r="E177" i="5"/>
  <c r="I177" i="5" s="1"/>
  <c r="J177" i="5"/>
  <c r="E181" i="5"/>
  <c r="I181" i="5" s="1"/>
  <c r="J181" i="5"/>
  <c r="E192" i="5"/>
  <c r="I192" i="5" s="1"/>
  <c r="H190" i="5"/>
  <c r="H191" i="5"/>
  <c r="H189" i="5"/>
  <c r="E200" i="5"/>
  <c r="I200" i="5" s="1"/>
  <c r="E201" i="5"/>
  <c r="I201" i="5" s="1"/>
  <c r="H225" i="5"/>
  <c r="E296" i="5"/>
  <c r="I296" i="5" s="1"/>
  <c r="J296" i="5"/>
  <c r="J310" i="5"/>
  <c r="E310" i="5"/>
  <c r="I310" i="5" s="1"/>
  <c r="J355" i="5"/>
  <c r="E355" i="5"/>
  <c r="I355" i="5" s="1"/>
  <c r="I57" i="5"/>
  <c r="E69" i="5"/>
  <c r="I69" i="5" s="1"/>
  <c r="E136" i="5"/>
  <c r="I136" i="5" s="1"/>
  <c r="J136" i="5"/>
  <c r="J209" i="5"/>
  <c r="E209" i="5"/>
  <c r="I209" i="5" s="1"/>
  <c r="H9" i="5"/>
  <c r="J9" i="5" s="1"/>
  <c r="O9" i="5" s="1"/>
  <c r="E126" i="5"/>
  <c r="I126" i="5" s="1"/>
  <c r="E132" i="5"/>
  <c r="I132" i="5" s="1"/>
  <c r="E30" i="5"/>
  <c r="E83" i="5"/>
  <c r="I83" i="5" s="1"/>
  <c r="J103" i="5"/>
  <c r="E103" i="5"/>
  <c r="I103" i="5" s="1"/>
  <c r="E105" i="5"/>
  <c r="I105" i="5" s="1"/>
  <c r="J113" i="5"/>
  <c r="E127" i="5"/>
  <c r="I127" i="5" s="1"/>
  <c r="E135" i="5"/>
  <c r="I135" i="5" s="1"/>
  <c r="E138" i="5"/>
  <c r="I138" i="5" s="1"/>
  <c r="E145" i="5"/>
  <c r="I145" i="5" s="1"/>
  <c r="J148" i="5"/>
  <c r="J192" i="5"/>
  <c r="O20" i="5" s="1"/>
  <c r="J200" i="5"/>
  <c r="E72" i="5"/>
  <c r="I72" i="5" s="1"/>
  <c r="J72" i="5"/>
  <c r="H74" i="5"/>
  <c r="E90" i="5"/>
  <c r="I90" i="5" s="1"/>
  <c r="J94" i="5"/>
  <c r="O16" i="5" s="1"/>
  <c r="E94" i="5"/>
  <c r="I94" i="5" s="1"/>
  <c r="J123" i="5"/>
  <c r="E123" i="5"/>
  <c r="I123" i="5" s="1"/>
  <c r="E125" i="5"/>
  <c r="I125" i="5" s="1"/>
  <c r="E129" i="5"/>
  <c r="I129" i="5" s="1"/>
  <c r="J146" i="5"/>
  <c r="E146" i="5"/>
  <c r="I146" i="5" s="1"/>
  <c r="J155" i="5"/>
  <c r="E155" i="5"/>
  <c r="I155" i="5" s="1"/>
  <c r="E158" i="5"/>
  <c r="I158" i="5" s="1"/>
  <c r="J158" i="5"/>
  <c r="J178" i="5"/>
  <c r="E178" i="5"/>
  <c r="I178" i="5" s="1"/>
  <c r="E185" i="5"/>
  <c r="I185" i="5" s="1"/>
  <c r="J185" i="5"/>
  <c r="E186" i="5"/>
  <c r="I186" i="5" s="1"/>
  <c r="J188" i="5"/>
  <c r="E188" i="5"/>
  <c r="I188" i="5" s="1"/>
  <c r="J237" i="5"/>
  <c r="E237" i="5"/>
  <c r="I237" i="5" s="1"/>
  <c r="J241" i="5"/>
  <c r="E241" i="5"/>
  <c r="I241" i="5" s="1"/>
  <c r="E64" i="5"/>
  <c r="I64" i="5" s="1"/>
  <c r="D64" i="5"/>
  <c r="J64" i="5" s="1"/>
  <c r="J108" i="5"/>
  <c r="E108" i="5"/>
  <c r="I108" i="5" s="1"/>
  <c r="E183" i="5"/>
  <c r="I183" i="5" s="1"/>
  <c r="J183" i="5"/>
  <c r="J42" i="5"/>
  <c r="E42" i="5"/>
  <c r="I42" i="5" s="1"/>
  <c r="E57" i="5"/>
  <c r="E37" i="5"/>
  <c r="I37" i="5" s="1"/>
  <c r="E52" i="5"/>
  <c r="I52" i="5" s="1"/>
  <c r="E67" i="5"/>
  <c r="I67" i="5" s="1"/>
  <c r="E75" i="5"/>
  <c r="I75" i="5" s="1"/>
  <c r="E92" i="5"/>
  <c r="I92" i="5" s="1"/>
  <c r="J125" i="5"/>
  <c r="J152" i="5"/>
  <c r="E152" i="5"/>
  <c r="I152" i="5" s="1"/>
  <c r="J159" i="5"/>
  <c r="E159" i="5"/>
  <c r="I159" i="5" s="1"/>
  <c r="E175" i="5"/>
  <c r="I175" i="5" s="1"/>
  <c r="J175" i="5"/>
  <c r="E189" i="5"/>
  <c r="E206" i="5"/>
  <c r="I206" i="5" s="1"/>
  <c r="J206" i="5"/>
  <c r="H226" i="5"/>
  <c r="E238" i="5"/>
  <c r="I238" i="5" s="1"/>
  <c r="J238" i="5"/>
  <c r="J216" i="5"/>
  <c r="E216" i="5"/>
  <c r="I216" i="5" s="1"/>
  <c r="J242" i="5"/>
  <c r="E242" i="5"/>
  <c r="I242" i="5" s="1"/>
  <c r="J268" i="5"/>
  <c r="E317" i="5"/>
  <c r="I317" i="5" s="1"/>
  <c r="J317" i="5"/>
  <c r="H324" i="5"/>
  <c r="E318" i="5"/>
  <c r="E162" i="5"/>
  <c r="E173" i="5"/>
  <c r="I173" i="5" s="1"/>
  <c r="J205" i="5"/>
  <c r="E205" i="5"/>
  <c r="I205" i="5" s="1"/>
  <c r="D233" i="5"/>
  <c r="J233" i="5" s="1"/>
  <c r="E233" i="5"/>
  <c r="I233" i="5" s="1"/>
  <c r="E239" i="5"/>
  <c r="I239" i="5" s="1"/>
  <c r="E246" i="5"/>
  <c r="I246" i="5" s="1"/>
  <c r="J246" i="5"/>
  <c r="I265" i="5"/>
  <c r="J265" i="5"/>
  <c r="E198" i="5"/>
  <c r="I198" i="5" s="1"/>
  <c r="D198" i="5"/>
  <c r="J198" i="5" s="1"/>
  <c r="E259" i="5"/>
  <c r="I259" i="5" s="1"/>
  <c r="J259" i="5"/>
  <c r="E289" i="5"/>
  <c r="I289" i="5" s="1"/>
  <c r="J289" i="5"/>
  <c r="E149" i="5"/>
  <c r="I149" i="5" s="1"/>
  <c r="E161" i="5"/>
  <c r="I161" i="5" s="1"/>
  <c r="E171" i="5"/>
  <c r="I171" i="5" s="1"/>
  <c r="J173" i="5"/>
  <c r="E179" i="5"/>
  <c r="I179" i="5" s="1"/>
  <c r="E208" i="5"/>
  <c r="I208" i="5" s="1"/>
  <c r="E212" i="5"/>
  <c r="I212" i="5" s="1"/>
  <c r="J220" i="5"/>
  <c r="E220" i="5"/>
  <c r="I220" i="5" s="1"/>
  <c r="E252" i="5"/>
  <c r="I252" i="5" s="1"/>
  <c r="J252" i="5"/>
  <c r="I264" i="5"/>
  <c r="J264" i="5"/>
  <c r="E280" i="5"/>
  <c r="I280" i="5" s="1"/>
  <c r="E281" i="5"/>
  <c r="I281" i="5" s="1"/>
  <c r="J280" i="5"/>
  <c r="E333" i="5"/>
  <c r="I333" i="5" s="1"/>
  <c r="D333" i="5"/>
  <c r="J333" i="5" s="1"/>
  <c r="E187" i="5"/>
  <c r="I187" i="5" s="1"/>
  <c r="E215" i="5"/>
  <c r="I215" i="5" s="1"/>
  <c r="J215" i="5"/>
  <c r="E218" i="5"/>
  <c r="I218" i="5" s="1"/>
  <c r="J244" i="5"/>
  <c r="E244" i="5"/>
  <c r="I244" i="5" s="1"/>
  <c r="J248" i="5"/>
  <c r="E248" i="5"/>
  <c r="I248" i="5" s="1"/>
  <c r="J253" i="5"/>
  <c r="E253" i="5"/>
  <c r="I253" i="5" s="1"/>
  <c r="J249" i="5"/>
  <c r="E249" i="5"/>
  <c r="I249" i="5" s="1"/>
  <c r="E258" i="5"/>
  <c r="I258" i="5" s="1"/>
  <c r="J258" i="5"/>
  <c r="E312" i="5"/>
  <c r="I312" i="5" s="1"/>
  <c r="J312" i="5"/>
  <c r="E313" i="5"/>
  <c r="I313" i="5" s="1"/>
  <c r="J365" i="5"/>
  <c r="E365" i="5"/>
  <c r="I365" i="5" s="1"/>
  <c r="J381" i="5"/>
  <c r="E381" i="5"/>
  <c r="I381" i="5" s="1"/>
  <c r="E255" i="5"/>
  <c r="I255" i="5" s="1"/>
  <c r="J255" i="5"/>
  <c r="J262" i="5"/>
  <c r="E262" i="5"/>
  <c r="I262" i="5" s="1"/>
  <c r="H269" i="5"/>
  <c r="H263" i="5"/>
  <c r="J278" i="5"/>
  <c r="E279" i="5"/>
  <c r="I279" i="5" s="1"/>
  <c r="J341" i="5"/>
  <c r="E341" i="5"/>
  <c r="I341" i="5" s="1"/>
  <c r="J247" i="5"/>
  <c r="E247" i="5"/>
  <c r="I247" i="5" s="1"/>
  <c r="E250" i="5"/>
  <c r="I250" i="5" s="1"/>
  <c r="J250" i="5"/>
  <c r="J256" i="5"/>
  <c r="E256" i="5"/>
  <c r="I256" i="5" s="1"/>
  <c r="E263" i="5"/>
  <c r="J294" i="5"/>
  <c r="E295" i="5"/>
  <c r="I295" i="5" s="1"/>
  <c r="E294" i="5"/>
  <c r="I294" i="5" s="1"/>
  <c r="J301" i="5"/>
  <c r="E302" i="5"/>
  <c r="I302" i="5" s="1"/>
  <c r="E326" i="5"/>
  <c r="E240" i="5"/>
  <c r="I240" i="5" s="1"/>
  <c r="J260" i="5"/>
  <c r="E260" i="5"/>
  <c r="I260" i="5" s="1"/>
  <c r="E282" i="5"/>
  <c r="I282" i="5" s="1"/>
  <c r="J282" i="5"/>
  <c r="E301" i="5"/>
  <c r="I301" i="5" s="1"/>
  <c r="E307" i="5"/>
  <c r="I307" i="5" s="1"/>
  <c r="J307" i="5"/>
  <c r="E308" i="5"/>
  <c r="I308" i="5" s="1"/>
  <c r="E321" i="5"/>
  <c r="J360" i="5"/>
  <c r="E360" i="5"/>
  <c r="I360" i="5" s="1"/>
  <c r="E219" i="5"/>
  <c r="I219" i="5" s="1"/>
  <c r="J245" i="5"/>
  <c r="E245" i="5"/>
  <c r="I245" i="5" s="1"/>
  <c r="E254" i="5"/>
  <c r="I254" i="5" s="1"/>
  <c r="J254" i="5"/>
  <c r="H320" i="5"/>
  <c r="J351" i="5"/>
  <c r="E351" i="5"/>
  <c r="I351" i="5" s="1"/>
  <c r="E372" i="5"/>
  <c r="I372" i="5" s="1"/>
  <c r="J372" i="5"/>
  <c r="E373" i="5"/>
  <c r="I373" i="5" s="1"/>
  <c r="E315" i="5"/>
  <c r="I315" i="5" s="1"/>
  <c r="J315" i="5"/>
  <c r="E343" i="5"/>
  <c r="I343" i="5" s="1"/>
  <c r="J350" i="5"/>
  <c r="E350" i="5"/>
  <c r="I350" i="5" s="1"/>
  <c r="E269" i="5"/>
  <c r="J292" i="5"/>
  <c r="E292" i="5"/>
  <c r="I292" i="5" s="1"/>
  <c r="E299" i="5"/>
  <c r="I299" i="5" s="1"/>
  <c r="J299" i="5"/>
  <c r="J311" i="5"/>
  <c r="E311" i="5"/>
  <c r="I311" i="5" s="1"/>
  <c r="J339" i="5"/>
  <c r="E339" i="5"/>
  <c r="I339" i="5" s="1"/>
  <c r="E346" i="5"/>
  <c r="I346" i="5" s="1"/>
  <c r="J346" i="5"/>
  <c r="E358" i="5"/>
  <c r="I358" i="5" s="1"/>
  <c r="E363" i="5"/>
  <c r="I363" i="5" s="1"/>
  <c r="J272" i="5"/>
  <c r="O22" i="5" s="1"/>
  <c r="H270" i="5"/>
  <c r="E272" i="5"/>
  <c r="I272" i="5" s="1"/>
  <c r="H266" i="5"/>
  <c r="H267" i="5"/>
  <c r="H271" i="5"/>
  <c r="E283" i="5"/>
  <c r="I283" i="5" s="1"/>
  <c r="E285" i="5"/>
  <c r="I285" i="5" s="1"/>
  <c r="J290" i="5"/>
  <c r="E290" i="5"/>
  <c r="I290" i="5" s="1"/>
  <c r="E297" i="5"/>
  <c r="I297" i="5" s="1"/>
  <c r="E304" i="5"/>
  <c r="I304" i="5" s="1"/>
  <c r="E316" i="5"/>
  <c r="I316" i="5" s="1"/>
  <c r="J334" i="5"/>
  <c r="E334" i="5"/>
  <c r="I334" i="5" s="1"/>
  <c r="J366" i="5"/>
  <c r="E366" i="5"/>
  <c r="I366" i="5" s="1"/>
  <c r="E376" i="5"/>
  <c r="I376" i="5" s="1"/>
  <c r="J376" i="5"/>
  <c r="E300" i="5"/>
  <c r="I300" i="5" s="1"/>
  <c r="J337" i="5"/>
  <c r="E337" i="5"/>
  <c r="I337" i="5" s="1"/>
  <c r="E344" i="5"/>
  <c r="I344" i="5" s="1"/>
  <c r="J344" i="5"/>
  <c r="E356" i="5"/>
  <c r="I356" i="5" s="1"/>
  <c r="E361" i="5"/>
  <c r="I361" i="5" s="1"/>
  <c r="E379" i="5"/>
  <c r="I379" i="5" s="1"/>
  <c r="J379" i="5"/>
  <c r="E291" i="5"/>
  <c r="I291" i="5" s="1"/>
  <c r="J300" i="5"/>
  <c r="J309" i="5"/>
  <c r="E309" i="5"/>
  <c r="I309" i="5" s="1"/>
  <c r="E319" i="5"/>
  <c r="E324" i="5"/>
  <c r="E335" i="5"/>
  <c r="I335" i="5" s="1"/>
  <c r="E342" i="5"/>
  <c r="I342" i="5" s="1"/>
  <c r="E354" i="5"/>
  <c r="I354" i="5" s="1"/>
  <c r="E370" i="5"/>
  <c r="I370" i="5" s="1"/>
  <c r="J370" i="5"/>
  <c r="E268" i="5"/>
  <c r="I268" i="5" s="1"/>
  <c r="E270" i="5"/>
  <c r="J284" i="5"/>
  <c r="E284" i="5"/>
  <c r="I284" i="5" s="1"/>
  <c r="J286" i="5"/>
  <c r="E286" i="5"/>
  <c r="I286" i="5" s="1"/>
  <c r="E298" i="5"/>
  <c r="I298" i="5" s="1"/>
  <c r="J298" i="5"/>
  <c r="E305" i="5"/>
  <c r="I305" i="5" s="1"/>
  <c r="J305" i="5"/>
  <c r="J314" i="5"/>
  <c r="J327" i="5"/>
  <c r="O23" i="5" s="1"/>
  <c r="H325" i="5"/>
  <c r="H326" i="5"/>
  <c r="H318" i="5"/>
  <c r="E327" i="5"/>
  <c r="I327" i="5" s="1"/>
  <c r="H321" i="5"/>
  <c r="H322" i="5"/>
  <c r="H319" i="5"/>
  <c r="H323" i="5"/>
  <c r="E340" i="5"/>
  <c r="I340" i="5" s="1"/>
  <c r="J349" i="5"/>
  <c r="E349" i="5"/>
  <c r="I349" i="5" s="1"/>
  <c r="J357" i="5"/>
  <c r="E357" i="5"/>
  <c r="I357" i="5" s="1"/>
  <c r="J371" i="5"/>
  <c r="E371" i="5"/>
  <c r="I371" i="5" s="1"/>
  <c r="E374" i="5"/>
  <c r="I374" i="5" s="1"/>
  <c r="J374" i="5"/>
  <c r="J377" i="5"/>
  <c r="E377" i="5"/>
  <c r="I377" i="5" s="1"/>
  <c r="H391" i="5"/>
  <c r="H383" i="5"/>
  <c r="H385" i="5"/>
  <c r="H387" i="5"/>
  <c r="H389" i="5"/>
  <c r="J369" i="5"/>
  <c r="E369" i="5"/>
  <c r="I369" i="5" s="1"/>
  <c r="E384" i="5"/>
  <c r="E386" i="5"/>
  <c r="E388" i="5"/>
  <c r="E390" i="5"/>
  <c r="J392" i="5"/>
  <c r="O24" i="5" s="1"/>
  <c r="E392" i="5"/>
  <c r="I392" i="5" s="1"/>
  <c r="E359" i="5"/>
  <c r="I359" i="5" s="1"/>
  <c r="E367" i="5"/>
  <c r="I367" i="5" s="1"/>
  <c r="J367" i="5"/>
  <c r="E375" i="5"/>
  <c r="I375" i="5" s="1"/>
  <c r="E382" i="5"/>
  <c r="I382" i="5" s="1"/>
  <c r="E378" i="5"/>
  <c r="I378" i="5" s="1"/>
  <c r="J378" i="5"/>
  <c r="E380" i="5"/>
  <c r="I380" i="5" s="1"/>
  <c r="H384" i="5"/>
  <c r="H386" i="5"/>
  <c r="H388" i="5"/>
  <c r="H390" i="5"/>
  <c r="I387" i="1"/>
  <c r="J386" i="1"/>
  <c r="J391" i="1"/>
  <c r="I390" i="1"/>
  <c r="I388" i="1"/>
  <c r="J384" i="1"/>
  <c r="I389" i="1"/>
  <c r="I393" i="1" s="1"/>
  <c r="J383" i="1"/>
  <c r="J267" i="1"/>
  <c r="J265" i="1"/>
  <c r="J268" i="1"/>
  <c r="I269" i="1"/>
  <c r="I271" i="1"/>
  <c r="J270" i="1"/>
  <c r="J266" i="1"/>
  <c r="E233" i="1"/>
  <c r="G233" i="1" s="1"/>
  <c r="I233" i="1" s="1"/>
  <c r="D233" i="1"/>
  <c r="J233" i="1" s="1"/>
  <c r="J222" i="1"/>
  <c r="I223" i="1"/>
  <c r="I226" i="1"/>
  <c r="J225" i="1"/>
  <c r="E198" i="1"/>
  <c r="G198" i="1" s="1"/>
  <c r="I198" i="1" s="1"/>
  <c r="D198" i="1"/>
  <c r="J198" i="1" s="1"/>
  <c r="J126" i="1"/>
  <c r="E126" i="1"/>
  <c r="G126" i="1" s="1"/>
  <c r="I126" i="1" s="1"/>
  <c r="E127" i="1"/>
  <c r="G127" i="1" s="1"/>
  <c r="I127" i="1" s="1"/>
  <c r="J123" i="1"/>
  <c r="E123" i="1"/>
  <c r="G123" i="1" s="1"/>
  <c r="I123" i="1" s="1"/>
  <c r="J182" i="1"/>
  <c r="E182" i="1"/>
  <c r="G182" i="1" s="1"/>
  <c r="I182" i="1" s="1"/>
  <c r="E183" i="1"/>
  <c r="G183" i="1" s="1"/>
  <c r="I183" i="1" s="1"/>
  <c r="E191" i="1"/>
  <c r="G191" i="1" s="1"/>
  <c r="E190" i="1"/>
  <c r="G190" i="1" s="1"/>
  <c r="E135" i="1"/>
  <c r="G135" i="1" s="1"/>
  <c r="I135" i="1" s="1"/>
  <c r="J134" i="1"/>
  <c r="J129" i="1"/>
  <c r="E129" i="1"/>
  <c r="G129" i="1" s="1"/>
  <c r="I129" i="1" s="1"/>
  <c r="E149" i="1"/>
  <c r="G149" i="1" s="1"/>
  <c r="I149" i="1" s="1"/>
  <c r="J149" i="1"/>
  <c r="J160" i="1"/>
  <c r="E187" i="1"/>
  <c r="G187" i="1" s="1"/>
  <c r="I187" i="1" s="1"/>
  <c r="J187" i="1"/>
  <c r="E175" i="1"/>
  <c r="G175" i="1" s="1"/>
  <c r="I175" i="1" s="1"/>
  <c r="E174" i="1"/>
  <c r="G174" i="1" s="1"/>
  <c r="I174" i="1" s="1"/>
  <c r="J174" i="1"/>
  <c r="E157" i="1"/>
  <c r="G157" i="1" s="1"/>
  <c r="I157" i="1" s="1"/>
  <c r="J157" i="1"/>
  <c r="J147" i="1"/>
  <c r="E147" i="1"/>
  <c r="G147" i="1" s="1"/>
  <c r="I147" i="1" s="1"/>
  <c r="H137" i="1"/>
  <c r="J137" i="1" s="1"/>
  <c r="J138" i="1"/>
  <c r="O18" i="1" s="1"/>
  <c r="E171" i="1"/>
  <c r="G171" i="1" s="1"/>
  <c r="I171" i="1" s="1"/>
  <c r="J171" i="1"/>
  <c r="E179" i="1"/>
  <c r="G179" i="1" s="1"/>
  <c r="I179" i="1" s="1"/>
  <c r="J179" i="1"/>
  <c r="J170" i="1"/>
  <c r="E132" i="1"/>
  <c r="G132" i="1" s="1"/>
  <c r="I132" i="1" s="1"/>
  <c r="E124" i="1"/>
  <c r="G124" i="1" s="1"/>
  <c r="I124" i="1" s="1"/>
  <c r="J154" i="1"/>
  <c r="E154" i="1"/>
  <c r="G154" i="1" s="1"/>
  <c r="I154" i="1" s="1"/>
  <c r="E159" i="1"/>
  <c r="G159" i="1" s="1"/>
  <c r="I159" i="1" s="1"/>
  <c r="J177" i="1"/>
  <c r="E177" i="1"/>
  <c r="G177" i="1" s="1"/>
  <c r="I177" i="1" s="1"/>
  <c r="E186" i="1"/>
  <c r="G186" i="1" s="1"/>
  <c r="I186" i="1" s="1"/>
  <c r="J146" i="1"/>
  <c r="E146" i="1"/>
  <c r="G146" i="1" s="1"/>
  <c r="I146" i="1" s="1"/>
  <c r="D169" i="1"/>
  <c r="J169" i="1" s="1"/>
  <c r="E169" i="1"/>
  <c r="G169" i="1" s="1"/>
  <c r="I169" i="1" s="1"/>
  <c r="J155" i="1"/>
  <c r="E155" i="1"/>
  <c r="G155" i="1" s="1"/>
  <c r="I155" i="1" s="1"/>
  <c r="J161" i="1"/>
  <c r="E138" i="1"/>
  <c r="G138" i="1" s="1"/>
  <c r="I138" i="1" s="1"/>
  <c r="E158" i="1"/>
  <c r="G158" i="1" s="1"/>
  <c r="I158" i="1" s="1"/>
  <c r="J185" i="1"/>
  <c r="E185" i="1"/>
  <c r="G185" i="1" s="1"/>
  <c r="I185" i="1" s="1"/>
  <c r="J125" i="1"/>
  <c r="E148" i="1"/>
  <c r="G148" i="1" s="1"/>
  <c r="I148" i="1" s="1"/>
  <c r="H191" i="1"/>
  <c r="J191" i="1" s="1"/>
  <c r="J181" i="1"/>
  <c r="J132" i="1"/>
  <c r="E163" i="1"/>
  <c r="G163" i="1" s="1"/>
  <c r="I163" i="1" s="1"/>
  <c r="H190" i="1"/>
  <c r="I190" i="1" s="1"/>
  <c r="J188" i="1"/>
  <c r="J180" i="1"/>
  <c r="J172" i="1"/>
  <c r="J156" i="1"/>
  <c r="E189" i="1"/>
  <c r="G189" i="1" s="1"/>
  <c r="E173" i="1"/>
  <c r="G173" i="1" s="1"/>
  <c r="I173" i="1" s="1"/>
  <c r="H162" i="1"/>
  <c r="J162" i="1" s="1"/>
  <c r="I189" i="1"/>
  <c r="I191" i="1"/>
  <c r="J190" i="1"/>
  <c r="E144" i="1"/>
  <c r="G144" i="1" s="1"/>
  <c r="I144" i="1" s="1"/>
  <c r="D144" i="1"/>
  <c r="J144" i="1" s="1"/>
  <c r="I137" i="1"/>
  <c r="D130" i="1"/>
  <c r="D133" i="1"/>
  <c r="E134" i="1" s="1"/>
  <c r="G134" i="1" s="1"/>
  <c r="I134" i="1" s="1"/>
  <c r="C121" i="1"/>
  <c r="C115" i="1"/>
  <c r="D115" i="1" s="1"/>
  <c r="J115" i="1" s="1"/>
  <c r="C114" i="1"/>
  <c r="D114" i="1" s="1"/>
  <c r="C100" i="1"/>
  <c r="C102" i="1"/>
  <c r="D102" i="1" s="1"/>
  <c r="J102" i="1" s="1"/>
  <c r="C104" i="1"/>
  <c r="D104" i="1" s="1"/>
  <c r="J104" i="1" s="1"/>
  <c r="C106" i="1"/>
  <c r="D106" i="1" s="1"/>
  <c r="J106" i="1" s="1"/>
  <c r="C108" i="1"/>
  <c r="D108" i="1" s="1"/>
  <c r="J108" i="1" s="1"/>
  <c r="C110" i="1"/>
  <c r="D110" i="1" s="1"/>
  <c r="J110" i="1" s="1"/>
  <c r="C112" i="1"/>
  <c r="D112" i="1" s="1"/>
  <c r="J112" i="1" s="1"/>
  <c r="C101" i="1"/>
  <c r="D101" i="1" s="1"/>
  <c r="J101" i="1" s="1"/>
  <c r="C103" i="1"/>
  <c r="D103" i="1" s="1"/>
  <c r="J103" i="1" s="1"/>
  <c r="C105" i="1"/>
  <c r="D105" i="1" s="1"/>
  <c r="J105" i="1" s="1"/>
  <c r="C107" i="1"/>
  <c r="D107" i="1" s="1"/>
  <c r="J107" i="1" s="1"/>
  <c r="C109" i="1"/>
  <c r="D109" i="1" s="1"/>
  <c r="J109" i="1" s="1"/>
  <c r="C111" i="1"/>
  <c r="D111" i="1" s="1"/>
  <c r="J111" i="1" s="1"/>
  <c r="C113" i="1"/>
  <c r="D113" i="1" s="1"/>
  <c r="J113" i="1" s="1"/>
  <c r="C84" i="1"/>
  <c r="D84" i="1" s="1"/>
  <c r="J84" i="1" s="1"/>
  <c r="C94" i="1"/>
  <c r="D94" i="1" s="1"/>
  <c r="J94" i="1" s="1"/>
  <c r="O16" i="1" s="1"/>
  <c r="C86" i="1"/>
  <c r="D86" i="1" s="1"/>
  <c r="J86" i="1" s="1"/>
  <c r="C92" i="1"/>
  <c r="D92" i="1" s="1"/>
  <c r="J92" i="1" s="1"/>
  <c r="C90" i="1"/>
  <c r="D90" i="1" s="1"/>
  <c r="J90" i="1" s="1"/>
  <c r="C93" i="1"/>
  <c r="D93" i="1" s="1"/>
  <c r="C91" i="1"/>
  <c r="D91" i="1" s="1"/>
  <c r="J91" i="1" s="1"/>
  <c r="C89" i="1"/>
  <c r="D89" i="1" s="1"/>
  <c r="J89" i="1" s="1"/>
  <c r="C87" i="1"/>
  <c r="D87" i="1" s="1"/>
  <c r="J87" i="1" s="1"/>
  <c r="C85" i="1"/>
  <c r="D85" i="1" s="1"/>
  <c r="J85" i="1" s="1"/>
  <c r="C83" i="1"/>
  <c r="D83" i="1" s="1"/>
  <c r="J83" i="1" s="1"/>
  <c r="C88" i="1"/>
  <c r="D88" i="1" s="1"/>
  <c r="J88" i="1" s="1"/>
  <c r="C81" i="1"/>
  <c r="C82" i="1"/>
  <c r="D82" i="1" s="1"/>
  <c r="J82" i="1" s="1"/>
  <c r="C70" i="1"/>
  <c r="D70" i="1" s="1"/>
  <c r="J70" i="1" s="1"/>
  <c r="C66" i="1"/>
  <c r="D66" i="1" s="1"/>
  <c r="J66" i="1" s="1"/>
  <c r="C74" i="1"/>
  <c r="D74" i="1" s="1"/>
  <c r="C68" i="1"/>
  <c r="D68" i="1" s="1"/>
  <c r="J68" i="1" s="1"/>
  <c r="C72" i="1"/>
  <c r="D72" i="1" s="1"/>
  <c r="J72" i="1" s="1"/>
  <c r="C75" i="1"/>
  <c r="D75" i="1" s="1"/>
  <c r="C73" i="1"/>
  <c r="D73" i="1" s="1"/>
  <c r="C71" i="1"/>
  <c r="D71" i="1" s="1"/>
  <c r="C69" i="1"/>
  <c r="D69" i="1" s="1"/>
  <c r="C67" i="1"/>
  <c r="D67" i="1" s="1"/>
  <c r="C64" i="1"/>
  <c r="E64" i="1" s="1"/>
  <c r="C65" i="1"/>
  <c r="D65" i="1" s="1"/>
  <c r="C58" i="1"/>
  <c r="D58" i="1" s="1"/>
  <c r="C54" i="1"/>
  <c r="D54" i="1" s="1"/>
  <c r="J54" i="1" s="1"/>
  <c r="C52" i="1"/>
  <c r="D52" i="1" s="1"/>
  <c r="J52" i="1" s="1"/>
  <c r="C56" i="1"/>
  <c r="D56" i="1" s="1"/>
  <c r="J56" i="1" s="1"/>
  <c r="C57" i="1"/>
  <c r="D57" i="1" s="1"/>
  <c r="C55" i="1"/>
  <c r="D55" i="1" s="1"/>
  <c r="C53" i="1"/>
  <c r="D53" i="1" s="1"/>
  <c r="J53" i="1" s="1"/>
  <c r="C51" i="1"/>
  <c r="D51" i="1" s="1"/>
  <c r="J51" i="1" s="1"/>
  <c r="C50" i="1"/>
  <c r="D50" i="1" s="1"/>
  <c r="C49" i="1"/>
  <c r="C41" i="1"/>
  <c r="D41" i="1" s="1"/>
  <c r="J41" i="1" s="1"/>
  <c r="C39" i="1"/>
  <c r="D39" i="1" s="1"/>
  <c r="J39" i="1" s="1"/>
  <c r="C43" i="1"/>
  <c r="D43" i="1" s="1"/>
  <c r="C42" i="1"/>
  <c r="D42" i="1" s="1"/>
  <c r="C40" i="1"/>
  <c r="D40" i="1" s="1"/>
  <c r="C38" i="1"/>
  <c r="D38" i="1" s="1"/>
  <c r="J38" i="1" s="1"/>
  <c r="C36" i="1"/>
  <c r="C37" i="1"/>
  <c r="D37" i="1" s="1"/>
  <c r="J37" i="1" s="1"/>
  <c r="E25" i="1"/>
  <c r="G25" i="1" s="1"/>
  <c r="I25" i="1" s="1"/>
  <c r="C30" i="1"/>
  <c r="C29" i="1"/>
  <c r="C28" i="1"/>
  <c r="C27" i="1"/>
  <c r="C26" i="1"/>
  <c r="C5" i="1"/>
  <c r="D5" i="1" s="1"/>
  <c r="G5" i="1" s="1"/>
  <c r="C19" i="1"/>
  <c r="C18" i="1"/>
  <c r="C17" i="1"/>
  <c r="C16" i="1"/>
  <c r="C4" i="1"/>
  <c r="E4" i="1" s="1"/>
  <c r="C10" i="1"/>
  <c r="D10" i="1" s="1"/>
  <c r="C9" i="1"/>
  <c r="D9" i="1" s="1"/>
  <c r="C8" i="1"/>
  <c r="D8" i="1" s="1"/>
  <c r="C7" i="1"/>
  <c r="D7" i="1" s="1"/>
  <c r="C6" i="1"/>
  <c r="D6" i="1" s="1"/>
  <c r="G11" i="8" l="1"/>
  <c r="A23" i="8" s="1"/>
  <c r="I139" i="5"/>
  <c r="I44" i="5"/>
  <c r="I9" i="5"/>
  <c r="I323" i="5"/>
  <c r="J323" i="5"/>
  <c r="I319" i="5"/>
  <c r="J319" i="5"/>
  <c r="J190" i="5"/>
  <c r="I190" i="5"/>
  <c r="E17" i="5"/>
  <c r="I17" i="5" s="1"/>
  <c r="I20" i="5" s="1"/>
  <c r="H8" i="5"/>
  <c r="J8" i="5" s="1"/>
  <c r="O8" i="5" s="1"/>
  <c r="I8" i="5"/>
  <c r="H10" i="5"/>
  <c r="J10" i="5" s="1"/>
  <c r="O10" i="5" s="1"/>
  <c r="J385" i="5"/>
  <c r="I385" i="5"/>
  <c r="I322" i="5"/>
  <c r="J322" i="5"/>
  <c r="I226" i="5"/>
  <c r="J226" i="5"/>
  <c r="H6" i="5"/>
  <c r="J6" i="5" s="1"/>
  <c r="O6" i="5" s="1"/>
  <c r="E65" i="5"/>
  <c r="I65" i="5" s="1"/>
  <c r="H5" i="5"/>
  <c r="J5" i="5" s="1"/>
  <c r="O5" i="5" s="1"/>
  <c r="I5" i="5"/>
  <c r="E199" i="5"/>
  <c r="I199" i="5" s="1"/>
  <c r="I223" i="5"/>
  <c r="J223" i="5"/>
  <c r="J114" i="5"/>
  <c r="I114" i="5"/>
  <c r="I116" i="5" s="1"/>
  <c r="H7" i="5"/>
  <c r="O7" i="5" s="1"/>
  <c r="I269" i="5"/>
  <c r="J269" i="5"/>
  <c r="I320" i="5"/>
  <c r="J320" i="5"/>
  <c r="J390" i="5"/>
  <c r="I390" i="5"/>
  <c r="J391" i="5"/>
  <c r="I391" i="5"/>
  <c r="J74" i="5"/>
  <c r="I74" i="5"/>
  <c r="I225" i="5"/>
  <c r="J225" i="5"/>
  <c r="I222" i="5"/>
  <c r="J222" i="5"/>
  <c r="O17" i="5"/>
  <c r="O15" i="5"/>
  <c r="H4" i="5"/>
  <c r="J4" i="5" s="1"/>
  <c r="O4" i="5" s="1"/>
  <c r="J389" i="5"/>
  <c r="I389" i="5"/>
  <c r="J387" i="5"/>
  <c r="I387" i="5"/>
  <c r="I270" i="5"/>
  <c r="J270" i="5"/>
  <c r="J388" i="5"/>
  <c r="I388" i="5"/>
  <c r="I318" i="5"/>
  <c r="J318" i="5"/>
  <c r="I271" i="5"/>
  <c r="J271" i="5"/>
  <c r="E234" i="5"/>
  <c r="I234" i="5" s="1"/>
  <c r="I224" i="5"/>
  <c r="J224" i="5"/>
  <c r="I93" i="5"/>
  <c r="I95" i="5" s="1"/>
  <c r="J93" i="5"/>
  <c r="J191" i="5"/>
  <c r="I191" i="5"/>
  <c r="I321" i="5"/>
  <c r="J321" i="5"/>
  <c r="I326" i="5"/>
  <c r="J326" i="5"/>
  <c r="I267" i="5"/>
  <c r="J267" i="5"/>
  <c r="J29" i="5"/>
  <c r="I31" i="5"/>
  <c r="E50" i="5"/>
  <c r="I50" i="5" s="1"/>
  <c r="I59" i="5" s="1"/>
  <c r="J162" i="5"/>
  <c r="I162" i="5"/>
  <c r="I164" i="5" s="1"/>
  <c r="J383" i="5"/>
  <c r="I383" i="5"/>
  <c r="J386" i="5"/>
  <c r="I386" i="5"/>
  <c r="J384" i="5"/>
  <c r="I384" i="5"/>
  <c r="I325" i="5"/>
  <c r="J325" i="5"/>
  <c r="I266" i="5"/>
  <c r="J266" i="5"/>
  <c r="I263" i="5"/>
  <c r="J263" i="5"/>
  <c r="I324" i="5"/>
  <c r="J324" i="5"/>
  <c r="J189" i="5"/>
  <c r="I189" i="5"/>
  <c r="E5" i="5"/>
  <c r="I228" i="1"/>
  <c r="J133" i="1"/>
  <c r="E133" i="1"/>
  <c r="G133" i="1" s="1"/>
  <c r="I133" i="1" s="1"/>
  <c r="J130" i="1"/>
  <c r="E130" i="1"/>
  <c r="G130" i="1" s="1"/>
  <c r="I130" i="1" s="1"/>
  <c r="E131" i="1"/>
  <c r="G131" i="1" s="1"/>
  <c r="I131" i="1" s="1"/>
  <c r="I162" i="1"/>
  <c r="I164" i="1" s="1"/>
  <c r="E170" i="1"/>
  <c r="G170" i="1" s="1"/>
  <c r="I170" i="1" s="1"/>
  <c r="I193" i="1" s="1"/>
  <c r="E145" i="1"/>
  <c r="G145" i="1" s="1"/>
  <c r="I145" i="1" s="1"/>
  <c r="D121" i="1"/>
  <c r="E121" i="1"/>
  <c r="G121" i="1" s="1"/>
  <c r="I121" i="1" s="1"/>
  <c r="O15" i="1"/>
  <c r="O17" i="1"/>
  <c r="E113" i="1"/>
  <c r="E103" i="1"/>
  <c r="H114" i="1"/>
  <c r="J114" i="1" s="1"/>
  <c r="E105" i="1"/>
  <c r="E107" i="1"/>
  <c r="E114" i="1"/>
  <c r="E115" i="1"/>
  <c r="E111" i="1"/>
  <c r="E108" i="1"/>
  <c r="E112" i="1"/>
  <c r="E110" i="1"/>
  <c r="E109" i="1"/>
  <c r="E106" i="1"/>
  <c r="E104" i="1"/>
  <c r="E102" i="1"/>
  <c r="E100" i="1"/>
  <c r="D100" i="1"/>
  <c r="E85" i="1"/>
  <c r="H93" i="1"/>
  <c r="E88" i="1"/>
  <c r="E93" i="1"/>
  <c r="G93" i="1" s="1"/>
  <c r="E90" i="1"/>
  <c r="E87" i="1"/>
  <c r="E89" i="1"/>
  <c r="E91" i="1"/>
  <c r="E92" i="1"/>
  <c r="E83" i="1"/>
  <c r="E86" i="1"/>
  <c r="E94" i="1"/>
  <c r="E84" i="1"/>
  <c r="D81" i="1"/>
  <c r="E81" i="1"/>
  <c r="G64" i="1"/>
  <c r="I64" i="1" s="1"/>
  <c r="H74" i="1"/>
  <c r="J74" i="1" s="1"/>
  <c r="E66" i="1"/>
  <c r="E71" i="1"/>
  <c r="J71" i="1"/>
  <c r="E67" i="1"/>
  <c r="J67" i="1"/>
  <c r="E73" i="1"/>
  <c r="J73" i="1"/>
  <c r="E69" i="1"/>
  <c r="J69" i="1"/>
  <c r="E75" i="1"/>
  <c r="J75" i="1"/>
  <c r="E72" i="1"/>
  <c r="E68" i="1"/>
  <c r="E74" i="1"/>
  <c r="E70" i="1"/>
  <c r="D64" i="1"/>
  <c r="J64" i="1" s="1"/>
  <c r="J65" i="1"/>
  <c r="J58" i="1"/>
  <c r="O14" i="1" s="1"/>
  <c r="H57" i="1"/>
  <c r="J57" i="1" s="1"/>
  <c r="E55" i="1"/>
  <c r="G55" i="1" s="1"/>
  <c r="I55" i="1" s="1"/>
  <c r="J55" i="1"/>
  <c r="J43" i="1"/>
  <c r="O13" i="1" s="1"/>
  <c r="H42" i="1"/>
  <c r="E51" i="1"/>
  <c r="G51" i="1" s="1"/>
  <c r="I51" i="1" s="1"/>
  <c r="E53" i="1"/>
  <c r="G53" i="1" s="1"/>
  <c r="I53" i="1" s="1"/>
  <c r="E57" i="1"/>
  <c r="G57" i="1" s="1"/>
  <c r="E56" i="1"/>
  <c r="G56" i="1" s="1"/>
  <c r="I56" i="1" s="1"/>
  <c r="E52" i="1"/>
  <c r="G52" i="1" s="1"/>
  <c r="I52" i="1" s="1"/>
  <c r="E58" i="1"/>
  <c r="G58" i="1" s="1"/>
  <c r="I58" i="1" s="1"/>
  <c r="E54" i="1"/>
  <c r="G54" i="1" s="1"/>
  <c r="I54" i="1" s="1"/>
  <c r="E49" i="1"/>
  <c r="D49" i="1"/>
  <c r="J49" i="1" s="1"/>
  <c r="J50" i="1"/>
  <c r="E42" i="1"/>
  <c r="G42" i="1" s="1"/>
  <c r="E40" i="1"/>
  <c r="J40" i="1"/>
  <c r="E38" i="1"/>
  <c r="E43" i="1"/>
  <c r="E41" i="1"/>
  <c r="E39" i="1"/>
  <c r="E36" i="1"/>
  <c r="D36" i="1"/>
  <c r="D19" i="1"/>
  <c r="D17" i="1"/>
  <c r="H5" i="1"/>
  <c r="J5" i="1" s="1"/>
  <c r="O5" i="1" s="1"/>
  <c r="D26" i="1"/>
  <c r="D27" i="1"/>
  <c r="D28" i="1"/>
  <c r="D29" i="1"/>
  <c r="D30" i="1"/>
  <c r="E6" i="1"/>
  <c r="D18" i="1"/>
  <c r="D16" i="1"/>
  <c r="E16" i="1"/>
  <c r="E9" i="1"/>
  <c r="E7" i="1"/>
  <c r="E10" i="1"/>
  <c r="E8" i="1"/>
  <c r="G9" i="1"/>
  <c r="G10" i="1"/>
  <c r="G6" i="1"/>
  <c r="G7" i="1"/>
  <c r="G8" i="1"/>
  <c r="D4" i="1"/>
  <c r="E5" i="1" s="1"/>
  <c r="I328" i="5" l="1"/>
  <c r="I228" i="5"/>
  <c r="I193" i="5"/>
  <c r="I76" i="5"/>
  <c r="I4" i="5"/>
  <c r="I393" i="5"/>
  <c r="I273" i="5"/>
  <c r="I6" i="5"/>
  <c r="I10" i="5"/>
  <c r="I7" i="5"/>
  <c r="J121" i="1"/>
  <c r="E122" i="1"/>
  <c r="G122" i="1" s="1"/>
  <c r="I122" i="1" s="1"/>
  <c r="I139" i="1" s="1"/>
  <c r="G86" i="1"/>
  <c r="I86" i="1" s="1"/>
  <c r="G112" i="1"/>
  <c r="I112" i="1" s="1"/>
  <c r="G81" i="1"/>
  <c r="I81" i="1" s="1"/>
  <c r="G89" i="1"/>
  <c r="I89" i="1" s="1"/>
  <c r="G100" i="1"/>
  <c r="I100" i="1" s="1"/>
  <c r="G111" i="1"/>
  <c r="I111" i="1" s="1"/>
  <c r="G109" i="1"/>
  <c r="I109" i="1" s="1"/>
  <c r="G83" i="1"/>
  <c r="I83" i="1" s="1"/>
  <c r="G115" i="1"/>
  <c r="I115" i="1" s="1"/>
  <c r="G88" i="1"/>
  <c r="I88" i="1" s="1"/>
  <c r="I110" i="1"/>
  <c r="G110" i="1"/>
  <c r="G92" i="1"/>
  <c r="I92" i="1" s="1"/>
  <c r="G103" i="1"/>
  <c r="I103" i="1" s="1"/>
  <c r="G91" i="1"/>
  <c r="I91" i="1" s="1"/>
  <c r="I113" i="1"/>
  <c r="G113" i="1"/>
  <c r="G84" i="1"/>
  <c r="I84" i="1" s="1"/>
  <c r="G90" i="1"/>
  <c r="I90" i="1" s="1"/>
  <c r="G104" i="1"/>
  <c r="I104" i="1" s="1"/>
  <c r="G114" i="1"/>
  <c r="G105" i="1"/>
  <c r="I105" i="1" s="1"/>
  <c r="G85" i="1"/>
  <c r="I85" i="1" s="1"/>
  <c r="G108" i="1"/>
  <c r="I108" i="1" s="1"/>
  <c r="G87" i="1"/>
  <c r="I87" i="1" s="1"/>
  <c r="G102" i="1"/>
  <c r="I102" i="1" s="1"/>
  <c r="G94" i="1"/>
  <c r="I94" i="1" s="1"/>
  <c r="I106" i="1"/>
  <c r="G106" i="1"/>
  <c r="I107" i="1"/>
  <c r="G107" i="1"/>
  <c r="E101" i="1"/>
  <c r="J100" i="1"/>
  <c r="I114" i="1"/>
  <c r="J93" i="1"/>
  <c r="I93" i="1"/>
  <c r="E82" i="1"/>
  <c r="J81" i="1"/>
  <c r="G72" i="1"/>
  <c r="I72" i="1" s="1"/>
  <c r="G67" i="1"/>
  <c r="I67" i="1" s="1"/>
  <c r="G75" i="1"/>
  <c r="I75" i="1" s="1"/>
  <c r="G71" i="1"/>
  <c r="I71" i="1" s="1"/>
  <c r="G68" i="1"/>
  <c r="I68" i="1" s="1"/>
  <c r="G66" i="1"/>
  <c r="I66" i="1" s="1"/>
  <c r="G69" i="1"/>
  <c r="I69" i="1" s="1"/>
  <c r="G70" i="1"/>
  <c r="I70" i="1" s="1"/>
  <c r="G74" i="1"/>
  <c r="I74" i="1" s="1"/>
  <c r="G73" i="1"/>
  <c r="I73" i="1" s="1"/>
  <c r="E65" i="1"/>
  <c r="I57" i="1"/>
  <c r="G49" i="1"/>
  <c r="I49" i="1" s="1"/>
  <c r="E18" i="1"/>
  <c r="G18" i="1" s="1"/>
  <c r="I18" i="1" s="1"/>
  <c r="E50" i="1"/>
  <c r="G41" i="1"/>
  <c r="I41" i="1" s="1"/>
  <c r="G43" i="1"/>
  <c r="I43" i="1" s="1"/>
  <c r="G38" i="1"/>
  <c r="I38" i="1" s="1"/>
  <c r="G39" i="1"/>
  <c r="I39" i="1" s="1"/>
  <c r="G40" i="1"/>
  <c r="I40" i="1" s="1"/>
  <c r="G36" i="1"/>
  <c r="I36" i="1" s="1"/>
  <c r="I42" i="1"/>
  <c r="J42" i="1"/>
  <c r="E37" i="1"/>
  <c r="J36" i="1"/>
  <c r="E30" i="1"/>
  <c r="G30" i="1" s="1"/>
  <c r="I30" i="1" s="1"/>
  <c r="J28" i="1"/>
  <c r="E28" i="1"/>
  <c r="G28" i="1" s="1"/>
  <c r="I28" i="1" s="1"/>
  <c r="J27" i="1"/>
  <c r="E27" i="1"/>
  <c r="G27" i="1" s="1"/>
  <c r="I27" i="1" s="1"/>
  <c r="E29" i="1"/>
  <c r="G29" i="1" s="1"/>
  <c r="J26" i="1"/>
  <c r="E26" i="1"/>
  <c r="G26" i="1" s="1"/>
  <c r="I26" i="1" s="1"/>
  <c r="E19" i="1"/>
  <c r="G19" i="1" s="1"/>
  <c r="J17" i="1"/>
  <c r="E17" i="1"/>
  <c r="J19" i="1"/>
  <c r="O11" i="1" s="1"/>
  <c r="I5" i="1"/>
  <c r="H29" i="1"/>
  <c r="J30" i="1"/>
  <c r="O12" i="1" s="1"/>
  <c r="H9" i="1"/>
  <c r="J9" i="1" s="1"/>
  <c r="O9" i="1" s="1"/>
  <c r="H8" i="1"/>
  <c r="J8" i="1" s="1"/>
  <c r="O8" i="1" s="1"/>
  <c r="H7" i="1"/>
  <c r="J7" i="1" s="1"/>
  <c r="O7" i="1" s="1"/>
  <c r="H10" i="1"/>
  <c r="J10" i="1" s="1"/>
  <c r="O10" i="1" s="1"/>
  <c r="H6" i="1"/>
  <c r="J6" i="1" s="1"/>
  <c r="O6" i="1" s="1"/>
  <c r="G16" i="1"/>
  <c r="J18" i="1"/>
  <c r="J16" i="1"/>
  <c r="G101" i="1" l="1"/>
  <c r="I101" i="1" s="1"/>
  <c r="I116" i="1" s="1"/>
  <c r="G82" i="1"/>
  <c r="I82" i="1" s="1"/>
  <c r="I95" i="1" s="1"/>
  <c r="G65" i="1"/>
  <c r="I65" i="1" s="1"/>
  <c r="I76" i="1" s="1"/>
  <c r="G50" i="1"/>
  <c r="I50" i="1" s="1"/>
  <c r="I59" i="1" s="1"/>
  <c r="G37" i="1"/>
  <c r="I37" i="1" s="1"/>
  <c r="I44" i="1" s="1"/>
  <c r="I10" i="1"/>
  <c r="I6" i="1"/>
  <c r="I9" i="1"/>
  <c r="I8" i="1"/>
  <c r="I7" i="1"/>
  <c r="H4" i="1"/>
  <c r="J4" i="1" s="1"/>
  <c r="O4" i="1" s="1"/>
  <c r="I16" i="1"/>
  <c r="I29" i="1"/>
  <c r="I31" i="1" s="1"/>
  <c r="J29" i="1"/>
  <c r="G17" i="1"/>
  <c r="I17" i="1" s="1"/>
  <c r="I19" i="1"/>
  <c r="I4" i="1" l="1"/>
  <c r="I20" i="1"/>
  <c r="H263" i="1"/>
  <c r="H264" i="1"/>
  <c r="I264" i="1" l="1"/>
  <c r="J264" i="1"/>
  <c r="I263" i="1"/>
  <c r="I273" i="1" s="1"/>
  <c r="J263" i="1"/>
  <c r="H318" i="1"/>
  <c r="J318" i="1" s="1"/>
  <c r="H326" i="1"/>
  <c r="I326" i="1" s="1"/>
  <c r="H322" i="1"/>
  <c r="J322" i="1" s="1"/>
  <c r="H325" i="1"/>
  <c r="J325" i="1" s="1"/>
  <c r="H321" i="1"/>
  <c r="I321" i="1" s="1"/>
  <c r="H323" i="1"/>
  <c r="I323" i="1" s="1"/>
  <c r="H319" i="1"/>
  <c r="I319" i="1" s="1"/>
  <c r="H324" i="1"/>
  <c r="J324" i="1" s="1"/>
  <c r="H320" i="1"/>
  <c r="J320" i="1" s="1"/>
  <c r="I327" i="1"/>
  <c r="J327" i="1"/>
  <c r="J323" i="1" l="1"/>
  <c r="J319" i="1"/>
  <c r="J321" i="1"/>
  <c r="I324" i="1"/>
  <c r="I325" i="1"/>
  <c r="J326" i="1"/>
  <c r="I320" i="1"/>
  <c r="I318" i="1"/>
  <c r="I328" i="1" s="1"/>
  <c r="I322" i="1"/>
</calcChain>
</file>

<file path=xl/sharedStrings.xml><?xml version="1.0" encoding="utf-8"?>
<sst xmlns="http://schemas.openxmlformats.org/spreadsheetml/2006/main" count="516" uniqueCount="106">
  <si>
    <t>Pago swap</t>
  </si>
  <si>
    <t>Fecha valorización</t>
  </si>
  <si>
    <t>1M</t>
  </si>
  <si>
    <t>2M</t>
  </si>
  <si>
    <t>3M</t>
  </si>
  <si>
    <t>6M</t>
  </si>
  <si>
    <t>9M</t>
  </si>
  <si>
    <t>1Y</t>
  </si>
  <si>
    <t>1.5Y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</si>
  <si>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</si>
  <si>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</si>
  <si>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</si>
  <si>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</si>
  <si>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</si>
  <si>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</si>
  <si>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</si>
  <si>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</si>
  <si>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</si>
  <si>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</si>
  <si>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</si>
  <si>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</si>
  <si>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</si>
  <si>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</si>
  <si>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Unidades de año</t>
  </si>
  <si>
    <t>Fecha Pagos</t>
  </si>
  <si>
    <t>Plazo ACT/360</t>
  </si>
  <si>
    <t>Nocional</t>
  </si>
  <si>
    <t>Tenor</t>
  </si>
  <si>
    <t>Bid</t>
  </si>
  <si>
    <t>Mid</t>
  </si>
  <si>
    <t>Offer</t>
  </si>
  <si>
    <t>Factor de descuento</t>
  </si>
  <si>
    <t>VP parte fija</t>
  </si>
  <si>
    <t>Tasa Cero ACT 360</t>
  </si>
  <si>
    <t>Swap a 2 años</t>
  </si>
  <si>
    <t>(pagos semianuales)</t>
  </si>
  <si>
    <t>Plazo pago</t>
  </si>
  <si>
    <t>Fecha pagos</t>
  </si>
  <si>
    <t>Unidades de años</t>
  </si>
  <si>
    <t>Delta Años (no usado en plazo &lt; 1.5Y)</t>
  </si>
  <si>
    <t>Amortización</t>
  </si>
  <si>
    <t>Delta Años (Periodo interés)</t>
  </si>
  <si>
    <t>Factor de Descuento</t>
  </si>
  <si>
    <t>Tasa cero</t>
  </si>
  <si>
    <t>Swap a 3 años</t>
  </si>
  <si>
    <t>Swap a 4 años</t>
  </si>
  <si>
    <t>Swap a 5 años</t>
  </si>
  <si>
    <t>Swap a 6 años</t>
  </si>
  <si>
    <t>Plazo</t>
  </si>
  <si>
    <t>Swap a 7 años</t>
  </si>
  <si>
    <t>Swap a 8 años</t>
  </si>
  <si>
    <t>Swap a 9 años</t>
  </si>
  <si>
    <t>Swap a 10 años</t>
  </si>
  <si>
    <t>Swap a 12 años</t>
  </si>
  <si>
    <t>Swap a 15 años</t>
  </si>
  <si>
    <t>Swap a 20 años</t>
  </si>
  <si>
    <t>Swap a 25 años</t>
  </si>
  <si>
    <t>Swap a 30 años</t>
  </si>
  <si>
    <t>3M (Jun)</t>
  </si>
  <si>
    <t>6M (Sep)</t>
  </si>
  <si>
    <t>9M (Dec)</t>
  </si>
  <si>
    <t>1Y (Mar)</t>
  </si>
  <si>
    <t>1.5Y (Sep)</t>
  </si>
  <si>
    <t>Tasa fija</t>
  </si>
  <si>
    <t>T1</t>
  </si>
  <si>
    <t>T2</t>
  </si>
  <si>
    <t>Tasa T1</t>
  </si>
  <si>
    <t>Tasa T2</t>
  </si>
  <si>
    <t>Valor FRA</t>
  </si>
  <si>
    <t>ΔT0,T1 ACTUAL 360</t>
  </si>
  <si>
    <t>ΔT0,T2 ACTUAL 360</t>
  </si>
  <si>
    <t>DF T1 con interpolación</t>
  </si>
  <si>
    <t>DF T2 con interpolación</t>
  </si>
  <si>
    <t>1.2) Se asume que los swaps de la Preg. 1, parten desde t+2.</t>
  </si>
  <si>
    <t>1.1) La fecha de valorización se especifíca en la primera fila de las hojas "Cálculo Curva…".</t>
  </si>
  <si>
    <t>Fecha de valorización (T0)</t>
  </si>
  <si>
    <t>1.2) Se realizó interpolación lineal del Factor de Descuento para poder encontrar las tasas.</t>
  </si>
  <si>
    <t>2.1.1)  Para calcular el valor del FRA se imputó la siguiente ecuación:</t>
  </si>
  <si>
    <t>2.1.2) Se realizó interpolación lineal del Factor de Descuento para poder encontrar las tasas 𝑟_(Δ𝑇0,𝑇1) y 𝑟_(Δ𝑇0,𝑇2).</t>
  </si>
  <si>
    <t>2.1.3) Se usó convención ACT/360 para calcular Δ𝑇0,𝑇1, Δ𝑇0,𝑇2 y Δ𝑇1,𝑇2.</t>
  </si>
  <si>
    <t>Flujos Swap</t>
  </si>
  <si>
    <t>Fecha de inicio del swap</t>
  </si>
  <si>
    <t>Flujo</t>
  </si>
  <si>
    <t>Tasa fija Swap</t>
  </si>
  <si>
    <t>Δ𝑇1,𝑇i No ACT/360</t>
  </si>
  <si>
    <t>VP parte fija Swap</t>
  </si>
  <si>
    <t>Factor de Descuento al 14/04/2024</t>
  </si>
  <si>
    <t>VP parte flotante</t>
  </si>
  <si>
    <t>VP flujo al 14/04/2024</t>
  </si>
  <si>
    <t>Datos VP parte flotante</t>
  </si>
  <si>
    <t>Δ𝑇0,𝑇1 ACT/360</t>
  </si>
  <si>
    <t>Valor Swap al 14/04/2024</t>
  </si>
  <si>
    <t>3.1) Para calcular el valor del forward starting swap se imputó la siguiente ecuación:</t>
  </si>
  <si>
    <t>donde</t>
  </si>
  <si>
    <t>y</t>
  </si>
  <si>
    <t>,</t>
  </si>
  <si>
    <t>T1 =</t>
  </si>
  <si>
    <t>T2 =</t>
  </si>
  <si>
    <t>T0 =</t>
  </si>
  <si>
    <t>T3 =</t>
  </si>
  <si>
    <t>T4 =</t>
  </si>
  <si>
    <t>T5 =</t>
  </si>
  <si>
    <t>donde 𝑟_Δ son las tasas cero cupón.</t>
  </si>
  <si>
    <t>3.2) Se realizó interpolación lineal del Factor de Descuento para poder encontrar las tasas cero asociadas a cada fecha Ti, respecto al 14/04/2024.</t>
  </si>
  <si>
    <t>Total = Nocional x (1 + Tasa tabla x Plazo ACT/360)</t>
  </si>
  <si>
    <t>Interés = Tasa tabla x Plazo ACT/360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</si>
</sst>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00000"/>
    <numFmt numFmtId="166" formatCode="0.0000"/>
    <numFmt numFmtId="167" formatCode="0.00000"/>
    <numFmt numFmtId="168" formatCode="[$$-409]#,##0.0000"/>
    <numFmt numFmtId="169" formatCode="[$$-409]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4" fillId="0" borderId="0" xfId="0" applyFont="1"/>
    <xf numFmtId="164" fontId="2" fillId="0" borderId="0" xfId="1" applyNumberFormat="1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2" fillId="0" borderId="0" xfId="1" applyNumberFormat="1" applyFont="1"/>
    <xf numFmtId="168" fontId="0" fillId="0" borderId="0" xfId="0" applyNumberFormat="1"/>
    <xf numFmtId="10" fontId="0" fillId="0" borderId="0" xfId="0" applyNumberFormat="1"/>
    <xf numFmtId="169" fontId="0" fillId="0" borderId="0" xfId="0" applyNumberFormat="1"/>
    <xf numFmtId="16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cero pesos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'Cálculo Curva Cero Pesos'!$O$3</c:f>
              <c:strCache>
                <c:ptCount val="1"/>
                <c:pt idx="0">
                  <c:v>Tasa cero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'Cálculo Curva Cero Pesos'!$N$4:$N$24</c:f>
              <c:numCache>
                <c:formatCode>General</c:formatCode>
                <c:ptCount val="2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'Cálculo Curva Cero Pesos'!$O$4:$O$24</c:f>
              <c:numCache>
                <c:formatCode>0.000%</c:formatCode>
                <c:ptCount val="21"/>
                <c:pt idx="0">
                  <c:v>7.0944299836144253E-2</c:v>
                </c:pt>
                <c:pt idx="1">
                  <c:v>6.9248632700692037E-2</c:v>
                </c:pt>
                <c:pt idx="2">
                  <c:v>6.6425901583195168E-2</c:v>
                </c:pt>
                <c:pt idx="3">
                  <c:v>6.0051358994559045E-2</c:v>
                </c:pt>
                <c:pt idx="4">
                  <c:v>5.7016255556164408E-2</c:v>
                </c:pt>
                <c:pt idx="5">
                  <c:v>5.497113508809659E-2</c:v>
                </c:pt>
                <c:pt idx="6">
                  <c:v>5.2479125027685258E-2</c:v>
                </c:pt>
                <c:pt idx="7">
                  <c:v>5.1679941960715903E-2</c:v>
                </c:pt>
                <c:pt idx="8">
                  <c:v>5.0858935509587644E-2</c:v>
                </c:pt>
                <c:pt idx="9">
                  <c:v>5.0889568782717776E-2</c:v>
                </c:pt>
                <c:pt idx="10">
                  <c:v>5.0511249944210412E-2</c:v>
                </c:pt>
                <c:pt idx="11">
                  <c:v>5.12769964386115E-2</c:v>
                </c:pt>
                <c:pt idx="12">
                  <c:v>5.0954649734858526E-2</c:v>
                </c:pt>
                <c:pt idx="13">
                  <c:v>5.12769964386115E-2</c:v>
                </c:pt>
                <c:pt idx="14">
                  <c:v>5.1590259559592955E-2</c:v>
                </c:pt>
                <c:pt idx="15">
                  <c:v>5.2433578335127295E-2</c:v>
                </c:pt>
                <c:pt idx="16">
                  <c:v>5.3487445672407485E-2</c:v>
                </c:pt>
                <c:pt idx="17">
                  <c:v>5.3406640483834922E-2</c:v>
                </c:pt>
                <c:pt idx="18">
                  <c:v>5.3376057304748592E-2</c:v>
                </c:pt>
                <c:pt idx="19">
                  <c:v>5.3357726903546565E-2</c:v>
                </c:pt>
                <c:pt idx="20">
                  <c:v>5.3345505140688143E-2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9-4BE3-BF22-BA5F306E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6815"/>
        <c:axId val="350885455"/>
      </c:scatterChart>
      <c:valAx>
        <c:axId val="3508768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885455"/>
        <c:crosses val="autoZero"/>
        <c:crossBetween val="midCat"/>
      </c:valAx>
      <c:valAx>
        <c:axId val="35088545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anualizada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8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cero 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'Cálculo Curva Cero UF'!$O$3</c:f>
              <c:strCache>
                <c:ptCount val="1"/>
                <c:pt idx="0">
                  <c:v>Tasa cero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'Cálculo Curva Cero UF'!$N$4:$N$24</c:f>
              <c:numCache>
                <c:formatCode>General</c:formatCode>
                <c:ptCount val="2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'Cálculo Curva Cero UF'!$O$4:$O$24</c:f>
              <c:numCache>
                <c:formatCode>0.000%</c:formatCode>
                <c:ptCount val="21"/>
                <c:pt idx="0">
                  <c:v>1.8148330568512616E-2</c:v>
                </c:pt>
                <c:pt idx="1">
                  <c:v>2.4238839046305083E-2</c:v>
                </c:pt>
                <c:pt idx="2">
                  <c:v>2.0656358015615384E-2</c:v>
                </c:pt>
                <c:pt idx="3">
                  <c:v>2.2825217853303048E-2</c:v>
                </c:pt>
                <c:pt idx="4">
                  <c:v>2.3663935009641479E-2</c:v>
                </c:pt>
                <c:pt idx="5">
                  <c:v>2.1345600801821352E-2</c:v>
                </c:pt>
                <c:pt idx="6">
                  <c:v>2.0192739655148007E-2</c:v>
                </c:pt>
                <c:pt idx="7">
                  <c:v>2.0340224408298635E-2</c:v>
                </c:pt>
                <c:pt idx="8">
                  <c:v>2.0395553966489288E-2</c:v>
                </c:pt>
                <c:pt idx="9">
                  <c:v>2.0605531273894639E-2</c:v>
                </c:pt>
                <c:pt idx="10">
                  <c:v>2.0499936176433087E-2</c:v>
                </c:pt>
                <c:pt idx="11">
                  <c:v>2.0866950223036085E-2</c:v>
                </c:pt>
                <c:pt idx="12">
                  <c:v>2.1033614266791512E-2</c:v>
                </c:pt>
                <c:pt idx="13">
                  <c:v>2.0866950223036085E-2</c:v>
                </c:pt>
                <c:pt idx="14">
                  <c:v>2.0645861558836298E-2</c:v>
                </c:pt>
                <c:pt idx="15">
                  <c:v>2.0369459188657846E-2</c:v>
                </c:pt>
                <c:pt idx="16">
                  <c:v>1.8379966184065566E-2</c:v>
                </c:pt>
                <c:pt idx="17">
                  <c:v>1.8421758414699285E-2</c:v>
                </c:pt>
                <c:pt idx="18">
                  <c:v>1.8465772292683313E-2</c:v>
                </c:pt>
                <c:pt idx="19">
                  <c:v>1.8492174641113968E-2</c:v>
                </c:pt>
                <c:pt idx="20">
                  <c:v>1.8509778996246729E-2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D-4D3E-9062-4A3080C4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6815"/>
        <c:axId val="350885455"/>
      </c:scatterChart>
      <c:valAx>
        <c:axId val="3508768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885455"/>
        <c:crosses val="autoZero"/>
        <c:crossBetween val="midCat"/>
      </c:valAx>
      <c:valAx>
        <c:axId val="350885455"/>
        <c:scaling>
          <c:orientation val="minMax"/>
          <c:min val="1.7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anualizada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8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177800</xdr:rowOff>
    </xdr:from>
    <xdr:ext cx="4159249" cy="3897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90ACE0B-6C7F-FF1E-3335-11AA8F08A28D}"/>
                </a:ext>
              </a:extLst>
            </xdr:cNvPr>
            <xdr:cNvSpPr txBox="1"/>
          </xdr:nvSpPr>
          <xdr:spPr>
            <a:xfrm>
              <a:off x="0" y="914400"/>
              <a:ext cx="4159249" cy="3897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𝐹𝑅𝐴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𝑈𝐹</m:t>
                        </m:r>
                      </m:sub>
                    </m:sSub>
                    <m:r>
                      <a:rPr lang="es-CL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d>
                          <m: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𝐹𝑅𝐴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90ACE0B-6C7F-FF1E-3335-11AA8F08A28D}"/>
                </a:ext>
              </a:extLst>
            </xdr:cNvPr>
            <xdr:cNvSpPr txBox="1"/>
          </xdr:nvSpPr>
          <xdr:spPr>
            <a:xfrm>
              <a:off x="0" y="914400"/>
              <a:ext cx="4159249" cy="3897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𝑉_(𝐹𝑅𝐴 𝑈𝐹)=(−𝑁)/((1+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𝑇0,𝑇1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𝑇0,𝑇1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</a:t>
              </a:r>
              <a:r>
                <a:rPr lang="es-CL" sz="1100" b="0" i="0">
                  <a:latin typeface="Cambria Math" panose="02040503050406030204" pitchFamily="18" charset="0"/>
                </a:rPr>
                <a:t>+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(1+𝑟_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𝐹𝑅𝐴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))/((1+𝑟_(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0</xdr:col>
      <xdr:colOff>1</xdr:colOff>
      <xdr:row>16</xdr:row>
      <xdr:rowOff>171450</xdr:rowOff>
    </xdr:from>
    <xdr:ext cx="26098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6819E2D-80D6-473A-B2B9-528E6BD577AE}"/>
                </a:ext>
              </a:extLst>
            </xdr:cNvPr>
            <xdr:cNvSpPr txBox="1"/>
          </xdr:nvSpPr>
          <xdr:spPr>
            <a:xfrm>
              <a:off x="1" y="2565400"/>
              <a:ext cx="26098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𝑆𝑊𝐴𝑃</m:t>
                        </m:r>
                      </m:sub>
                    </m:sSub>
                    <m:r>
                      <a:rPr lang="es-CL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𝑓𝑖𝑥𝑒𝑑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𝑓𝑙𝑜𝑎𝑡𝑖𝑛𝑔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6819E2D-80D6-473A-B2B9-528E6BD577AE}"/>
                </a:ext>
              </a:extLst>
            </xdr:cNvPr>
            <xdr:cNvSpPr txBox="1"/>
          </xdr:nvSpPr>
          <xdr:spPr>
            <a:xfrm>
              <a:off x="1" y="2565400"/>
              <a:ext cx="26098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𝑉_𝑆𝑊𝐴𝑃=𝑉𝑃 𝑓𝑖𝑥𝑒𝑑−𝑉𝑃 𝑓𝑙𝑜𝑎𝑡𝑖𝑛𝑔 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0</xdr:rowOff>
    </xdr:from>
    <xdr:ext cx="7550150" cy="385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554C39-CC65-493E-86BC-5589C191D8E4}"/>
                </a:ext>
              </a:extLst>
            </xdr:cNvPr>
            <xdr:cNvSpPr txBox="1"/>
          </xdr:nvSpPr>
          <xdr:spPr>
            <a:xfrm>
              <a:off x="0" y="3314700"/>
              <a:ext cx="755015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𝑓𝑖𝑥𝑒𝑑</m:t>
                    </m:r>
                    <m:r>
                      <a:rPr lang="es-CL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𝑆𝑊𝐴𝑃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𝑆𝑊𝐴𝑃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𝑆𝑊𝐴𝑃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  <m: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𝑆𝑊𝐴𝑃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554C39-CC65-493E-86BC-5589C191D8E4}"/>
                </a:ext>
              </a:extLst>
            </xdr:cNvPr>
            <xdr:cNvSpPr txBox="1"/>
          </xdr:nvSpPr>
          <xdr:spPr>
            <a:xfrm>
              <a:off x="0" y="3314700"/>
              <a:ext cx="755015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𝑉𝑃 𝑓𝑖𝑥𝑒𝑑=(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N∗(𝑟_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𝑆𝑊𝐴𝑃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s-CL" sz="1100" b="0" i="0">
                  <a:latin typeface="Cambria Math" panose="02040503050406030204" pitchFamily="18" charset="0"/>
                </a:rPr>
                <a:t>1+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𝑇0,𝑇2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  )</a:t>
              </a:r>
              <a:r>
                <a:rPr lang="es-CL" sz="1100" b="0" i="0">
                  <a:latin typeface="Cambria Math" panose="02040503050406030204" pitchFamily="18" charset="0"/>
                </a:rPr>
                <a:t>+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(N∗(𝑟_𝑆𝑊𝐴𝑃∗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,𝑇2))/((1+𝑟_(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)+  (N∗(𝑟_𝑆𝑊𝐴𝑃∗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))/((1+𝑟_(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r>
                <a:rPr lang="es-CL" sz="1100" b="0" i="0">
                  <a:latin typeface="Cambria Math" panose="02040503050406030204" pitchFamily="18" charset="0"/>
                </a:rPr>
                <a:t>+ 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(1+𝑟_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𝑆𝑊𝐴𝑃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))/((1+𝑟_(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endParaRPr lang="es-CL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0</xdr:rowOff>
    </xdr:from>
    <xdr:ext cx="2882900" cy="385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B6F043E-41CC-4CE4-AF10-B6D216EABC14}"/>
                </a:ext>
              </a:extLst>
            </xdr:cNvPr>
            <xdr:cNvSpPr txBox="1"/>
          </xdr:nvSpPr>
          <xdr:spPr>
            <a:xfrm>
              <a:off x="0" y="4972050"/>
              <a:ext cx="288290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𝑉𝑃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𝑓𝑙𝑜𝑎𝑡𝑖𝑛𝑔</m:t>
                    </m:r>
                    <m:r>
                      <a:rPr lang="es-CL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C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num>
                      <m:den>
                        <m:d>
                          <m: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L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B6F043E-41CC-4CE4-AF10-B6D216EABC14}"/>
                </a:ext>
              </a:extLst>
            </xdr:cNvPr>
            <xdr:cNvSpPr txBox="1"/>
          </xdr:nvSpPr>
          <xdr:spPr>
            <a:xfrm>
              <a:off x="0" y="4972050"/>
              <a:ext cx="288290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𝑉𝑃 𝑓𝑙𝑜𝑎𝑡𝑖𝑛𝑔=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/((</a:t>
              </a:r>
              <a:r>
                <a:rPr lang="es-CL" sz="1100" b="0" i="0">
                  <a:latin typeface="Cambria Math" panose="02040503050406030204" pitchFamily="18" charset="0"/>
                </a:rPr>
                <a:t>1+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𝑇0,𝑇1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𝑇0,𝑇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  ) 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endParaRPr lang="es-CL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33514</xdr:colOff>
      <xdr:row>1</xdr:row>
      <xdr:rowOff>180622</xdr:rowOff>
    </xdr:from>
    <xdr:to>
      <xdr:col>23</xdr:col>
      <xdr:colOff>345722</xdr:colOff>
      <xdr:row>16</xdr:row>
      <xdr:rowOff>145697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487B7-49D5-C4A5-DA3A-E4FBFD00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33514</xdr:colOff>
      <xdr:row>1</xdr:row>
      <xdr:rowOff>180622</xdr:rowOff>
    </xdr:from>
    <xdr:to>
      <xdr:col>23</xdr:col>
      <xdr:colOff>345722</xdr:colOff>
      <xdr:row>16</xdr:row>
      <xdr:rowOff>145697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D6F3C-F0E0-4E7F-8641-99B69995B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A2C3-A422-4EC5-96D1-303ACCE114DF}">
  <dimension ref="A1:B40"/>
  <sheetViews>
    <sheetView showGridLines="0" tabSelected="1" zoomScale="66" workbookViewId="0"/>
  </sheetViews>
  <sheetFormatPr defaultRowHeight="14.5" x14ac:dyDescent="0.35"/>
  <cols>
    <col min="2" max="2" width="10.08984375" bestFit="1" customWidth="1"/>
  </cols>
  <sheetData>
    <row r="1" spans="1:1" x14ac:dyDescent="0.35">
      <c r="A1" t="s">
        <v>74</v>
      </c>
    </row>
    <row r="2" spans="1:1" x14ac:dyDescent="0.35">
      <c r="A2" t="s">
        <v>73</v>
      </c>
    </row>
    <row r="3" spans="1:1" x14ac:dyDescent="0.35">
      <c r="A3" t="s">
        <v>76</v>
      </c>
    </row>
    <row r="5" spans="1:1" x14ac:dyDescent="0.35">
      <c r="A5" t="s">
        <v>77</v>
      </c>
    </row>
    <row r="11" spans="1:1" x14ac:dyDescent="0.35">
      <c r="A11" t="s">
        <v>102</v>
      </c>
    </row>
    <row r="13" spans="1:1" x14ac:dyDescent="0.35">
      <c r="A13" t="s">
        <v>78</v>
      </c>
    </row>
    <row r="14" spans="1:1" x14ac:dyDescent="0.35">
      <c r="A14" t="s">
        <v>79</v>
      </c>
    </row>
    <row r="16" spans="1:1" x14ac:dyDescent="0.35">
      <c r="A16" t="s">
        <v>92</v>
      </c>
    </row>
    <row r="21" spans="1:1" x14ac:dyDescent="0.35">
      <c r="A21" t="s">
        <v>93</v>
      </c>
    </row>
    <row r="26" spans="1:1" x14ac:dyDescent="0.35">
      <c r="A26" t="s">
        <v>95</v>
      </c>
    </row>
    <row r="31" spans="1:1" x14ac:dyDescent="0.35">
      <c r="A31" t="s">
        <v>94</v>
      </c>
    </row>
    <row r="33" spans="1:2" x14ac:dyDescent="0.35">
      <c r="A33" t="s">
        <v>98</v>
      </c>
      <c r="B33" s="1">
        <v>45396</v>
      </c>
    </row>
    <row r="34" spans="1:2" x14ac:dyDescent="0.35">
      <c r="A34" t="s">
        <v>96</v>
      </c>
      <c r="B34" s="1">
        <v>45570</v>
      </c>
    </row>
    <row r="35" spans="1:2" x14ac:dyDescent="0.35">
      <c r="A35" t="s">
        <v>97</v>
      </c>
      <c r="B35" s="1">
        <v>45752</v>
      </c>
    </row>
    <row r="36" spans="1:2" x14ac:dyDescent="0.35">
      <c r="A36" t="s">
        <v>99</v>
      </c>
      <c r="B36" s="1">
        <v>45935</v>
      </c>
    </row>
    <row r="37" spans="1:2" x14ac:dyDescent="0.35">
      <c r="A37" t="s">
        <v>100</v>
      </c>
      <c r="B37" s="1">
        <v>46117</v>
      </c>
    </row>
    <row r="38" spans="1:2" x14ac:dyDescent="0.35">
      <c r="A38" t="s">
        <v>101</v>
      </c>
      <c r="B38" s="1">
        <v>46300</v>
      </c>
    </row>
    <row r="40" spans="1:2" x14ac:dyDescent="0.35">
      <c r="A40" t="s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B920-43C0-4BD1-9529-72C2D27A458D}">
  <dimension ref="A1:D22"/>
  <sheetViews>
    <sheetView zoomScale="80" workbookViewId="0"/>
  </sheetViews>
  <sheetFormatPr defaultRowHeight="14.5" x14ac:dyDescent="0.35"/>
  <sheetData>
    <row r="1" spans="1:4" x14ac:dyDescent="0.35">
      <c r="A1" t="s">
        <v>27</v>
      </c>
      <c r="B1" t="s">
        <v>28</v>
      </c>
      <c r="C1" t="s">
        <v>29</v>
      </c>
      <c r="D1" t="s">
        <v>30</v>
      </c>
    </row>
    <row r="2" spans="1:4" x14ac:dyDescent="0.35">
      <c r="A2" t="s">
        <v>2</v>
      </c>
      <c r="B2">
        <v>6.875</v>
      </c>
      <c r="C2">
        <v>6.8849999999999998</v>
      </c>
      <c r="D2">
        <v>6.8949999999999996</v>
      </c>
    </row>
    <row r="3" spans="1:4" x14ac:dyDescent="0.35">
      <c r="A3" t="s">
        <v>3</v>
      </c>
      <c r="B3">
        <v>6.7350000000000003</v>
      </c>
      <c r="C3">
        <v>6.7450000000000001</v>
      </c>
      <c r="D3">
        <v>6.7549999999999999</v>
      </c>
    </row>
    <row r="4" spans="1:4" x14ac:dyDescent="0.35">
      <c r="A4" t="s">
        <v>4</v>
      </c>
      <c r="B4">
        <v>6.4850000000000003</v>
      </c>
      <c r="C4">
        <v>6.4950000000000001</v>
      </c>
      <c r="D4">
        <v>6.5049999999999999</v>
      </c>
    </row>
    <row r="5" spans="1:4" x14ac:dyDescent="0.35">
      <c r="A5" t="s">
        <v>5</v>
      </c>
      <c r="B5">
        <v>5.92</v>
      </c>
      <c r="C5">
        <v>5.93</v>
      </c>
      <c r="D5">
        <v>5.94</v>
      </c>
    </row>
    <row r="6" spans="1:4" x14ac:dyDescent="0.35">
      <c r="A6" t="s">
        <v>6</v>
      </c>
      <c r="B6">
        <v>5.665</v>
      </c>
      <c r="C6">
        <v>5.6749999999999998</v>
      </c>
      <c r="D6">
        <v>5.6849999999999996</v>
      </c>
    </row>
    <row r="7" spans="1:4" x14ac:dyDescent="0.35">
      <c r="A7" t="s">
        <v>7</v>
      </c>
      <c r="B7">
        <v>5.5</v>
      </c>
      <c r="C7">
        <v>5.51</v>
      </c>
      <c r="D7">
        <v>5.52</v>
      </c>
    </row>
    <row r="8" spans="1:4" x14ac:dyDescent="0.35">
      <c r="A8" t="s">
        <v>8</v>
      </c>
      <c r="B8">
        <v>5.32</v>
      </c>
      <c r="C8">
        <v>5.33</v>
      </c>
      <c r="D8">
        <v>5.34</v>
      </c>
    </row>
    <row r="9" spans="1:4" x14ac:dyDescent="0.35">
      <c r="A9" t="s">
        <v>9</v>
      </c>
      <c r="B9">
        <v>5.1050000000000004</v>
      </c>
      <c r="C9">
        <v>5.1150000000000002</v>
      </c>
      <c r="D9">
        <v>5.125</v>
      </c>
    </row>
    <row r="10" spans="1:4" x14ac:dyDescent="0.35">
      <c r="A10" t="s">
        <v>10</v>
      </c>
      <c r="B10">
        <v>5.0250000000000004</v>
      </c>
      <c r="C10">
        <v>5.0350000000000001</v>
      </c>
      <c r="D10">
        <v>5.0449999999999999</v>
      </c>
    </row>
    <row r="11" spans="1:4" x14ac:dyDescent="0.35">
      <c r="A11" t="s">
        <v>11</v>
      </c>
      <c r="B11">
        <v>5</v>
      </c>
      <c r="C11">
        <v>5.01</v>
      </c>
      <c r="D11">
        <v>5.0199999999999996</v>
      </c>
    </row>
    <row r="12" spans="1:4" x14ac:dyDescent="0.35">
      <c r="A12" t="s">
        <v>12</v>
      </c>
      <c r="B12">
        <v>4.99</v>
      </c>
      <c r="C12">
        <v>5</v>
      </c>
      <c r="D12">
        <v>5.01</v>
      </c>
    </row>
    <row r="13" spans="1:4" x14ac:dyDescent="0.35">
      <c r="A13" t="s">
        <v>13</v>
      </c>
      <c r="B13">
        <v>5.0049999999999999</v>
      </c>
      <c r="C13">
        <v>5.0149999999999997</v>
      </c>
      <c r="D13">
        <v>5.0250000000000004</v>
      </c>
    </row>
    <row r="14" spans="1:4" x14ac:dyDescent="0.35">
      <c r="A14" t="s">
        <v>14</v>
      </c>
      <c r="B14">
        <v>5.0250000000000004</v>
      </c>
      <c r="C14">
        <v>5.0350000000000001</v>
      </c>
      <c r="D14">
        <v>5.0449999999999999</v>
      </c>
    </row>
    <row r="15" spans="1:4" x14ac:dyDescent="0.35">
      <c r="A15" t="s">
        <v>15</v>
      </c>
      <c r="B15">
        <v>5.05</v>
      </c>
      <c r="C15">
        <v>5.0599999999999996</v>
      </c>
      <c r="D15">
        <v>5.07</v>
      </c>
    </row>
    <row r="16" spans="1:4" x14ac:dyDescent="0.35">
      <c r="A16" t="s">
        <v>16</v>
      </c>
      <c r="B16">
        <v>5.0750000000000002</v>
      </c>
      <c r="C16">
        <v>5.085</v>
      </c>
      <c r="D16">
        <v>5.0949999999999998</v>
      </c>
    </row>
    <row r="17" spans="1:4" x14ac:dyDescent="0.35">
      <c r="A17" t="s">
        <v>17</v>
      </c>
      <c r="B17">
        <v>5.14</v>
      </c>
      <c r="C17">
        <v>5.15</v>
      </c>
      <c r="D17">
        <v>5.16</v>
      </c>
    </row>
    <row r="18" spans="1:4" x14ac:dyDescent="0.35">
      <c r="A18" t="s">
        <v>18</v>
      </c>
      <c r="B18">
        <v>5.22</v>
      </c>
      <c r="C18">
        <v>5.23</v>
      </c>
      <c r="D18">
        <v>5.24</v>
      </c>
    </row>
    <row r="19" spans="1:4" x14ac:dyDescent="0.35">
      <c r="A19" t="s">
        <v>19</v>
      </c>
      <c r="B19">
        <v>5.3049999999999997</v>
      </c>
      <c r="C19">
        <v>5.3150000000000004</v>
      </c>
      <c r="D19">
        <v>5.3250000000000002</v>
      </c>
    </row>
    <row r="20" spans="1:4" x14ac:dyDescent="0.35">
      <c r="A20" t="s">
        <v>20</v>
      </c>
      <c r="B20">
        <v>5.38</v>
      </c>
      <c r="C20">
        <v>5.39</v>
      </c>
      <c r="D20">
        <v>5.4</v>
      </c>
    </row>
    <row r="21" spans="1:4" x14ac:dyDescent="0.35">
      <c r="A21" t="s">
        <v>21</v>
      </c>
      <c r="B21">
        <v>5.4</v>
      </c>
      <c r="C21">
        <v>5.41</v>
      </c>
      <c r="D21">
        <v>5.42</v>
      </c>
    </row>
    <row r="22" spans="1:4" x14ac:dyDescent="0.35">
      <c r="A22" t="s">
        <v>22</v>
      </c>
      <c r="B22">
        <v>5.39</v>
      </c>
      <c r="C22">
        <v>5.4</v>
      </c>
      <c r="D22">
        <v>5.41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6134-B7EC-409B-A7C0-3F5D0F722E66}">
  <dimension ref="A1:O393"/>
  <sheetViews>
    <sheetView zoomScale="35" workbookViewId="0">
      <selection activeCell="M3" sqref="M3"/>
    </sheetView>
  </sheetViews>
  <sheetFormatPr defaultRowHeight="14.5" x14ac:dyDescent="0.35"/>
  <cols>
    <col min="1" max="1" width="9.54296875" customWidth="1"/>
    <col min="2" max="2" width="14.36328125" bestFit="1" customWidth="1"/>
    <col min="3" max="3" width="11.1796875" bestFit="1" customWidth="1"/>
    <col min="4" max="4" width="12.54296875" bestFit="1" customWidth="1"/>
    <col min="5" max="5" width="31.26953125" bestFit="1" customWidth="1"/>
    <col min="6" max="6" width="11.54296875" bestFit="1" customWidth="1"/>
    <col min="7" max="8" width="41.453125" bestFit="1" customWidth="1"/>
    <col min="9" max="9" width="17.6328125" bestFit="1" customWidth="1"/>
    <col min="10" max="10" width="11.90625" bestFit="1" customWidth="1"/>
    <col min="11" max="11" width="16" style="4" bestFit="1" customWidth="1"/>
  </cols>
  <sheetData>
    <row r="1" spans="1:15" x14ac:dyDescent="0.35">
      <c r="A1" t="s">
        <v>1</v>
      </c>
      <c r="C1" s="1">
        <v>45386</v>
      </c>
    </row>
    <row r="3" spans="1:15" x14ac:dyDescent="0.35">
      <c r="A3" t="s">
        <v>0</v>
      </c>
      <c r="B3" t="s">
        <v>23</v>
      </c>
      <c r="C3" t="s">
        <v>24</v>
      </c>
      <c r="D3" t="s">
        <v>25</v>
      </c>
      <c r="E3" t="s">
        <v>39</v>
      </c>
      <c r="F3" t="s">
        <v>26</v>
      </c>
      <c r="G3" s="5" t="s">
        <v>104</v>
      </c>
      <c r="H3" t="s">
        <v>31</v>
      </c>
      <c r="I3" t="s">
        <v>32</v>
      </c>
      <c r="J3" s="4" t="s">
        <v>33</v>
      </c>
      <c r="K3"/>
      <c r="M3" t="s">
        <v>0</v>
      </c>
      <c r="N3" t="s">
        <v>48</v>
      </c>
      <c r="O3" t="s">
        <v>43</v>
      </c>
    </row>
    <row r="4" spans="1:15" x14ac:dyDescent="0.35">
      <c r="A4" t="s">
        <v>2</v>
      </c>
      <c r="B4">
        <f>1/12</f>
        <v>8.3333333333333329E-2</v>
      </c>
      <c r="C4" s="1">
        <f>+DATE(YEAR($C$1),MONTH($C$1)+B4*12,DAY($C$1)+2)</f>
        <v>45418</v>
      </c>
      <c r="D4">
        <f t="shared" ref="D4:D10" si="0">(C4-$C$1)/360</f>
        <v>8.8888888888888892E-2</v>
      </c>
      <c r="E4" s="6">
        <f>(C4-$C$1)/360</f>
        <v>8.8888888888888892E-2</v>
      </c>
      <c r="F4">
        <v>1</v>
      </c>
      <c r="G4">
        <f>F4*(1+(('Tasas Swap CLP vs Camara'!B2/100)*'Cálculo Curva Cero Pesos'!D4))</f>
        <v>1.0061111111111112</v>
      </c>
      <c r="H4">
        <f>F4/G4</f>
        <v>0.99392600773053552</v>
      </c>
      <c r="I4">
        <f>G4*H4</f>
        <v>1</v>
      </c>
      <c r="J4" s="4">
        <f>+(1/H4)^(1/D4)-1</f>
        <v>7.0944299836144253E-2</v>
      </c>
      <c r="K4"/>
      <c r="M4" t="s">
        <v>2</v>
      </c>
      <c r="N4">
        <f>1/12</f>
        <v>8.3333333333333329E-2</v>
      </c>
      <c r="O4" s="9">
        <f>J4</f>
        <v>7.0944299836144253E-2</v>
      </c>
    </row>
    <row r="5" spans="1:15" x14ac:dyDescent="0.35">
      <c r="A5" t="s">
        <v>3</v>
      </c>
      <c r="B5">
        <f>2/12</f>
        <v>0.16666666666666666</v>
      </c>
      <c r="C5" s="1">
        <f t="shared" ref="C5:C10" si="1">+DATE(YEAR($C$1),MONTH($C$1)+B5*12,DAY($C$1)+2)</f>
        <v>45449</v>
      </c>
      <c r="D5">
        <f t="shared" si="0"/>
        <v>0.17499999999999999</v>
      </c>
      <c r="E5">
        <f>D5-D4</f>
        <v>8.6111111111111097E-2</v>
      </c>
      <c r="F5">
        <v>1</v>
      </c>
      <c r="G5">
        <f>F5*(1+(('Tasas Swap CLP vs Camara'!B3/100)*'Cálculo Curva Cero Pesos'!D5))</f>
        <v>1.0117862500000001</v>
      </c>
      <c r="H5">
        <f t="shared" ref="H5:H10" si="2">F5/G5</f>
        <v>0.98835104746679436</v>
      </c>
      <c r="I5">
        <f t="shared" ref="I5:I10" si="3">G5*H5</f>
        <v>1</v>
      </c>
      <c r="J5" s="4">
        <f t="shared" ref="J5:J10" si="4">+(1/H5)^(1/D5)-1</f>
        <v>6.9248632700692037E-2</v>
      </c>
      <c r="K5"/>
      <c r="M5" t="s">
        <v>3</v>
      </c>
      <c r="N5">
        <f>(1/12)*2</f>
        <v>0.16666666666666666</v>
      </c>
      <c r="O5" s="9">
        <f t="shared" ref="O5:O10" si="5">J5</f>
        <v>6.9248632700692037E-2</v>
      </c>
    </row>
    <row r="6" spans="1:15" x14ac:dyDescent="0.35">
      <c r="A6" t="s">
        <v>4</v>
      </c>
      <c r="B6">
        <f>3/12</f>
        <v>0.25</v>
      </c>
      <c r="C6" s="1">
        <f t="shared" si="1"/>
        <v>45479</v>
      </c>
      <c r="D6">
        <f t="shared" si="0"/>
        <v>0.25833333333333336</v>
      </c>
      <c r="E6">
        <f t="shared" ref="E6:E10" si="6">D6-D5</f>
        <v>8.333333333333337E-2</v>
      </c>
      <c r="F6">
        <v>1</v>
      </c>
      <c r="G6">
        <f>F6*(1+(('Tasas Swap CLP vs Camara'!B4/100)*'Cálculo Curva Cero Pesos'!D6))</f>
        <v>1.0167529166666667</v>
      </c>
      <c r="H6">
        <f t="shared" si="2"/>
        <v>0.98352311914522006</v>
      </c>
      <c r="I6">
        <f t="shared" si="3"/>
        <v>1</v>
      </c>
      <c r="J6" s="4">
        <f t="shared" si="4"/>
        <v>6.6425901583195168E-2</v>
      </c>
      <c r="K6"/>
      <c r="M6" t="s">
        <v>4</v>
      </c>
      <c r="N6">
        <f>(1/12)*3</f>
        <v>0.25</v>
      </c>
      <c r="O6" s="9">
        <f t="shared" si="5"/>
        <v>6.6425901583195168E-2</v>
      </c>
    </row>
    <row r="7" spans="1:15" x14ac:dyDescent="0.35">
      <c r="A7" t="s">
        <v>5</v>
      </c>
      <c r="B7">
        <f>6/12</f>
        <v>0.5</v>
      </c>
      <c r="C7" s="1">
        <f t="shared" si="1"/>
        <v>45571</v>
      </c>
      <c r="D7">
        <f t="shared" si="0"/>
        <v>0.51388888888888884</v>
      </c>
      <c r="E7">
        <f t="shared" si="6"/>
        <v>0.25555555555555548</v>
      </c>
      <c r="F7">
        <v>1</v>
      </c>
      <c r="G7">
        <f>F7*(1+(('Tasas Swap CLP vs Camara'!B5/100)*'Cálculo Curva Cero Pesos'!D7))</f>
        <v>1.0304222222222221</v>
      </c>
      <c r="H7">
        <f t="shared" si="2"/>
        <v>0.97047596454527818</v>
      </c>
      <c r="I7">
        <f t="shared" si="3"/>
        <v>1</v>
      </c>
      <c r="J7" s="4">
        <f t="shared" si="4"/>
        <v>6.0051358994559045E-2</v>
      </c>
      <c r="K7"/>
      <c r="M7" t="s">
        <v>5</v>
      </c>
      <c r="N7">
        <f>(1/12)*6</f>
        <v>0.5</v>
      </c>
      <c r="O7" s="9">
        <f t="shared" si="5"/>
        <v>6.0051358994559045E-2</v>
      </c>
    </row>
    <row r="8" spans="1:15" x14ac:dyDescent="0.35">
      <c r="A8" t="s">
        <v>6</v>
      </c>
      <c r="B8">
        <f>9/12</f>
        <v>0.75</v>
      </c>
      <c r="C8" s="1">
        <f t="shared" si="1"/>
        <v>45663</v>
      </c>
      <c r="D8">
        <f t="shared" si="0"/>
        <v>0.76944444444444449</v>
      </c>
      <c r="E8">
        <f t="shared" si="6"/>
        <v>0.25555555555555565</v>
      </c>
      <c r="F8">
        <v>1</v>
      </c>
      <c r="G8">
        <f>F8*(1+(('Tasas Swap CLP vs Camara'!B6/100)*'Cálculo Curva Cero Pesos'!D8))</f>
        <v>1.0435890277777777</v>
      </c>
      <c r="H8">
        <f t="shared" si="2"/>
        <v>0.95823161549465852</v>
      </c>
      <c r="I8">
        <f t="shared" si="3"/>
        <v>1</v>
      </c>
      <c r="J8" s="4">
        <f t="shared" si="4"/>
        <v>5.7016255556164408E-2</v>
      </c>
      <c r="K8"/>
      <c r="M8" t="s">
        <v>6</v>
      </c>
      <c r="N8">
        <f>(1/12)*9</f>
        <v>0.75</v>
      </c>
      <c r="O8" s="9">
        <f t="shared" si="5"/>
        <v>5.7016255556164408E-2</v>
      </c>
    </row>
    <row r="9" spans="1:15" x14ac:dyDescent="0.35">
      <c r="A9" t="s">
        <v>7</v>
      </c>
      <c r="B9">
        <v>1</v>
      </c>
      <c r="C9" s="1">
        <f t="shared" si="1"/>
        <v>45753</v>
      </c>
      <c r="D9">
        <f t="shared" si="0"/>
        <v>1.0194444444444444</v>
      </c>
      <c r="E9" s="6">
        <f t="shared" si="6"/>
        <v>0.24999999999999989</v>
      </c>
      <c r="F9">
        <v>1</v>
      </c>
      <c r="G9">
        <f>F9*(1+(('Tasas Swap CLP vs Camara'!B7/100)*'Cálculo Curva Cero Pesos'!D9))</f>
        <v>1.0560694444444445</v>
      </c>
      <c r="H9">
        <f t="shared" si="2"/>
        <v>0.94690742664755312</v>
      </c>
      <c r="I9">
        <f t="shared" si="3"/>
        <v>1</v>
      </c>
      <c r="J9" s="4">
        <f t="shared" si="4"/>
        <v>5.497113508809659E-2</v>
      </c>
      <c r="K9"/>
      <c r="M9" t="s">
        <v>7</v>
      </c>
      <c r="N9">
        <f>1</f>
        <v>1</v>
      </c>
      <c r="O9" s="9">
        <f t="shared" si="5"/>
        <v>5.497113508809659E-2</v>
      </c>
    </row>
    <row r="10" spans="1:15" x14ac:dyDescent="0.35">
      <c r="A10" t="s">
        <v>8</v>
      </c>
      <c r="B10">
        <v>1.5</v>
      </c>
      <c r="C10" s="1">
        <f t="shared" si="1"/>
        <v>45936</v>
      </c>
      <c r="D10">
        <f t="shared" si="0"/>
        <v>1.5277777777777777</v>
      </c>
      <c r="E10">
        <f t="shared" si="6"/>
        <v>0.5083333333333333</v>
      </c>
      <c r="F10">
        <v>1</v>
      </c>
      <c r="G10">
        <f>F10*(1+(('Tasas Swap CLP vs Camara'!B8/100)*'Cálculo Curva Cero Pesos'!D10))</f>
        <v>1.0812777777777778</v>
      </c>
      <c r="H10">
        <f t="shared" si="2"/>
        <v>0.9248317320043159</v>
      </c>
      <c r="I10">
        <f t="shared" si="3"/>
        <v>1</v>
      </c>
      <c r="J10" s="4">
        <f t="shared" si="4"/>
        <v>5.2479125027685258E-2</v>
      </c>
      <c r="K10"/>
      <c r="M10" t="s">
        <v>8</v>
      </c>
      <c r="N10">
        <v>1.5</v>
      </c>
      <c r="O10" s="9">
        <f t="shared" si="5"/>
        <v>5.2479125027685258E-2</v>
      </c>
    </row>
    <row r="11" spans="1:15" x14ac:dyDescent="0.35">
      <c r="A11" s="2"/>
      <c r="B11" s="2"/>
      <c r="C11" s="3"/>
      <c r="M11" s="2" t="s">
        <v>9</v>
      </c>
      <c r="N11" s="2">
        <v>2</v>
      </c>
      <c r="O11" s="9">
        <f>J19</f>
        <v>5.1679941960715903E-2</v>
      </c>
    </row>
    <row r="12" spans="1:15" x14ac:dyDescent="0.35">
      <c r="A12" s="2"/>
      <c r="B12" s="2"/>
      <c r="C12" s="3"/>
      <c r="M12" s="2" t="s">
        <v>10</v>
      </c>
      <c r="N12" s="2">
        <v>3</v>
      </c>
      <c r="O12" s="9">
        <f>J30</f>
        <v>5.0858935509587644E-2</v>
      </c>
    </row>
    <row r="13" spans="1:15" x14ac:dyDescent="0.35">
      <c r="M13" s="2" t="s">
        <v>11</v>
      </c>
      <c r="N13" s="2">
        <v>4</v>
      </c>
      <c r="O13" s="9">
        <f>J43</f>
        <v>5.0889568782717776E-2</v>
      </c>
    </row>
    <row r="14" spans="1:15" x14ac:dyDescent="0.35">
      <c r="B14" t="s">
        <v>34</v>
      </c>
      <c r="C14" t="s">
        <v>35</v>
      </c>
      <c r="M14" s="2" t="s">
        <v>12</v>
      </c>
      <c r="N14" s="2">
        <v>5</v>
      </c>
      <c r="O14" s="9">
        <f>J58</f>
        <v>5.0511249944210412E-2</v>
      </c>
    </row>
    <row r="15" spans="1:15" x14ac:dyDescent="0.35">
      <c r="A15" s="5" t="s">
        <v>36</v>
      </c>
      <c r="B15" t="s">
        <v>38</v>
      </c>
      <c r="C15" t="s">
        <v>37</v>
      </c>
      <c r="D15" t="s">
        <v>25</v>
      </c>
      <c r="E15" t="s">
        <v>41</v>
      </c>
      <c r="F15" t="s">
        <v>40</v>
      </c>
      <c r="G15" s="5" t="s">
        <v>105</v>
      </c>
      <c r="H15" t="s">
        <v>42</v>
      </c>
      <c r="I15" t="s">
        <v>32</v>
      </c>
      <c r="J15" s="4" t="s">
        <v>33</v>
      </c>
      <c r="M15" s="2" t="s">
        <v>13</v>
      </c>
      <c r="N15" s="2">
        <v>6</v>
      </c>
      <c r="O15" s="9">
        <f>J115</f>
        <v>5.12769964386115E-2</v>
      </c>
    </row>
    <row r="16" spans="1:15" x14ac:dyDescent="0.35">
      <c r="A16">
        <v>0.5</v>
      </c>
      <c r="B16">
        <f>A16</f>
        <v>0.5</v>
      </c>
      <c r="C16" s="1">
        <f>+DATE(YEAR($C$1),MONTH($C$1)+B16*12,DAY($C$1)+2)</f>
        <v>45571</v>
      </c>
      <c r="D16">
        <f>+(C16-$C$1)/360</f>
        <v>0.51388888888888884</v>
      </c>
      <c r="E16" s="6">
        <f>(C16-$C$1)/360</f>
        <v>0.51388888888888884</v>
      </c>
      <c r="F16">
        <v>0</v>
      </c>
      <c r="G16">
        <f>E16*('Tasas Swap CLP vs Camara'!$C$9/100)</f>
        <v>2.6285416666666665E-2</v>
      </c>
      <c r="H16">
        <v>0.97047596454527818</v>
      </c>
      <c r="I16">
        <f>H16*SUM(F16:G16)</f>
        <v>2.5509365093057863E-2</v>
      </c>
      <c r="J16" s="4">
        <f>+(1/H16)^(1/D16)-1</f>
        <v>6.0051358994559045E-2</v>
      </c>
      <c r="M16" s="2" t="s">
        <v>14</v>
      </c>
      <c r="N16" s="2">
        <v>7</v>
      </c>
      <c r="O16" s="9">
        <f>J94</f>
        <v>5.0954649734858526E-2</v>
      </c>
    </row>
    <row r="17" spans="1:15" x14ac:dyDescent="0.35">
      <c r="A17">
        <v>1</v>
      </c>
      <c r="B17">
        <f t="shared" ref="B17:B19" si="7">A17</f>
        <v>1</v>
      </c>
      <c r="C17" s="1">
        <f t="shared" ref="C17:C19" si="8">+DATE(YEAR($C$1),MONTH($C$1)+B17*12,DAY($C$1)+2)</f>
        <v>45753</v>
      </c>
      <c r="D17">
        <f t="shared" ref="D17:D19" si="9">+(C17-$C$1)/360</f>
        <v>1.0194444444444444</v>
      </c>
      <c r="E17">
        <f>D17-D16</f>
        <v>0.50555555555555554</v>
      </c>
      <c r="F17">
        <v>0</v>
      </c>
      <c r="G17">
        <f>E17*('Tasas Swap CLP vs Camara'!$C$9/100)</f>
        <v>2.5859166666666666E-2</v>
      </c>
      <c r="H17">
        <v>0.94690742664755312</v>
      </c>
      <c r="I17">
        <f t="shared" ref="I17:I19" si="10">H17*SUM(F17:G17)</f>
        <v>2.4486236963583517E-2</v>
      </c>
      <c r="J17" s="4">
        <f t="shared" ref="J17:J18" si="11">+(1/H17)^(1/D17)-1</f>
        <v>5.497113508809659E-2</v>
      </c>
      <c r="M17" s="2" t="s">
        <v>15</v>
      </c>
      <c r="N17" s="2">
        <v>8</v>
      </c>
      <c r="O17" s="9">
        <f>J115</f>
        <v>5.12769964386115E-2</v>
      </c>
    </row>
    <row r="18" spans="1:15" x14ac:dyDescent="0.35">
      <c r="A18">
        <v>1.5</v>
      </c>
      <c r="B18">
        <f t="shared" si="7"/>
        <v>1.5</v>
      </c>
      <c r="C18" s="1">
        <f t="shared" si="8"/>
        <v>45936</v>
      </c>
      <c r="D18">
        <f t="shared" si="9"/>
        <v>1.5277777777777777</v>
      </c>
      <c r="E18">
        <f t="shared" ref="E18:E19" si="12">D18-D17</f>
        <v>0.5083333333333333</v>
      </c>
      <c r="F18">
        <v>0</v>
      </c>
      <c r="G18">
        <f>E18*('Tasas Swap CLP vs Camara'!$C$9/100)</f>
        <v>2.600125E-2</v>
      </c>
      <c r="H18">
        <v>0.9248317320043159</v>
      </c>
      <c r="I18">
        <f t="shared" si="10"/>
        <v>2.4046781071777219E-2</v>
      </c>
      <c r="J18" s="4">
        <f t="shared" si="11"/>
        <v>5.2479125027685258E-2</v>
      </c>
      <c r="M18" s="2" t="s">
        <v>16</v>
      </c>
      <c r="N18" s="2">
        <v>9</v>
      </c>
      <c r="O18" s="9">
        <f>J138</f>
        <v>5.1590259559592955E-2</v>
      </c>
    </row>
    <row r="19" spans="1:15" x14ac:dyDescent="0.35">
      <c r="A19">
        <v>2</v>
      </c>
      <c r="B19">
        <f t="shared" si="7"/>
        <v>2</v>
      </c>
      <c r="C19" s="1">
        <f t="shared" si="8"/>
        <v>46118</v>
      </c>
      <c r="D19">
        <f t="shared" si="9"/>
        <v>2.0333333333333332</v>
      </c>
      <c r="E19">
        <f t="shared" si="12"/>
        <v>0.50555555555555554</v>
      </c>
      <c r="F19">
        <v>1</v>
      </c>
      <c r="G19">
        <f>E19*('Tasas Swap CLP vs Camara'!$C$9/100)</f>
        <v>2.5859166666666666E-2</v>
      </c>
      <c r="H19" s="2">
        <v>0.9026167011601639</v>
      </c>
      <c r="I19" s="5">
        <f t="shared" si="10"/>
        <v>0.92595761687158151</v>
      </c>
      <c r="J19" s="8">
        <f>+(1/H19)^(1/D19)-1</f>
        <v>5.1679941960715903E-2</v>
      </c>
      <c r="M19" s="2" t="s">
        <v>17</v>
      </c>
      <c r="N19" s="2">
        <v>10</v>
      </c>
      <c r="O19" s="9">
        <f>J163</f>
        <v>5.2433578335127295E-2</v>
      </c>
    </row>
    <row r="20" spans="1:15" x14ac:dyDescent="0.35">
      <c r="I20" s="7">
        <f>SUM(I16:I19)</f>
        <v>1</v>
      </c>
      <c r="M20" s="2" t="s">
        <v>18</v>
      </c>
      <c r="N20" s="2">
        <v>12</v>
      </c>
      <c r="O20" s="9">
        <f>J192</f>
        <v>5.3487445672407485E-2</v>
      </c>
    </row>
    <row r="21" spans="1:15" x14ac:dyDescent="0.35">
      <c r="M21" s="2" t="s">
        <v>19</v>
      </c>
      <c r="N21" s="2">
        <v>15</v>
      </c>
      <c r="O21" s="9">
        <f>J227</f>
        <v>5.3406640483834922E-2</v>
      </c>
    </row>
    <row r="22" spans="1:15" x14ac:dyDescent="0.35">
      <c r="M22" s="2" t="s">
        <v>20</v>
      </c>
      <c r="N22" s="2">
        <v>20</v>
      </c>
      <c r="O22" s="9">
        <f>J272</f>
        <v>5.3376057304748592E-2</v>
      </c>
    </row>
    <row r="23" spans="1:15" x14ac:dyDescent="0.35">
      <c r="B23" t="s">
        <v>44</v>
      </c>
      <c r="C23" t="s">
        <v>35</v>
      </c>
      <c r="M23" s="2" t="s">
        <v>21</v>
      </c>
      <c r="N23" s="2">
        <v>25</v>
      </c>
      <c r="O23" s="9">
        <f>J327</f>
        <v>5.3357726903546565E-2</v>
      </c>
    </row>
    <row r="24" spans="1:15" x14ac:dyDescent="0.35">
      <c r="A24" s="5" t="s">
        <v>36</v>
      </c>
      <c r="B24" t="s">
        <v>38</v>
      </c>
      <c r="C24" t="s">
        <v>37</v>
      </c>
      <c r="D24" t="s">
        <v>25</v>
      </c>
      <c r="E24" t="s">
        <v>41</v>
      </c>
      <c r="F24" t="s">
        <v>40</v>
      </c>
      <c r="G24" s="5" t="s">
        <v>105</v>
      </c>
      <c r="H24" t="s">
        <v>42</v>
      </c>
      <c r="I24" t="s">
        <v>32</v>
      </c>
      <c r="J24" s="4" t="s">
        <v>33</v>
      </c>
      <c r="M24" s="2" t="s">
        <v>22</v>
      </c>
      <c r="N24" s="2">
        <v>30</v>
      </c>
      <c r="O24" s="9">
        <f>J392</f>
        <v>5.3345505140688143E-2</v>
      </c>
    </row>
    <row r="25" spans="1:15" x14ac:dyDescent="0.35">
      <c r="A25">
        <v>0.5</v>
      </c>
      <c r="B25">
        <f>A25</f>
        <v>0.5</v>
      </c>
      <c r="C25" s="1">
        <f>+DATE(YEAR($C$1),MONTH($C$1)+B25*12,DAY($C$1)+2)</f>
        <v>45571</v>
      </c>
      <c r="D25">
        <f>+(C25-$C$1)/360</f>
        <v>0.51388888888888884</v>
      </c>
      <c r="E25" s="6">
        <f>(C25-$C$1)/360</f>
        <v>0.51388888888888884</v>
      </c>
      <c r="F25">
        <v>0</v>
      </c>
      <c r="G25">
        <f>E25*('Tasas Swap CLP vs Camara'!$C$10/100)</f>
        <v>2.5874305555555553E-2</v>
      </c>
      <c r="H25">
        <v>0.97047596454527818</v>
      </c>
      <c r="I25">
        <f>H25*SUM(F25:G25)</f>
        <v>2.5110391640967025E-2</v>
      </c>
      <c r="J25" s="4">
        <f>+(1/H25)^(1/D25)-1</f>
        <v>6.0051358994559045E-2</v>
      </c>
    </row>
    <row r="26" spans="1:15" x14ac:dyDescent="0.35">
      <c r="A26">
        <v>1</v>
      </c>
      <c r="B26">
        <f t="shared" ref="B26:B30" si="13">A26</f>
        <v>1</v>
      </c>
      <c r="C26" s="1">
        <f t="shared" ref="C26:C30" si="14">+DATE(YEAR($C$1),MONTH($C$1)+B26*12,DAY($C$1)+2)</f>
        <v>45753</v>
      </c>
      <c r="D26">
        <f t="shared" ref="D26:D30" si="15">+(C26-$C$1)/360</f>
        <v>1.0194444444444444</v>
      </c>
      <c r="E26">
        <f>D26-D25</f>
        <v>0.50555555555555554</v>
      </c>
      <c r="F26">
        <v>0</v>
      </c>
      <c r="G26">
        <f>E26*('Tasas Swap CLP vs Camara'!$C$10/100)</f>
        <v>2.5454722222222222E-2</v>
      </c>
      <c r="H26">
        <v>0.94690742664755312</v>
      </c>
      <c r="I26">
        <f t="shared" ref="I26:I30" si="16">H26*SUM(F26:G26)</f>
        <v>2.4103265515472729E-2</v>
      </c>
      <c r="J26" s="4">
        <f t="shared" ref="J26:J30" si="17">+(1/H26)^(1/D26)-1</f>
        <v>5.497113508809659E-2</v>
      </c>
    </row>
    <row r="27" spans="1:15" x14ac:dyDescent="0.35">
      <c r="A27">
        <v>1.5</v>
      </c>
      <c r="B27">
        <f t="shared" si="13"/>
        <v>1.5</v>
      </c>
      <c r="C27" s="1">
        <f t="shared" si="14"/>
        <v>45936</v>
      </c>
      <c r="D27">
        <f t="shared" si="15"/>
        <v>1.5277777777777777</v>
      </c>
      <c r="E27">
        <f t="shared" ref="E27:E30" si="18">D27-D26</f>
        <v>0.5083333333333333</v>
      </c>
      <c r="F27">
        <v>0</v>
      </c>
      <c r="G27">
        <f>E27*('Tasas Swap CLP vs Camara'!$C$10/100)</f>
        <v>2.559458333333333E-2</v>
      </c>
      <c r="H27">
        <v>0.9248317320043159</v>
      </c>
      <c r="I27">
        <f t="shared" si="16"/>
        <v>2.3670682834095461E-2</v>
      </c>
      <c r="J27" s="4">
        <f t="shared" si="17"/>
        <v>5.2479125027685258E-2</v>
      </c>
    </row>
    <row r="28" spans="1:15" x14ac:dyDescent="0.35">
      <c r="A28">
        <v>2</v>
      </c>
      <c r="B28">
        <f t="shared" si="13"/>
        <v>2</v>
      </c>
      <c r="C28" s="1">
        <f t="shared" si="14"/>
        <v>46118</v>
      </c>
      <c r="D28">
        <f t="shared" si="15"/>
        <v>2.0333333333333332</v>
      </c>
      <c r="E28">
        <f t="shared" si="18"/>
        <v>0.50555555555555554</v>
      </c>
      <c r="F28">
        <v>0</v>
      </c>
      <c r="G28">
        <f>E28*('Tasas Swap CLP vs Camara'!$C$10/100)</f>
        <v>2.5454722222222222E-2</v>
      </c>
      <c r="H28">
        <v>0.9026167011601639</v>
      </c>
      <c r="I28">
        <f t="shared" si="16"/>
        <v>2.297585740117054E-2</v>
      </c>
      <c r="J28" s="4">
        <f t="shared" si="17"/>
        <v>5.1679941960715903E-2</v>
      </c>
    </row>
    <row r="29" spans="1:15" x14ac:dyDescent="0.35">
      <c r="A29">
        <v>2.5</v>
      </c>
      <c r="B29">
        <f t="shared" si="13"/>
        <v>2.5</v>
      </c>
      <c r="C29" s="1">
        <f t="shared" si="14"/>
        <v>46301</v>
      </c>
      <c r="D29">
        <f t="shared" si="15"/>
        <v>2.5416666666666665</v>
      </c>
      <c r="E29">
        <f t="shared" si="18"/>
        <v>0.5083333333333333</v>
      </c>
      <c r="F29">
        <v>0</v>
      </c>
      <c r="G29">
        <f>E29*('Tasas Swap CLP vs Camara'!$C$10/100)</f>
        <v>2.559458333333333E-2</v>
      </c>
      <c r="H29" s="5">
        <f>+((H30-H28)/(D30-D28))*(D29-D28)+H28</f>
        <v>0.88110197584942485</v>
      </c>
      <c r="I29">
        <f t="shared" si="16"/>
        <v>2.2551437946042755E-2</v>
      </c>
      <c r="J29" s="4">
        <f t="shared" si="17"/>
        <v>5.1063720539427759E-2</v>
      </c>
    </row>
    <row r="30" spans="1:15" x14ac:dyDescent="0.35">
      <c r="A30">
        <v>3</v>
      </c>
      <c r="B30">
        <f t="shared" si="13"/>
        <v>3</v>
      </c>
      <c r="C30" s="1">
        <f t="shared" si="14"/>
        <v>46483</v>
      </c>
      <c r="D30">
        <f t="shared" si="15"/>
        <v>3.0472222222222221</v>
      </c>
      <c r="E30">
        <f t="shared" si="18"/>
        <v>0.50555555555555554</v>
      </c>
      <c r="F30">
        <v>1</v>
      </c>
      <c r="G30">
        <f>E30*('Tasas Swap CLP vs Camara'!$C$10/100)</f>
        <v>2.5454722222222222E-2</v>
      </c>
      <c r="H30" s="2">
        <v>0.85970481734366244</v>
      </c>
      <c r="I30">
        <f t="shared" si="16"/>
        <v>0.88158836466225154</v>
      </c>
      <c r="J30" s="8">
        <f t="shared" si="17"/>
        <v>5.0858935509587644E-2</v>
      </c>
    </row>
    <row r="31" spans="1:15" x14ac:dyDescent="0.35">
      <c r="I31" s="7">
        <f>SUM(I25:I30)</f>
        <v>1</v>
      </c>
    </row>
    <row r="34" spans="1:10" x14ac:dyDescent="0.35">
      <c r="B34" t="s">
        <v>45</v>
      </c>
      <c r="C34" t="s">
        <v>35</v>
      </c>
    </row>
    <row r="35" spans="1:10" x14ac:dyDescent="0.35">
      <c r="A35" s="5" t="s">
        <v>36</v>
      </c>
      <c r="B35" t="s">
        <v>38</v>
      </c>
      <c r="C35" t="s">
        <v>37</v>
      </c>
      <c r="D35" t="s">
        <v>25</v>
      </c>
      <c r="E35" t="s">
        <v>41</v>
      </c>
      <c r="F35" t="s">
        <v>40</v>
      </c>
      <c r="G35" s="5" t="s">
        <v>105</v>
      </c>
      <c r="H35" t="s">
        <v>42</v>
      </c>
      <c r="I35" t="s">
        <v>32</v>
      </c>
      <c r="J35" s="4" t="s">
        <v>33</v>
      </c>
    </row>
    <row r="36" spans="1:10" x14ac:dyDescent="0.35">
      <c r="A36">
        <v>0.5</v>
      </c>
      <c r="B36">
        <f>A36</f>
        <v>0.5</v>
      </c>
      <c r="C36" s="1">
        <f>+DATE(YEAR($C$1),MONTH($C$1)+B36*12,DAY($C$1)+2)</f>
        <v>45571</v>
      </c>
      <c r="D36">
        <f>+(C36-$C$1)/360</f>
        <v>0.51388888888888884</v>
      </c>
      <c r="E36" s="6">
        <f>(C36-$C$1)/360</f>
        <v>0.51388888888888884</v>
      </c>
      <c r="F36">
        <v>0</v>
      </c>
      <c r="G36">
        <f>E36*('Tasas Swap CLP vs Camara'!$C$11/100)</f>
        <v>2.5745833333333329E-2</v>
      </c>
      <c r="H36">
        <v>0.97047596454527818</v>
      </c>
      <c r="I36">
        <f>H36*SUM(F36:G36)</f>
        <v>2.4985712437188636E-2</v>
      </c>
      <c r="J36" s="4">
        <f>+(1/H36)^(1/D36)-1</f>
        <v>6.0051358994559045E-2</v>
      </c>
    </row>
    <row r="37" spans="1:10" x14ac:dyDescent="0.35">
      <c r="A37">
        <v>1</v>
      </c>
      <c r="B37">
        <f t="shared" ref="B37:B43" si="19">A37</f>
        <v>1</v>
      </c>
      <c r="C37" s="1">
        <f t="shared" ref="C37:C43" si="20">+DATE(YEAR($C$1),MONTH($C$1)+B37*12,DAY($C$1)+2)</f>
        <v>45753</v>
      </c>
      <c r="D37">
        <f t="shared" ref="D37:D43" si="21">+(C37-$C$1)/360</f>
        <v>1.0194444444444444</v>
      </c>
      <c r="E37">
        <f>D37-D36</f>
        <v>0.50555555555555554</v>
      </c>
      <c r="F37">
        <v>0</v>
      </c>
      <c r="G37">
        <f>E37*('Tasas Swap CLP vs Camara'!$C$11/100)</f>
        <v>2.5328333333333331E-2</v>
      </c>
      <c r="H37">
        <v>0.94690742664755312</v>
      </c>
      <c r="I37">
        <f t="shared" ref="I37:I43" si="22">H37*SUM(F37:G37)</f>
        <v>2.3983586937938107E-2</v>
      </c>
      <c r="J37" s="4">
        <f t="shared" ref="J37:J43" si="23">+(1/H37)^(1/D37)-1</f>
        <v>5.497113508809659E-2</v>
      </c>
    </row>
    <row r="38" spans="1:10" x14ac:dyDescent="0.35">
      <c r="A38">
        <v>1.5</v>
      </c>
      <c r="B38">
        <f t="shared" si="19"/>
        <v>1.5</v>
      </c>
      <c r="C38" s="1">
        <f t="shared" si="20"/>
        <v>45936</v>
      </c>
      <c r="D38">
        <f t="shared" si="21"/>
        <v>1.5277777777777777</v>
      </c>
      <c r="E38">
        <f t="shared" ref="E38:E43" si="24">D38-D37</f>
        <v>0.5083333333333333</v>
      </c>
      <c r="F38">
        <v>0</v>
      </c>
      <c r="G38">
        <f>E38*('Tasas Swap CLP vs Camara'!$C$11/100)</f>
        <v>2.5467499999999997E-2</v>
      </c>
      <c r="H38">
        <v>0.9248317320043159</v>
      </c>
      <c r="I38">
        <f t="shared" si="22"/>
        <v>2.3553152134819913E-2</v>
      </c>
      <c r="J38" s="4">
        <f t="shared" si="23"/>
        <v>5.2479125027685258E-2</v>
      </c>
    </row>
    <row r="39" spans="1:10" x14ac:dyDescent="0.35">
      <c r="A39">
        <v>2</v>
      </c>
      <c r="B39">
        <f t="shared" si="19"/>
        <v>2</v>
      </c>
      <c r="C39" s="1">
        <f t="shared" si="20"/>
        <v>46118</v>
      </c>
      <c r="D39">
        <f t="shared" si="21"/>
        <v>2.0333333333333332</v>
      </c>
      <c r="E39">
        <f t="shared" si="24"/>
        <v>0.50555555555555554</v>
      </c>
      <c r="F39">
        <v>0</v>
      </c>
      <c r="G39">
        <f>E39*('Tasas Swap CLP vs Camara'!$C$11/100)</f>
        <v>2.5328333333333331E-2</v>
      </c>
      <c r="H39">
        <v>0.9026167011601639</v>
      </c>
      <c r="I39">
        <f t="shared" si="22"/>
        <v>2.2861776679218349E-2</v>
      </c>
      <c r="J39" s="4">
        <f t="shared" si="23"/>
        <v>5.1679941960715903E-2</v>
      </c>
    </row>
    <row r="40" spans="1:10" x14ac:dyDescent="0.35">
      <c r="A40">
        <v>2.5</v>
      </c>
      <c r="B40">
        <f t="shared" si="19"/>
        <v>2.5</v>
      </c>
      <c r="C40" s="1">
        <f t="shared" si="20"/>
        <v>46301</v>
      </c>
      <c r="D40">
        <f t="shared" si="21"/>
        <v>2.5416666666666665</v>
      </c>
      <c r="E40">
        <f t="shared" si="24"/>
        <v>0.5083333333333333</v>
      </c>
      <c r="F40">
        <v>0</v>
      </c>
      <c r="G40">
        <f>E40*('Tasas Swap CLP vs Camara'!$C$11/100)</f>
        <v>2.5467499999999997E-2</v>
      </c>
      <c r="H40">
        <v>0.88110197584942485</v>
      </c>
      <c r="I40">
        <f t="shared" si="22"/>
        <v>2.2439464569945226E-2</v>
      </c>
      <c r="J40" s="4">
        <f t="shared" si="23"/>
        <v>5.1063720539427759E-2</v>
      </c>
    </row>
    <row r="41" spans="1:10" x14ac:dyDescent="0.35">
      <c r="A41">
        <v>3</v>
      </c>
      <c r="B41">
        <f t="shared" si="19"/>
        <v>3</v>
      </c>
      <c r="C41" s="1">
        <f t="shared" si="20"/>
        <v>46483</v>
      </c>
      <c r="D41">
        <f t="shared" si="21"/>
        <v>3.0472222222222221</v>
      </c>
      <c r="E41">
        <f t="shared" si="24"/>
        <v>0.50555555555555554</v>
      </c>
      <c r="F41">
        <v>0</v>
      </c>
      <c r="G41">
        <f>E41*('Tasas Swap CLP vs Camara'!$C$11/100)</f>
        <v>2.5328333333333331E-2</v>
      </c>
      <c r="H41">
        <v>0.85970481734366244</v>
      </c>
      <c r="I41">
        <f t="shared" si="22"/>
        <v>2.1774890181952729E-2</v>
      </c>
      <c r="J41" s="4">
        <f t="shared" si="23"/>
        <v>5.0858935509587644E-2</v>
      </c>
    </row>
    <row r="42" spans="1:10" x14ac:dyDescent="0.35">
      <c r="A42">
        <v>3.5</v>
      </c>
      <c r="B42">
        <f t="shared" si="19"/>
        <v>3.5</v>
      </c>
      <c r="C42" s="1">
        <f t="shared" si="20"/>
        <v>46666</v>
      </c>
      <c r="D42">
        <f t="shared" si="21"/>
        <v>3.5555555555555554</v>
      </c>
      <c r="E42">
        <f t="shared" si="24"/>
        <v>0.5083333333333333</v>
      </c>
      <c r="F42">
        <v>0</v>
      </c>
      <c r="G42">
        <f>E42*('Tasas Swap CLP vs Camara'!$C$11/100)</f>
        <v>2.5467499999999997E-2</v>
      </c>
      <c r="H42">
        <f>+((H43-H41)/(D43-D41))*(D42-D41)+H41</f>
        <v>0.83851456430015658</v>
      </c>
      <c r="I42">
        <f t="shared" si="22"/>
        <v>2.1354869666314235E-2</v>
      </c>
      <c r="J42" s="4">
        <f t="shared" si="23"/>
        <v>5.0782039126814116E-2</v>
      </c>
    </row>
    <row r="43" spans="1:10" x14ac:dyDescent="0.35">
      <c r="A43">
        <v>4</v>
      </c>
      <c r="B43">
        <f t="shared" si="19"/>
        <v>4</v>
      </c>
      <c r="C43" s="1">
        <f t="shared" si="20"/>
        <v>46849</v>
      </c>
      <c r="D43">
        <f t="shared" si="21"/>
        <v>4.0638888888888891</v>
      </c>
      <c r="E43">
        <f t="shared" si="24"/>
        <v>0.50833333333333375</v>
      </c>
      <c r="F43">
        <v>1</v>
      </c>
      <c r="G43">
        <f>E43*('Tasas Swap CLP vs Camara'!$C$11/100)</f>
        <v>2.5467500000000021E-2</v>
      </c>
      <c r="H43" s="2">
        <v>0.81732431125665073</v>
      </c>
      <c r="I43">
        <f t="shared" si="22"/>
        <v>0.83813951815357945</v>
      </c>
      <c r="J43" s="8">
        <f t="shared" si="23"/>
        <v>5.0889568782717776E-2</v>
      </c>
    </row>
    <row r="44" spans="1:10" x14ac:dyDescent="0.35">
      <c r="I44" s="10">
        <f>SUM(I36:I43)</f>
        <v>0.9990929707609566</v>
      </c>
    </row>
    <row r="47" spans="1:10" x14ac:dyDescent="0.35">
      <c r="B47" t="s">
        <v>46</v>
      </c>
      <c r="C47" t="s">
        <v>35</v>
      </c>
    </row>
    <row r="48" spans="1:10" x14ac:dyDescent="0.35">
      <c r="A48" s="5" t="s">
        <v>36</v>
      </c>
      <c r="B48" t="s">
        <v>38</v>
      </c>
      <c r="C48" t="s">
        <v>37</v>
      </c>
      <c r="D48" t="s">
        <v>25</v>
      </c>
      <c r="E48" t="s">
        <v>41</v>
      </c>
      <c r="F48" t="s">
        <v>40</v>
      </c>
      <c r="G48" s="5" t="s">
        <v>105</v>
      </c>
      <c r="H48" t="s">
        <v>42</v>
      </c>
      <c r="I48" t="s">
        <v>32</v>
      </c>
      <c r="J48" s="4" t="s">
        <v>33</v>
      </c>
    </row>
    <row r="49" spans="1:10" x14ac:dyDescent="0.35">
      <c r="A49">
        <v>0.5</v>
      </c>
      <c r="B49">
        <f>A49</f>
        <v>0.5</v>
      </c>
      <c r="C49" s="1">
        <f>+DATE(YEAR($C$1),MONTH($C$1)+B49*12,DAY($C$1)+2)</f>
        <v>45571</v>
      </c>
      <c r="D49">
        <f>+(C49-$C$1)/360</f>
        <v>0.51388888888888884</v>
      </c>
      <c r="E49" s="6">
        <f>(C49-$C$1)/360</f>
        <v>0.51388888888888884</v>
      </c>
      <c r="F49">
        <v>0</v>
      </c>
      <c r="G49">
        <f>E49*('Tasas Swap CLP vs Camara'!$C$12/100)</f>
        <v>2.5694444444444443E-2</v>
      </c>
      <c r="H49">
        <v>0.97047596454527818</v>
      </c>
      <c r="I49">
        <f>H49*SUM(F49:G49)</f>
        <v>2.4935840755677285E-2</v>
      </c>
      <c r="J49" s="4">
        <f>+(1/H49)^(1/D49)-1</f>
        <v>6.0051358994559045E-2</v>
      </c>
    </row>
    <row r="50" spans="1:10" x14ac:dyDescent="0.35">
      <c r="A50">
        <v>1</v>
      </c>
      <c r="B50">
        <f t="shared" ref="B50:B58" si="25">A50</f>
        <v>1</v>
      </c>
      <c r="C50" s="1">
        <f t="shared" ref="C50:C58" si="26">+DATE(YEAR($C$1),MONTH($C$1)+B50*12,DAY($C$1)+2)</f>
        <v>45753</v>
      </c>
      <c r="D50">
        <f t="shared" ref="D50:D58" si="27">+(C50-$C$1)/360</f>
        <v>1.0194444444444444</v>
      </c>
      <c r="E50">
        <f>D50-D49</f>
        <v>0.50555555555555554</v>
      </c>
      <c r="F50">
        <v>0</v>
      </c>
      <c r="G50">
        <f>E50*('Tasas Swap CLP vs Camara'!$C$12/100)</f>
        <v>2.5277777777777777E-2</v>
      </c>
      <c r="H50">
        <v>0.94690742664755312</v>
      </c>
      <c r="I50">
        <f t="shared" ref="I50:I58" si="28">H50*SUM(F50:G50)</f>
        <v>2.3935715506924259E-2</v>
      </c>
      <c r="J50" s="4">
        <f t="shared" ref="J50:J58" si="29">+(1/H50)^(1/D50)-1</f>
        <v>5.497113508809659E-2</v>
      </c>
    </row>
    <row r="51" spans="1:10" x14ac:dyDescent="0.35">
      <c r="A51">
        <v>1.5</v>
      </c>
      <c r="B51">
        <f t="shared" si="25"/>
        <v>1.5</v>
      </c>
      <c r="C51" s="1">
        <f t="shared" si="26"/>
        <v>45936</v>
      </c>
      <c r="D51">
        <f t="shared" si="27"/>
        <v>1.5277777777777777</v>
      </c>
      <c r="E51">
        <f t="shared" ref="E51:E58" si="30">D51-D50</f>
        <v>0.5083333333333333</v>
      </c>
      <c r="F51">
        <v>0</v>
      </c>
      <c r="G51">
        <f>E51*('Tasas Swap CLP vs Camara'!$C$12/100)</f>
        <v>2.5416666666666667E-2</v>
      </c>
      <c r="H51">
        <v>0.9248317320043159</v>
      </c>
      <c r="I51">
        <f t="shared" si="28"/>
        <v>2.3506139855109697E-2</v>
      </c>
      <c r="J51" s="4">
        <f t="shared" si="29"/>
        <v>5.2479125027685258E-2</v>
      </c>
    </row>
    <row r="52" spans="1:10" x14ac:dyDescent="0.35">
      <c r="A52">
        <v>2</v>
      </c>
      <c r="B52">
        <f t="shared" si="25"/>
        <v>2</v>
      </c>
      <c r="C52" s="1">
        <f t="shared" si="26"/>
        <v>46118</v>
      </c>
      <c r="D52">
        <f t="shared" si="27"/>
        <v>2.0333333333333332</v>
      </c>
      <c r="E52">
        <f t="shared" si="30"/>
        <v>0.50555555555555554</v>
      </c>
      <c r="F52">
        <v>0</v>
      </c>
      <c r="G52">
        <f>E52*('Tasas Swap CLP vs Camara'!$C$12/100)</f>
        <v>2.5277777777777777E-2</v>
      </c>
      <c r="H52">
        <v>0.9026167011601639</v>
      </c>
      <c r="I52">
        <f t="shared" si="28"/>
        <v>2.2816144390437477E-2</v>
      </c>
      <c r="J52" s="4">
        <f t="shared" si="29"/>
        <v>5.1679941960715903E-2</v>
      </c>
    </row>
    <row r="53" spans="1:10" x14ac:dyDescent="0.35">
      <c r="A53">
        <v>2.5</v>
      </c>
      <c r="B53">
        <f t="shared" si="25"/>
        <v>2.5</v>
      </c>
      <c r="C53" s="1">
        <f t="shared" si="26"/>
        <v>46301</v>
      </c>
      <c r="D53">
        <f t="shared" si="27"/>
        <v>2.5416666666666665</v>
      </c>
      <c r="E53">
        <f t="shared" si="30"/>
        <v>0.5083333333333333</v>
      </c>
      <c r="F53">
        <v>0</v>
      </c>
      <c r="G53">
        <f>E53*('Tasas Swap CLP vs Camara'!$C$12/100)</f>
        <v>2.5416666666666667E-2</v>
      </c>
      <c r="H53">
        <v>0.88110197584942485</v>
      </c>
      <c r="I53">
        <f t="shared" si="28"/>
        <v>2.2394675219506215E-2</v>
      </c>
      <c r="J53" s="4">
        <f t="shared" si="29"/>
        <v>5.1063720539427759E-2</v>
      </c>
    </row>
    <row r="54" spans="1:10" x14ac:dyDescent="0.35">
      <c r="A54">
        <v>3</v>
      </c>
      <c r="B54">
        <f t="shared" si="25"/>
        <v>3</v>
      </c>
      <c r="C54" s="1">
        <f t="shared" si="26"/>
        <v>46483</v>
      </c>
      <c r="D54">
        <f t="shared" si="27"/>
        <v>3.0472222222222221</v>
      </c>
      <c r="E54">
        <f t="shared" si="30"/>
        <v>0.50555555555555554</v>
      </c>
      <c r="F54">
        <v>0</v>
      </c>
      <c r="G54">
        <f>E54*('Tasas Swap CLP vs Camara'!$C$12/100)</f>
        <v>2.5277777777777777E-2</v>
      </c>
      <c r="H54">
        <v>0.85970481734366244</v>
      </c>
      <c r="I54">
        <f t="shared" si="28"/>
        <v>2.1731427327298134E-2</v>
      </c>
      <c r="J54" s="4">
        <f t="shared" si="29"/>
        <v>5.0858935509587644E-2</v>
      </c>
    </row>
    <row r="55" spans="1:10" x14ac:dyDescent="0.35">
      <c r="A55">
        <v>3.5</v>
      </c>
      <c r="B55">
        <f t="shared" si="25"/>
        <v>3.5</v>
      </c>
      <c r="C55" s="1">
        <f t="shared" si="26"/>
        <v>46666</v>
      </c>
      <c r="D55">
        <f t="shared" si="27"/>
        <v>3.5555555555555554</v>
      </c>
      <c r="E55">
        <f t="shared" si="30"/>
        <v>0.5083333333333333</v>
      </c>
      <c r="F55">
        <v>0</v>
      </c>
      <c r="G55">
        <f>E55*('Tasas Swap CLP vs Camara'!$C$12/100)</f>
        <v>2.5416666666666667E-2</v>
      </c>
      <c r="H55">
        <v>0.83851456430015658</v>
      </c>
      <c r="I55">
        <f t="shared" si="28"/>
        <v>2.1312245175962315E-2</v>
      </c>
      <c r="J55" s="4">
        <f t="shared" si="29"/>
        <v>5.0782039126814116E-2</v>
      </c>
    </row>
    <row r="56" spans="1:10" x14ac:dyDescent="0.35">
      <c r="A56">
        <v>4</v>
      </c>
      <c r="B56">
        <f t="shared" si="25"/>
        <v>4</v>
      </c>
      <c r="C56" s="1">
        <f t="shared" si="26"/>
        <v>46849</v>
      </c>
      <c r="D56">
        <f t="shared" si="27"/>
        <v>4.0638888888888891</v>
      </c>
      <c r="E56">
        <f t="shared" si="30"/>
        <v>0.50833333333333375</v>
      </c>
      <c r="F56">
        <v>0</v>
      </c>
      <c r="G56">
        <f>E56*('Tasas Swap CLP vs Camara'!$C$12/100)</f>
        <v>2.5416666666666688E-2</v>
      </c>
      <c r="H56">
        <v>0.81732431125665073</v>
      </c>
      <c r="I56">
        <f t="shared" si="28"/>
        <v>2.0773659577773225E-2</v>
      </c>
      <c r="J56" s="4">
        <f t="shared" si="29"/>
        <v>5.0889568782717776E-2</v>
      </c>
    </row>
    <row r="57" spans="1:10" x14ac:dyDescent="0.35">
      <c r="A57" s="5">
        <v>4.5</v>
      </c>
      <c r="B57">
        <f t="shared" si="25"/>
        <v>4.5</v>
      </c>
      <c r="C57" s="1">
        <f t="shared" si="26"/>
        <v>47032</v>
      </c>
      <c r="D57">
        <f t="shared" si="27"/>
        <v>4.572222222222222</v>
      </c>
      <c r="E57">
        <f t="shared" si="30"/>
        <v>0.50833333333333286</v>
      </c>
      <c r="F57">
        <v>0</v>
      </c>
      <c r="G57">
        <f>E57*('Tasas Swap CLP vs Camara'!$C$12/100)</f>
        <v>2.5416666666666643E-2</v>
      </c>
      <c r="H57">
        <f>+((H58-H56)/(D58-D56))*(D57-D56)+H56</f>
        <v>0.79792489545475964</v>
      </c>
      <c r="I57">
        <f t="shared" si="28"/>
        <v>2.0280591092808456E-2</v>
      </c>
      <c r="J57" s="4">
        <f t="shared" si="29"/>
        <v>5.0611345824343124E-2</v>
      </c>
    </row>
    <row r="58" spans="1:10" x14ac:dyDescent="0.35">
      <c r="A58">
        <v>5</v>
      </c>
      <c r="B58">
        <f t="shared" si="25"/>
        <v>5</v>
      </c>
      <c r="C58" s="1">
        <f t="shared" si="26"/>
        <v>47214</v>
      </c>
      <c r="D58">
        <f t="shared" si="27"/>
        <v>5.0777777777777775</v>
      </c>
      <c r="E58">
        <f t="shared" si="30"/>
        <v>0.50555555555555554</v>
      </c>
      <c r="F58">
        <v>1</v>
      </c>
      <c r="G58">
        <f>E58*('Tasas Swap CLP vs Camara'!$C$12/100)</f>
        <v>2.5277777777777777E-2</v>
      </c>
      <c r="H58" s="2">
        <v>0.77863148738949084</v>
      </c>
      <c r="I58">
        <f t="shared" si="28"/>
        <v>0.79831356109850293</v>
      </c>
      <c r="J58" s="8">
        <f t="shared" si="29"/>
        <v>5.0511249944210412E-2</v>
      </c>
    </row>
    <row r="59" spans="1:10" x14ac:dyDescent="0.35">
      <c r="I59" s="10">
        <f>SUM(I49:I58)</f>
        <v>1</v>
      </c>
    </row>
    <row r="62" spans="1:10" x14ac:dyDescent="0.35">
      <c r="B62" t="s">
        <v>47</v>
      </c>
      <c r="C62" t="s">
        <v>35</v>
      </c>
    </row>
    <row r="63" spans="1:10" x14ac:dyDescent="0.35">
      <c r="A63" s="5" t="s">
        <v>36</v>
      </c>
      <c r="B63" t="s">
        <v>38</v>
      </c>
      <c r="C63" t="s">
        <v>37</v>
      </c>
      <c r="D63" t="s">
        <v>25</v>
      </c>
      <c r="E63" t="s">
        <v>41</v>
      </c>
      <c r="F63" t="s">
        <v>40</v>
      </c>
      <c r="G63" s="5" t="s">
        <v>105</v>
      </c>
      <c r="H63" t="s">
        <v>42</v>
      </c>
      <c r="I63" t="s">
        <v>32</v>
      </c>
      <c r="J63" s="4" t="s">
        <v>33</v>
      </c>
    </row>
    <row r="64" spans="1:10" x14ac:dyDescent="0.35">
      <c r="A64">
        <v>0.5</v>
      </c>
      <c r="B64">
        <f>A64</f>
        <v>0.5</v>
      </c>
      <c r="C64" s="1">
        <f>+DATE(YEAR($C$1),MONTH($C$1)+B64*12,DAY($C$1)+2)</f>
        <v>45571</v>
      </c>
      <c r="D64">
        <f>+(C64-$C$1)/360</f>
        <v>0.51388888888888884</v>
      </c>
      <c r="E64" s="6">
        <f>(C64-$C$1)/360</f>
        <v>0.51388888888888884</v>
      </c>
      <c r="F64">
        <v>0</v>
      </c>
      <c r="G64">
        <f>E64*('Tasas Swap CLP vs Camara'!$C$13/100)</f>
        <v>2.5771527777777775E-2</v>
      </c>
      <c r="H64">
        <v>0.97047596454527818</v>
      </c>
      <c r="I64">
        <f>H64*SUM(F64:G64)</f>
        <v>2.5010648277944317E-2</v>
      </c>
      <c r="J64" s="4">
        <f>+(1/H64)^(1/D64)-1</f>
        <v>6.0051358994559045E-2</v>
      </c>
    </row>
    <row r="65" spans="1:10" x14ac:dyDescent="0.35">
      <c r="A65">
        <v>1</v>
      </c>
      <c r="B65">
        <f t="shared" ref="B65:B75" si="31">A65</f>
        <v>1</v>
      </c>
      <c r="C65" s="1">
        <f t="shared" ref="C65:C75" si="32">+DATE(YEAR($C$1),MONTH($C$1)+B65*12,DAY($C$1)+2)</f>
        <v>45753</v>
      </c>
      <c r="D65">
        <f t="shared" ref="D65:D75" si="33">+(C65-$C$1)/360</f>
        <v>1.0194444444444444</v>
      </c>
      <c r="E65">
        <f>D65-D64</f>
        <v>0.50555555555555554</v>
      </c>
      <c r="F65">
        <v>0</v>
      </c>
      <c r="G65">
        <f>E65*('Tasas Swap CLP vs Camara'!$C$13/100)</f>
        <v>2.5353611111111111E-2</v>
      </c>
      <c r="H65">
        <v>0.94690742664755312</v>
      </c>
      <c r="I65">
        <f t="shared" ref="I65" si="34">H65*SUM(F65:G65)</f>
        <v>2.4007522653445034E-2</v>
      </c>
      <c r="J65" s="4">
        <f t="shared" ref="J65" si="35">+(1/H65)^(1/D65)-1</f>
        <v>5.497113508809659E-2</v>
      </c>
    </row>
    <row r="66" spans="1:10" x14ac:dyDescent="0.35">
      <c r="A66">
        <v>1.5</v>
      </c>
      <c r="B66">
        <f t="shared" si="31"/>
        <v>1.5</v>
      </c>
      <c r="C66" s="1">
        <f t="shared" si="32"/>
        <v>45936</v>
      </c>
      <c r="D66">
        <f t="shared" si="33"/>
        <v>1.5277777777777777</v>
      </c>
      <c r="E66">
        <f t="shared" ref="E66:E75" si="36">D66-D65</f>
        <v>0.5083333333333333</v>
      </c>
      <c r="F66">
        <v>0</v>
      </c>
      <c r="G66">
        <f>E66*('Tasas Swap CLP vs Camara'!$C$13/100)</f>
        <v>2.5492916666666664E-2</v>
      </c>
      <c r="H66">
        <v>0.9248317320043159</v>
      </c>
      <c r="I66">
        <f t="shared" ref="I66:I75" si="37">H66*SUM(F66:G66)</f>
        <v>2.3576658274675023E-2</v>
      </c>
      <c r="J66" s="4">
        <f t="shared" ref="J66:J75" si="38">+(1/H66)^(1/D66)-1</f>
        <v>5.2479125027685258E-2</v>
      </c>
    </row>
    <row r="67" spans="1:10" x14ac:dyDescent="0.35">
      <c r="A67">
        <v>2</v>
      </c>
      <c r="B67">
        <f t="shared" si="31"/>
        <v>2</v>
      </c>
      <c r="C67" s="1">
        <f t="shared" si="32"/>
        <v>46118</v>
      </c>
      <c r="D67">
        <f t="shared" si="33"/>
        <v>2.0333333333333332</v>
      </c>
      <c r="E67">
        <f t="shared" si="36"/>
        <v>0.50555555555555554</v>
      </c>
      <c r="F67">
        <v>0</v>
      </c>
      <c r="G67">
        <f>E67*('Tasas Swap CLP vs Camara'!$C$13/100)</f>
        <v>2.5353611111111111E-2</v>
      </c>
      <c r="H67">
        <v>0.9026167011601639</v>
      </c>
      <c r="I67">
        <f t="shared" si="37"/>
        <v>2.2884592823608788E-2</v>
      </c>
      <c r="J67" s="4">
        <f t="shared" si="38"/>
        <v>5.1679941960715903E-2</v>
      </c>
    </row>
    <row r="68" spans="1:10" x14ac:dyDescent="0.35">
      <c r="A68">
        <v>2.5</v>
      </c>
      <c r="B68">
        <f t="shared" si="31"/>
        <v>2.5</v>
      </c>
      <c r="C68" s="1">
        <f t="shared" si="32"/>
        <v>46301</v>
      </c>
      <c r="D68">
        <f t="shared" si="33"/>
        <v>2.5416666666666665</v>
      </c>
      <c r="E68">
        <f t="shared" si="36"/>
        <v>0.5083333333333333</v>
      </c>
      <c r="F68">
        <v>0</v>
      </c>
      <c r="G68">
        <f>E68*('Tasas Swap CLP vs Camara'!$C$13/100)</f>
        <v>2.5492916666666664E-2</v>
      </c>
      <c r="H68">
        <v>0.88110197584942485</v>
      </c>
      <c r="I68">
        <f t="shared" si="37"/>
        <v>2.2461859245164729E-2</v>
      </c>
      <c r="J68" s="4">
        <f t="shared" si="38"/>
        <v>5.1063720539427759E-2</v>
      </c>
    </row>
    <row r="69" spans="1:10" x14ac:dyDescent="0.35">
      <c r="A69">
        <v>3</v>
      </c>
      <c r="B69">
        <f t="shared" si="31"/>
        <v>3</v>
      </c>
      <c r="C69" s="1">
        <f t="shared" si="32"/>
        <v>46483</v>
      </c>
      <c r="D69">
        <f t="shared" si="33"/>
        <v>3.0472222222222221</v>
      </c>
      <c r="E69">
        <f t="shared" si="36"/>
        <v>0.50555555555555554</v>
      </c>
      <c r="F69">
        <v>0</v>
      </c>
      <c r="G69">
        <f>E69*('Tasas Swap CLP vs Camara'!$C$13/100)</f>
        <v>2.5353611111111111E-2</v>
      </c>
      <c r="H69">
        <v>0.85970481734366244</v>
      </c>
      <c r="I69">
        <f t="shared" si="37"/>
        <v>2.1796621609280028E-2</v>
      </c>
      <c r="J69" s="4">
        <f t="shared" si="38"/>
        <v>5.0858935509587644E-2</v>
      </c>
    </row>
    <row r="70" spans="1:10" x14ac:dyDescent="0.35">
      <c r="A70">
        <v>3.5</v>
      </c>
      <c r="B70">
        <f t="shared" si="31"/>
        <v>3.5</v>
      </c>
      <c r="C70" s="1">
        <f t="shared" si="32"/>
        <v>46666</v>
      </c>
      <c r="D70">
        <f t="shared" si="33"/>
        <v>3.5555555555555554</v>
      </c>
      <c r="E70">
        <f t="shared" si="36"/>
        <v>0.5083333333333333</v>
      </c>
      <c r="F70">
        <v>0</v>
      </c>
      <c r="G70">
        <f>E70*('Tasas Swap CLP vs Camara'!$C$13/100)</f>
        <v>2.5492916666666664E-2</v>
      </c>
      <c r="H70">
        <v>0.83851456430015658</v>
      </c>
      <c r="I70">
        <f t="shared" si="37"/>
        <v>2.1376181911490197E-2</v>
      </c>
      <c r="J70" s="4">
        <f t="shared" si="38"/>
        <v>5.0782039126814116E-2</v>
      </c>
    </row>
    <row r="71" spans="1:10" x14ac:dyDescent="0.35">
      <c r="A71">
        <v>4</v>
      </c>
      <c r="B71">
        <f t="shared" si="31"/>
        <v>4</v>
      </c>
      <c r="C71" s="1">
        <f t="shared" si="32"/>
        <v>46849</v>
      </c>
      <c r="D71">
        <f t="shared" si="33"/>
        <v>4.0638888888888891</v>
      </c>
      <c r="E71">
        <f t="shared" si="36"/>
        <v>0.50833333333333375</v>
      </c>
      <c r="F71">
        <v>0</v>
      </c>
      <c r="G71">
        <f>E71*('Tasas Swap CLP vs Camara'!$C$13/100)</f>
        <v>2.5492916666666688E-2</v>
      </c>
      <c r="H71">
        <v>0.81732431125665073</v>
      </c>
      <c r="I71">
        <f t="shared" si="37"/>
        <v>2.0835980556506543E-2</v>
      </c>
      <c r="J71" s="4">
        <f t="shared" si="38"/>
        <v>5.0889568782717776E-2</v>
      </c>
    </row>
    <row r="72" spans="1:10" x14ac:dyDescent="0.35">
      <c r="A72" s="5">
        <v>4.5</v>
      </c>
      <c r="B72">
        <f t="shared" si="31"/>
        <v>4.5</v>
      </c>
      <c r="C72" s="1">
        <f t="shared" si="32"/>
        <v>47032</v>
      </c>
      <c r="D72">
        <f t="shared" si="33"/>
        <v>4.572222222222222</v>
      </c>
      <c r="E72">
        <f t="shared" si="36"/>
        <v>0.50833333333333286</v>
      </c>
      <c r="F72">
        <v>0</v>
      </c>
      <c r="G72">
        <f>E72*('Tasas Swap CLP vs Camara'!$C$13/100)</f>
        <v>2.5492916666666643E-2</v>
      </c>
      <c r="H72">
        <v>0.79792489545475964</v>
      </c>
      <c r="I72">
        <f t="shared" si="37"/>
        <v>2.0341432866086882E-2</v>
      </c>
      <c r="J72" s="4">
        <f t="shared" si="38"/>
        <v>5.0611345824343124E-2</v>
      </c>
    </row>
    <row r="73" spans="1:10" x14ac:dyDescent="0.35">
      <c r="A73">
        <v>5</v>
      </c>
      <c r="B73">
        <f t="shared" si="31"/>
        <v>5</v>
      </c>
      <c r="C73" s="1">
        <f t="shared" si="32"/>
        <v>47214</v>
      </c>
      <c r="D73">
        <f t="shared" si="33"/>
        <v>5.0777777777777775</v>
      </c>
      <c r="E73">
        <f t="shared" si="36"/>
        <v>0.50555555555555554</v>
      </c>
      <c r="F73">
        <v>0</v>
      </c>
      <c r="G73">
        <f>E73*('Tasas Swap CLP vs Camara'!$C$13/100)</f>
        <v>2.5353611111111111E-2</v>
      </c>
      <c r="H73">
        <v>0.77863148738949084</v>
      </c>
      <c r="I73">
        <f t="shared" si="37"/>
        <v>1.9741119930139165E-2</v>
      </c>
      <c r="J73" s="4">
        <f t="shared" si="38"/>
        <v>5.0511249944210412E-2</v>
      </c>
    </row>
    <row r="74" spans="1:10" x14ac:dyDescent="0.35">
      <c r="A74">
        <v>5.5</v>
      </c>
      <c r="B74">
        <f t="shared" si="31"/>
        <v>5.5</v>
      </c>
      <c r="C74" s="1">
        <f t="shared" si="32"/>
        <v>47397</v>
      </c>
      <c r="D74">
        <f t="shared" si="33"/>
        <v>5.5861111111111112</v>
      </c>
      <c r="E74">
        <f t="shared" si="36"/>
        <v>0.50833333333333375</v>
      </c>
      <c r="F74">
        <v>0</v>
      </c>
      <c r="G74">
        <f>E74*('Tasas Swap CLP vs Camara'!$C$13/100)</f>
        <v>2.5492916666666688E-2</v>
      </c>
      <c r="H74">
        <f>+((H75-H73)/(D75-D73))*(D74-D73)+H73</f>
        <v>0.75919032579226176</v>
      </c>
      <c r="I74">
        <f t="shared" si="37"/>
        <v>1.9353975709561662E-2</v>
      </c>
      <c r="J74" s="4">
        <f t="shared" si="38"/>
        <v>5.0555680339027464E-2</v>
      </c>
    </row>
    <row r="75" spans="1:10" x14ac:dyDescent="0.35">
      <c r="A75">
        <v>6</v>
      </c>
      <c r="B75">
        <f t="shared" si="31"/>
        <v>6</v>
      </c>
      <c r="C75" s="1">
        <f t="shared" si="32"/>
        <v>47579</v>
      </c>
      <c r="D75">
        <f t="shared" si="33"/>
        <v>6.0916666666666668</v>
      </c>
      <c r="E75">
        <f t="shared" si="36"/>
        <v>0.50555555555555554</v>
      </c>
      <c r="F75">
        <v>1</v>
      </c>
      <c r="G75">
        <f>E75*('Tasas Swap CLP vs Camara'!$C$13/100)</f>
        <v>2.5353611111111111E-2</v>
      </c>
      <c r="H75" s="2">
        <v>0.73985540005075534</v>
      </c>
      <c r="I75">
        <f t="shared" si="37"/>
        <v>0.7586134061420976</v>
      </c>
      <c r="J75" s="8">
        <f t="shared" si="38"/>
        <v>5.0704716082387691E-2</v>
      </c>
    </row>
    <row r="76" spans="1:10" x14ac:dyDescent="0.35">
      <c r="I76">
        <f>SUM(I64:I75)</f>
        <v>1</v>
      </c>
    </row>
    <row r="79" spans="1:10" x14ac:dyDescent="0.35">
      <c r="B79" t="s">
        <v>49</v>
      </c>
      <c r="C79" t="s">
        <v>35</v>
      </c>
    </row>
    <row r="80" spans="1:10" x14ac:dyDescent="0.35">
      <c r="A80" s="5" t="s">
        <v>36</v>
      </c>
      <c r="B80" t="s">
        <v>38</v>
      </c>
      <c r="C80" t="s">
        <v>37</v>
      </c>
      <c r="D80" t="s">
        <v>25</v>
      </c>
      <c r="E80" t="s">
        <v>41</v>
      </c>
      <c r="F80" t="s">
        <v>40</v>
      </c>
      <c r="G80" s="5" t="s">
        <v>105</v>
      </c>
      <c r="H80" t="s">
        <v>42</v>
      </c>
      <c r="I80" t="s">
        <v>32</v>
      </c>
      <c r="J80" s="4" t="s">
        <v>33</v>
      </c>
    </row>
    <row r="81" spans="1:10" x14ac:dyDescent="0.35">
      <c r="A81">
        <v>0.5</v>
      </c>
      <c r="B81">
        <f>A81</f>
        <v>0.5</v>
      </c>
      <c r="C81" s="1">
        <f>+DATE(YEAR($C$1),MONTH($C$1)+B81*12,DAY($C$1)+2)</f>
        <v>45571</v>
      </c>
      <c r="D81">
        <f>+(C81-$C$1)/360</f>
        <v>0.51388888888888884</v>
      </c>
      <c r="E81" s="6">
        <f>(C81-$C$1)/360</f>
        <v>0.51388888888888884</v>
      </c>
      <c r="F81">
        <v>0</v>
      </c>
      <c r="G81">
        <f>E81*('Tasas Swap CLP vs Camara'!$C$14/100)</f>
        <v>2.5874305555555553E-2</v>
      </c>
      <c r="H81">
        <v>0.97047596454527818</v>
      </c>
      <c r="I81">
        <f>H81*SUM(F81:G81)</f>
        <v>2.5110391640967025E-2</v>
      </c>
      <c r="J81" s="4">
        <f>+(1/H81)^(1/D81)-1</f>
        <v>6.0051358994559045E-2</v>
      </c>
    </row>
    <row r="82" spans="1:10" x14ac:dyDescent="0.35">
      <c r="A82">
        <v>1</v>
      </c>
      <c r="B82">
        <f t="shared" ref="B82:B94" si="39">A82</f>
        <v>1</v>
      </c>
      <c r="C82" s="1">
        <f t="shared" ref="C82:C94" si="40">+DATE(YEAR($C$1),MONTH($C$1)+B82*12,DAY($C$1)+2)</f>
        <v>45753</v>
      </c>
      <c r="D82">
        <f t="shared" ref="D82:D94" si="41">+(C82-$C$1)/360</f>
        <v>1.0194444444444444</v>
      </c>
      <c r="E82">
        <f>D82-D81</f>
        <v>0.50555555555555554</v>
      </c>
      <c r="F82">
        <v>0</v>
      </c>
      <c r="G82">
        <f>E82*('Tasas Swap CLP vs Camara'!$C$14/100)</f>
        <v>2.5454722222222222E-2</v>
      </c>
      <c r="H82">
        <v>0.94690742664755312</v>
      </c>
      <c r="I82">
        <f t="shared" ref="I82:I94" si="42">H82*SUM(F82:G82)</f>
        <v>2.4103265515472729E-2</v>
      </c>
      <c r="J82" s="4">
        <f t="shared" ref="J82:J94" si="43">+(1/H82)^(1/D82)-1</f>
        <v>5.497113508809659E-2</v>
      </c>
    </row>
    <row r="83" spans="1:10" x14ac:dyDescent="0.35">
      <c r="A83">
        <v>1.5</v>
      </c>
      <c r="B83">
        <f t="shared" si="39"/>
        <v>1.5</v>
      </c>
      <c r="C83" s="1">
        <f t="shared" si="40"/>
        <v>45936</v>
      </c>
      <c r="D83">
        <f t="shared" si="41"/>
        <v>1.5277777777777777</v>
      </c>
      <c r="E83">
        <f t="shared" ref="E83:E94" si="44">D83-D82</f>
        <v>0.5083333333333333</v>
      </c>
      <c r="F83">
        <v>0</v>
      </c>
      <c r="G83">
        <f>E83*('Tasas Swap CLP vs Camara'!$C$14/100)</f>
        <v>2.559458333333333E-2</v>
      </c>
      <c r="H83">
        <v>0.9248317320043159</v>
      </c>
      <c r="I83">
        <f t="shared" si="42"/>
        <v>2.3670682834095461E-2</v>
      </c>
      <c r="J83" s="4">
        <f t="shared" si="43"/>
        <v>5.2479125027685258E-2</v>
      </c>
    </row>
    <row r="84" spans="1:10" x14ac:dyDescent="0.35">
      <c r="A84">
        <v>2</v>
      </c>
      <c r="B84">
        <f t="shared" si="39"/>
        <v>2</v>
      </c>
      <c r="C84" s="1">
        <f t="shared" si="40"/>
        <v>46118</v>
      </c>
      <c r="D84">
        <f t="shared" si="41"/>
        <v>2.0333333333333332</v>
      </c>
      <c r="E84">
        <f t="shared" si="44"/>
        <v>0.50555555555555554</v>
      </c>
      <c r="F84">
        <v>0</v>
      </c>
      <c r="G84">
        <f>E84*('Tasas Swap CLP vs Camara'!$C$14/100)</f>
        <v>2.5454722222222222E-2</v>
      </c>
      <c r="H84">
        <v>0.9026167011601639</v>
      </c>
      <c r="I84">
        <f t="shared" si="42"/>
        <v>2.297585740117054E-2</v>
      </c>
      <c r="J84" s="4">
        <f t="shared" si="43"/>
        <v>5.1679941960715903E-2</v>
      </c>
    </row>
    <row r="85" spans="1:10" x14ac:dyDescent="0.35">
      <c r="A85">
        <v>2.5</v>
      </c>
      <c r="B85">
        <f t="shared" si="39"/>
        <v>2.5</v>
      </c>
      <c r="C85" s="1">
        <f t="shared" si="40"/>
        <v>46301</v>
      </c>
      <c r="D85">
        <f t="shared" si="41"/>
        <v>2.5416666666666665</v>
      </c>
      <c r="E85">
        <f t="shared" si="44"/>
        <v>0.5083333333333333</v>
      </c>
      <c r="F85">
        <v>0</v>
      </c>
      <c r="G85">
        <f>E85*('Tasas Swap CLP vs Camara'!$C$14/100)</f>
        <v>2.559458333333333E-2</v>
      </c>
      <c r="H85">
        <v>0.88110197584942485</v>
      </c>
      <c r="I85">
        <f t="shared" si="42"/>
        <v>2.2551437946042755E-2</v>
      </c>
      <c r="J85" s="4">
        <f t="shared" si="43"/>
        <v>5.1063720539427759E-2</v>
      </c>
    </row>
    <row r="86" spans="1:10" x14ac:dyDescent="0.35">
      <c r="A86">
        <v>3</v>
      </c>
      <c r="B86">
        <f t="shared" si="39"/>
        <v>3</v>
      </c>
      <c r="C86" s="1">
        <f t="shared" si="40"/>
        <v>46483</v>
      </c>
      <c r="D86">
        <f t="shared" si="41"/>
        <v>3.0472222222222221</v>
      </c>
      <c r="E86">
        <f t="shared" si="44"/>
        <v>0.50555555555555554</v>
      </c>
      <c r="F86">
        <v>0</v>
      </c>
      <c r="G86">
        <f>E86*('Tasas Swap CLP vs Camara'!$C$14/100)</f>
        <v>2.5454722222222222E-2</v>
      </c>
      <c r="H86">
        <v>0.85970481734366244</v>
      </c>
      <c r="I86">
        <f t="shared" si="42"/>
        <v>2.1883547318589221E-2</v>
      </c>
      <c r="J86" s="4">
        <f t="shared" si="43"/>
        <v>5.0858935509587644E-2</v>
      </c>
    </row>
    <row r="87" spans="1:10" x14ac:dyDescent="0.35">
      <c r="A87">
        <v>3.5</v>
      </c>
      <c r="B87">
        <f t="shared" si="39"/>
        <v>3.5</v>
      </c>
      <c r="C87" s="1">
        <f t="shared" si="40"/>
        <v>46666</v>
      </c>
      <c r="D87">
        <f t="shared" si="41"/>
        <v>3.5555555555555554</v>
      </c>
      <c r="E87">
        <f t="shared" si="44"/>
        <v>0.5083333333333333</v>
      </c>
      <c r="F87">
        <v>0</v>
      </c>
      <c r="G87">
        <f>E87*('Tasas Swap CLP vs Camara'!$C$14/100)</f>
        <v>2.559458333333333E-2</v>
      </c>
      <c r="H87">
        <v>0.83851456430015658</v>
      </c>
      <c r="I87">
        <f t="shared" si="42"/>
        <v>2.1461430892194048E-2</v>
      </c>
      <c r="J87" s="4">
        <f t="shared" si="43"/>
        <v>5.0782039126814116E-2</v>
      </c>
    </row>
    <row r="88" spans="1:10" x14ac:dyDescent="0.35">
      <c r="A88">
        <v>4</v>
      </c>
      <c r="B88">
        <f t="shared" si="39"/>
        <v>4</v>
      </c>
      <c r="C88" s="1">
        <f t="shared" si="40"/>
        <v>46849</v>
      </c>
      <c r="D88">
        <f t="shared" si="41"/>
        <v>4.0638888888888891</v>
      </c>
      <c r="E88">
        <f t="shared" si="44"/>
        <v>0.50833333333333375</v>
      </c>
      <c r="F88">
        <v>0</v>
      </c>
      <c r="G88">
        <f>E88*('Tasas Swap CLP vs Camara'!$C$14/100)</f>
        <v>2.5594583333333355E-2</v>
      </c>
      <c r="H88">
        <v>0.81732431125665073</v>
      </c>
      <c r="I88">
        <f t="shared" si="42"/>
        <v>2.0919075194817636E-2</v>
      </c>
      <c r="J88" s="4">
        <f t="shared" si="43"/>
        <v>5.0889568782717776E-2</v>
      </c>
    </row>
    <row r="89" spans="1:10" x14ac:dyDescent="0.35">
      <c r="A89" s="5">
        <v>4.5</v>
      </c>
      <c r="B89">
        <f t="shared" si="39"/>
        <v>4.5</v>
      </c>
      <c r="C89" s="1">
        <f t="shared" si="40"/>
        <v>47032</v>
      </c>
      <c r="D89">
        <f t="shared" si="41"/>
        <v>4.572222222222222</v>
      </c>
      <c r="E89">
        <f t="shared" si="44"/>
        <v>0.50833333333333286</v>
      </c>
      <c r="F89">
        <v>0</v>
      </c>
      <c r="G89">
        <f>E89*('Tasas Swap CLP vs Camara'!$C$14/100)</f>
        <v>2.5594583333333309E-2</v>
      </c>
      <c r="H89">
        <v>0.79792489545475964</v>
      </c>
      <c r="I89">
        <f t="shared" si="42"/>
        <v>2.0422555230458113E-2</v>
      </c>
      <c r="J89" s="4">
        <f t="shared" si="43"/>
        <v>5.0611345824343124E-2</v>
      </c>
    </row>
    <row r="90" spans="1:10" x14ac:dyDescent="0.35">
      <c r="A90">
        <v>5</v>
      </c>
      <c r="B90">
        <f t="shared" si="39"/>
        <v>5</v>
      </c>
      <c r="C90" s="1">
        <f t="shared" si="40"/>
        <v>47214</v>
      </c>
      <c r="D90">
        <f t="shared" si="41"/>
        <v>5.0777777777777775</v>
      </c>
      <c r="E90">
        <f t="shared" si="44"/>
        <v>0.50555555555555554</v>
      </c>
      <c r="F90">
        <v>0</v>
      </c>
      <c r="G90">
        <f>E90*('Tasas Swap CLP vs Camara'!$C$14/100)</f>
        <v>2.5454722222222222E-2</v>
      </c>
      <c r="H90">
        <v>0.77863148738949084</v>
      </c>
      <c r="I90">
        <f t="shared" si="42"/>
        <v>1.9819848224975213E-2</v>
      </c>
      <c r="J90" s="4">
        <f t="shared" si="43"/>
        <v>5.0511249944210412E-2</v>
      </c>
    </row>
    <row r="91" spans="1:10" x14ac:dyDescent="0.35">
      <c r="A91">
        <v>5.5</v>
      </c>
      <c r="B91">
        <f t="shared" si="39"/>
        <v>5.5</v>
      </c>
      <c r="C91" s="1">
        <f t="shared" si="40"/>
        <v>47397</v>
      </c>
      <c r="D91">
        <f t="shared" si="41"/>
        <v>5.5861111111111112</v>
      </c>
      <c r="E91">
        <f t="shared" si="44"/>
        <v>0.50833333333333375</v>
      </c>
      <c r="F91">
        <v>0</v>
      </c>
      <c r="G91">
        <f>E91*('Tasas Swap CLP vs Camara'!$C$14/100)</f>
        <v>2.5594583333333355E-2</v>
      </c>
      <c r="H91">
        <v>0.75919032579226176</v>
      </c>
      <c r="I91">
        <f t="shared" si="42"/>
        <v>1.9431160059350541E-2</v>
      </c>
      <c r="J91" s="4">
        <f t="shared" si="43"/>
        <v>5.0555680339027464E-2</v>
      </c>
    </row>
    <row r="92" spans="1:10" x14ac:dyDescent="0.35">
      <c r="A92">
        <v>6</v>
      </c>
      <c r="B92">
        <f t="shared" si="39"/>
        <v>6</v>
      </c>
      <c r="C92" s="1">
        <f t="shared" si="40"/>
        <v>47579</v>
      </c>
      <c r="D92">
        <f t="shared" si="41"/>
        <v>6.0916666666666668</v>
      </c>
      <c r="E92">
        <f t="shared" si="44"/>
        <v>0.50555555555555554</v>
      </c>
      <c r="F92">
        <v>0</v>
      </c>
      <c r="G92">
        <f>E92*('Tasas Swap CLP vs Camara'!$C$14/100)</f>
        <v>2.5454722222222222E-2</v>
      </c>
      <c r="H92">
        <v>0.73985540005075534</v>
      </c>
      <c r="I92">
        <f t="shared" si="42"/>
        <v>1.8832813692903076E-2</v>
      </c>
      <c r="J92" s="4">
        <f t="shared" si="43"/>
        <v>5.0704716082387691E-2</v>
      </c>
    </row>
    <row r="93" spans="1:10" x14ac:dyDescent="0.35">
      <c r="A93">
        <v>6.5</v>
      </c>
      <c r="B93">
        <f t="shared" si="39"/>
        <v>6.5</v>
      </c>
      <c r="C93" s="1">
        <f t="shared" si="40"/>
        <v>47762</v>
      </c>
      <c r="D93">
        <f t="shared" si="41"/>
        <v>6.6</v>
      </c>
      <c r="E93">
        <f t="shared" si="44"/>
        <v>0.50833333333333286</v>
      </c>
      <c r="F93">
        <v>0</v>
      </c>
      <c r="G93">
        <f>E93*('Tasas Swap CLP vs Camara'!$C$14/100)</f>
        <v>2.5594583333333309E-2</v>
      </c>
      <c r="H93">
        <f>+((H94-H92)/(D94-D92))*(D93-D92)+H92</f>
        <v>0.72111641605721155</v>
      </c>
      <c r="I93">
        <f t="shared" si="42"/>
        <v>1.8456674203810957E-2</v>
      </c>
      <c r="J93" s="4">
        <f t="shared" si="43"/>
        <v>5.0786140635866506E-2</v>
      </c>
    </row>
    <row r="94" spans="1:10" x14ac:dyDescent="0.35">
      <c r="A94">
        <v>7</v>
      </c>
      <c r="B94">
        <f t="shared" si="39"/>
        <v>7</v>
      </c>
      <c r="C94" s="1">
        <f t="shared" si="40"/>
        <v>47944</v>
      </c>
      <c r="D94">
        <f t="shared" si="41"/>
        <v>7.1055555555555552</v>
      </c>
      <c r="E94">
        <f t="shared" si="44"/>
        <v>0.50555555555555554</v>
      </c>
      <c r="F94">
        <v>1</v>
      </c>
      <c r="G94">
        <f>E94*('Tasas Swap CLP vs Camara'!$C$14/100)</f>
        <v>2.5454722222222222E-2</v>
      </c>
      <c r="H94" s="2">
        <v>0.70247983088330468</v>
      </c>
      <c r="I94">
        <f t="shared" si="42"/>
        <v>0.72036125984515276</v>
      </c>
      <c r="J94" s="8">
        <f t="shared" si="43"/>
        <v>5.0954649734858526E-2</v>
      </c>
    </row>
    <row r="95" spans="1:10" x14ac:dyDescent="0.35">
      <c r="I95">
        <f>SUM(I81:I94)</f>
        <v>1</v>
      </c>
    </row>
    <row r="98" spans="1:10" x14ac:dyDescent="0.35">
      <c r="B98" t="s">
        <v>50</v>
      </c>
      <c r="C98" t="s">
        <v>35</v>
      </c>
    </row>
    <row r="99" spans="1:10" x14ac:dyDescent="0.35">
      <c r="A99" s="5" t="s">
        <v>36</v>
      </c>
      <c r="B99" t="s">
        <v>38</v>
      </c>
      <c r="C99" t="s">
        <v>37</v>
      </c>
      <c r="D99" t="s">
        <v>25</v>
      </c>
      <c r="E99" t="s">
        <v>41</v>
      </c>
      <c r="F99" t="s">
        <v>40</v>
      </c>
      <c r="G99" s="5" t="s">
        <v>105</v>
      </c>
      <c r="H99" t="s">
        <v>42</v>
      </c>
      <c r="I99" t="s">
        <v>32</v>
      </c>
      <c r="J99" s="4" t="s">
        <v>33</v>
      </c>
    </row>
    <row r="100" spans="1:10" x14ac:dyDescent="0.35">
      <c r="A100">
        <v>0.5</v>
      </c>
      <c r="B100">
        <f>A100</f>
        <v>0.5</v>
      </c>
      <c r="C100" s="1">
        <f>+DATE(YEAR($C$1),MONTH($C$1)+B100*12,DAY($C$1)+2)</f>
        <v>45571</v>
      </c>
      <c r="D100">
        <f>+(C100-$C$1)/360</f>
        <v>0.51388888888888884</v>
      </c>
      <c r="E100" s="6">
        <f>(C100-$C$1)/360</f>
        <v>0.51388888888888884</v>
      </c>
      <c r="F100">
        <v>0</v>
      </c>
      <c r="G100">
        <f>E100*('Tasas Swap CLP vs Camara'!$C$15/100)</f>
        <v>2.6002777777777774E-2</v>
      </c>
      <c r="H100">
        <v>0.97047596454527818</v>
      </c>
      <c r="I100">
        <f>H100*SUM(F100:G100)</f>
        <v>2.5235070844745411E-2</v>
      </c>
      <c r="J100" s="4">
        <f>+(1/H100)^(1/D100)-1</f>
        <v>6.0051358994559045E-2</v>
      </c>
    </row>
    <row r="101" spans="1:10" x14ac:dyDescent="0.35">
      <c r="A101">
        <v>1</v>
      </c>
      <c r="B101">
        <f t="shared" ref="B101:B115" si="45">A101</f>
        <v>1</v>
      </c>
      <c r="C101" s="1">
        <f t="shared" ref="C101:C115" si="46">+DATE(YEAR($C$1),MONTH($C$1)+B101*12,DAY($C$1)+2)</f>
        <v>45753</v>
      </c>
      <c r="D101">
        <f t="shared" ref="D101:D115" si="47">+(C101-$C$1)/360</f>
        <v>1.0194444444444444</v>
      </c>
      <c r="E101">
        <f>D101-D100</f>
        <v>0.50555555555555554</v>
      </c>
      <c r="F101">
        <v>0</v>
      </c>
      <c r="G101">
        <f>E101*('Tasas Swap CLP vs Camara'!$C$15/100)</f>
        <v>2.558111111111111E-2</v>
      </c>
      <c r="H101">
        <v>0.94690742664755312</v>
      </c>
      <c r="I101">
        <f t="shared" ref="I101:I115" si="48">H101*SUM(F101:G101)</f>
        <v>2.4222944093007348E-2</v>
      </c>
      <c r="J101" s="4">
        <f t="shared" ref="J101:J115" si="49">+(1/H101)^(1/D101)-1</f>
        <v>5.497113508809659E-2</v>
      </c>
    </row>
    <row r="102" spans="1:10" x14ac:dyDescent="0.35">
      <c r="A102">
        <v>1.5</v>
      </c>
      <c r="B102">
        <f t="shared" si="45"/>
        <v>1.5</v>
      </c>
      <c r="C102" s="1">
        <f t="shared" si="46"/>
        <v>45936</v>
      </c>
      <c r="D102">
        <f t="shared" si="47"/>
        <v>1.5277777777777777</v>
      </c>
      <c r="E102">
        <f t="shared" ref="E102:E115" si="50">D102-D101</f>
        <v>0.5083333333333333</v>
      </c>
      <c r="F102">
        <v>0</v>
      </c>
      <c r="G102">
        <f>E102*('Tasas Swap CLP vs Camara'!$C$15/100)</f>
        <v>2.5721666666666664E-2</v>
      </c>
      <c r="H102">
        <v>0.9248317320043159</v>
      </c>
      <c r="I102">
        <f t="shared" si="48"/>
        <v>2.378821353337101E-2</v>
      </c>
      <c r="J102" s="4">
        <f t="shared" si="49"/>
        <v>5.2479125027685258E-2</v>
      </c>
    </row>
    <row r="103" spans="1:10" x14ac:dyDescent="0.35">
      <c r="A103">
        <v>2</v>
      </c>
      <c r="B103">
        <f t="shared" si="45"/>
        <v>2</v>
      </c>
      <c r="C103" s="1">
        <f t="shared" si="46"/>
        <v>46118</v>
      </c>
      <c r="D103">
        <f t="shared" si="47"/>
        <v>2.0333333333333332</v>
      </c>
      <c r="E103">
        <f t="shared" si="50"/>
        <v>0.50555555555555554</v>
      </c>
      <c r="F103">
        <v>0</v>
      </c>
      <c r="G103">
        <f>E103*('Tasas Swap CLP vs Camara'!$C$15/100)</f>
        <v>2.558111111111111E-2</v>
      </c>
      <c r="H103">
        <v>0.9026167011601639</v>
      </c>
      <c r="I103">
        <f t="shared" si="48"/>
        <v>2.3089938123122725E-2</v>
      </c>
      <c r="J103" s="4">
        <f t="shared" si="49"/>
        <v>5.1679941960715903E-2</v>
      </c>
    </row>
    <row r="104" spans="1:10" x14ac:dyDescent="0.35">
      <c r="A104">
        <v>2.5</v>
      </c>
      <c r="B104">
        <f t="shared" si="45"/>
        <v>2.5</v>
      </c>
      <c r="C104" s="1">
        <f t="shared" si="46"/>
        <v>46301</v>
      </c>
      <c r="D104">
        <f t="shared" si="47"/>
        <v>2.5416666666666665</v>
      </c>
      <c r="E104">
        <f t="shared" si="50"/>
        <v>0.5083333333333333</v>
      </c>
      <c r="F104">
        <v>0</v>
      </c>
      <c r="G104">
        <f>E104*('Tasas Swap CLP vs Camara'!$C$15/100)</f>
        <v>2.5721666666666664E-2</v>
      </c>
      <c r="H104">
        <v>0.88110197584942485</v>
      </c>
      <c r="I104">
        <f t="shared" si="48"/>
        <v>2.2663411322140288E-2</v>
      </c>
      <c r="J104" s="4">
        <f t="shared" si="49"/>
        <v>5.1063720539427759E-2</v>
      </c>
    </row>
    <row r="105" spans="1:10" x14ac:dyDescent="0.35">
      <c r="A105">
        <v>3</v>
      </c>
      <c r="B105">
        <f t="shared" si="45"/>
        <v>3</v>
      </c>
      <c r="C105" s="1">
        <f t="shared" si="46"/>
        <v>46483</v>
      </c>
      <c r="D105">
        <f t="shared" si="47"/>
        <v>3.0472222222222221</v>
      </c>
      <c r="E105">
        <f t="shared" si="50"/>
        <v>0.50555555555555554</v>
      </c>
      <c r="F105">
        <v>0</v>
      </c>
      <c r="G105">
        <f>E105*('Tasas Swap CLP vs Camara'!$C$15/100)</f>
        <v>2.558111111111111E-2</v>
      </c>
      <c r="H105">
        <v>0.85970481734366244</v>
      </c>
      <c r="I105">
        <f t="shared" si="48"/>
        <v>2.1992204455225709E-2</v>
      </c>
      <c r="J105" s="4">
        <f t="shared" si="49"/>
        <v>5.0858935509587644E-2</v>
      </c>
    </row>
    <row r="106" spans="1:10" x14ac:dyDescent="0.35">
      <c r="A106">
        <v>3.5</v>
      </c>
      <c r="B106">
        <f t="shared" si="45"/>
        <v>3.5</v>
      </c>
      <c r="C106" s="1">
        <f t="shared" si="46"/>
        <v>46666</v>
      </c>
      <c r="D106">
        <f t="shared" si="47"/>
        <v>3.5555555555555554</v>
      </c>
      <c r="E106">
        <f t="shared" si="50"/>
        <v>0.5083333333333333</v>
      </c>
      <c r="F106">
        <v>0</v>
      </c>
      <c r="G106">
        <f>E106*('Tasas Swap CLP vs Camara'!$C$15/100)</f>
        <v>2.5721666666666664E-2</v>
      </c>
      <c r="H106">
        <v>0.83851456430015658</v>
      </c>
      <c r="I106">
        <f t="shared" si="48"/>
        <v>2.1567992118073857E-2</v>
      </c>
      <c r="J106" s="4">
        <f t="shared" si="49"/>
        <v>5.0782039126814116E-2</v>
      </c>
    </row>
    <row r="107" spans="1:10" x14ac:dyDescent="0.35">
      <c r="A107">
        <v>4</v>
      </c>
      <c r="B107">
        <f t="shared" si="45"/>
        <v>4</v>
      </c>
      <c r="C107" s="1">
        <f t="shared" si="46"/>
        <v>46849</v>
      </c>
      <c r="D107">
        <f t="shared" si="47"/>
        <v>4.0638888888888891</v>
      </c>
      <c r="E107">
        <f t="shared" si="50"/>
        <v>0.50833333333333375</v>
      </c>
      <c r="F107">
        <v>0</v>
      </c>
      <c r="G107">
        <f>E107*('Tasas Swap CLP vs Camara'!$C$15/100)</f>
        <v>2.5721666666666688E-2</v>
      </c>
      <c r="H107">
        <v>0.81732431125665073</v>
      </c>
      <c r="I107">
        <f t="shared" si="48"/>
        <v>2.1022943492706503E-2</v>
      </c>
      <c r="J107" s="4">
        <f t="shared" si="49"/>
        <v>5.0889568782717776E-2</v>
      </c>
    </row>
    <row r="108" spans="1:10" x14ac:dyDescent="0.35">
      <c r="A108" s="5">
        <v>4.5</v>
      </c>
      <c r="B108">
        <f t="shared" si="45"/>
        <v>4.5</v>
      </c>
      <c r="C108" s="1">
        <f t="shared" si="46"/>
        <v>47032</v>
      </c>
      <c r="D108">
        <f t="shared" si="47"/>
        <v>4.572222222222222</v>
      </c>
      <c r="E108">
        <f t="shared" si="50"/>
        <v>0.50833333333333286</v>
      </c>
      <c r="F108">
        <v>0</v>
      </c>
      <c r="G108">
        <f>E108*('Tasas Swap CLP vs Camara'!$C$15/100)</f>
        <v>2.5721666666666643E-2</v>
      </c>
      <c r="H108">
        <v>0.79792489545475964</v>
      </c>
      <c r="I108">
        <f t="shared" si="48"/>
        <v>2.0523958185922158E-2</v>
      </c>
      <c r="J108" s="4">
        <f t="shared" si="49"/>
        <v>5.0611345824343124E-2</v>
      </c>
    </row>
    <row r="109" spans="1:10" x14ac:dyDescent="0.35">
      <c r="A109">
        <v>5</v>
      </c>
      <c r="B109">
        <f t="shared" si="45"/>
        <v>5</v>
      </c>
      <c r="C109" s="1">
        <f t="shared" si="46"/>
        <v>47214</v>
      </c>
      <c r="D109">
        <f t="shared" si="47"/>
        <v>5.0777777777777775</v>
      </c>
      <c r="E109">
        <f t="shared" si="50"/>
        <v>0.50555555555555554</v>
      </c>
      <c r="F109">
        <v>0</v>
      </c>
      <c r="G109">
        <f>E109*('Tasas Swap CLP vs Camara'!$C$15/100)</f>
        <v>2.558111111111111E-2</v>
      </c>
      <c r="H109">
        <v>0.77863148738949084</v>
      </c>
      <c r="I109">
        <f t="shared" si="48"/>
        <v>1.9918258593520276E-2</v>
      </c>
      <c r="J109" s="4">
        <f t="shared" si="49"/>
        <v>5.0511249944210412E-2</v>
      </c>
    </row>
    <row r="110" spans="1:10" x14ac:dyDescent="0.35">
      <c r="A110">
        <v>5.5</v>
      </c>
      <c r="B110">
        <f t="shared" si="45"/>
        <v>5.5</v>
      </c>
      <c r="C110" s="1">
        <f t="shared" si="46"/>
        <v>47397</v>
      </c>
      <c r="D110">
        <f t="shared" si="47"/>
        <v>5.5861111111111112</v>
      </c>
      <c r="E110">
        <f t="shared" si="50"/>
        <v>0.50833333333333375</v>
      </c>
      <c r="F110">
        <v>0</v>
      </c>
      <c r="G110">
        <f>E110*('Tasas Swap CLP vs Camara'!$C$15/100)</f>
        <v>2.5721666666666688E-2</v>
      </c>
      <c r="H110">
        <v>0.75919032579226176</v>
      </c>
      <c r="I110">
        <f t="shared" si="48"/>
        <v>1.9527640496586642E-2</v>
      </c>
      <c r="J110" s="4">
        <f t="shared" si="49"/>
        <v>5.0555680339027464E-2</v>
      </c>
    </row>
    <row r="111" spans="1:10" x14ac:dyDescent="0.35">
      <c r="A111">
        <v>6</v>
      </c>
      <c r="B111">
        <f t="shared" si="45"/>
        <v>6</v>
      </c>
      <c r="C111" s="1">
        <f t="shared" si="46"/>
        <v>47579</v>
      </c>
      <c r="D111">
        <f t="shared" si="47"/>
        <v>6.0916666666666668</v>
      </c>
      <c r="E111">
        <f t="shared" si="50"/>
        <v>0.50555555555555554</v>
      </c>
      <c r="F111">
        <v>0</v>
      </c>
      <c r="G111">
        <f>E111*('Tasas Swap CLP vs Camara'!$C$15/100)</f>
        <v>2.558111111111111E-2</v>
      </c>
      <c r="H111">
        <v>0.73985540005075534</v>
      </c>
      <c r="I111">
        <f t="shared" si="48"/>
        <v>1.8926323194853933E-2</v>
      </c>
      <c r="J111" s="4">
        <f t="shared" si="49"/>
        <v>5.0704716082387691E-2</v>
      </c>
    </row>
    <row r="112" spans="1:10" x14ac:dyDescent="0.35">
      <c r="A112">
        <v>6.5</v>
      </c>
      <c r="B112">
        <f t="shared" si="45"/>
        <v>6.5</v>
      </c>
      <c r="C112" s="1">
        <f t="shared" si="46"/>
        <v>47762</v>
      </c>
      <c r="D112">
        <f t="shared" si="47"/>
        <v>6.6</v>
      </c>
      <c r="E112">
        <f t="shared" si="50"/>
        <v>0.50833333333333286</v>
      </c>
      <c r="F112">
        <v>0</v>
      </c>
      <c r="G112">
        <f>E112*('Tasas Swap CLP vs Camara'!$C$15/100)</f>
        <v>2.5721666666666643E-2</v>
      </c>
      <c r="H112">
        <v>0.72168717316515341</v>
      </c>
      <c r="I112">
        <f t="shared" si="48"/>
        <v>1.8562996905763005E-2</v>
      </c>
      <c r="J112" s="4">
        <f t="shared" si="49"/>
        <v>5.0660184739446334E-2</v>
      </c>
    </row>
    <row r="113" spans="1:10" x14ac:dyDescent="0.35">
      <c r="A113">
        <v>7</v>
      </c>
      <c r="B113">
        <f t="shared" si="45"/>
        <v>7</v>
      </c>
      <c r="C113" s="1">
        <f t="shared" si="46"/>
        <v>47944</v>
      </c>
      <c r="D113">
        <f t="shared" si="47"/>
        <v>7.1055555555555552</v>
      </c>
      <c r="E113">
        <f t="shared" si="50"/>
        <v>0.50555555555555554</v>
      </c>
      <c r="F113">
        <v>0</v>
      </c>
      <c r="G113">
        <f>E113*('Tasas Swap CLP vs Camara'!$C$15/100)</f>
        <v>2.558111111111111E-2</v>
      </c>
      <c r="H113">
        <v>0.70361822620788816</v>
      </c>
      <c r="I113">
        <f t="shared" si="48"/>
        <v>1.7999336024426899E-2</v>
      </c>
      <c r="J113" s="4">
        <f t="shared" si="49"/>
        <v>5.0715183635827943E-2</v>
      </c>
    </row>
    <row r="114" spans="1:10" x14ac:dyDescent="0.35">
      <c r="A114">
        <v>7.5</v>
      </c>
      <c r="B114">
        <f t="shared" si="45"/>
        <v>7.5</v>
      </c>
      <c r="C114" s="1">
        <f t="shared" si="46"/>
        <v>48127</v>
      </c>
      <c r="D114">
        <f t="shared" si="47"/>
        <v>7.6138888888888889</v>
      </c>
      <c r="E114">
        <f t="shared" si="50"/>
        <v>0.50833333333333375</v>
      </c>
      <c r="F114">
        <v>0</v>
      </c>
      <c r="G114">
        <f>E114*('Tasas Swap CLP vs Camara'!$C$15/100)</f>
        <v>2.5721666666666688E-2</v>
      </c>
      <c r="H114">
        <f>+((H115-H113)/(D115-D113))*(D114-D113)+H113</f>
        <v>0.68491199702456618</v>
      </c>
      <c r="I114">
        <f t="shared" si="48"/>
        <v>1.7617078083466898E-2</v>
      </c>
      <c r="J114" s="4">
        <f t="shared" si="49"/>
        <v>5.0963304784101826E-2</v>
      </c>
    </row>
    <row r="115" spans="1:10" x14ac:dyDescent="0.35">
      <c r="A115">
        <v>8</v>
      </c>
      <c r="B115">
        <f t="shared" si="45"/>
        <v>8</v>
      </c>
      <c r="C115" s="1">
        <f t="shared" si="46"/>
        <v>48310</v>
      </c>
      <c r="D115">
        <f t="shared" si="47"/>
        <v>8.1222222222222218</v>
      </c>
      <c r="E115">
        <f t="shared" si="50"/>
        <v>0.50833333333333286</v>
      </c>
      <c r="F115">
        <v>1</v>
      </c>
      <c r="G115">
        <f>E115*('Tasas Swap CLP vs Camara'!$C$15/100)</f>
        <v>2.5721666666666643E-2</v>
      </c>
      <c r="H115" s="2">
        <v>0.66620576784124419</v>
      </c>
      <c r="I115">
        <f t="shared" si="48"/>
        <v>0.68334169053306737</v>
      </c>
      <c r="J115" s="8">
        <f t="shared" si="49"/>
        <v>5.12769964386115E-2</v>
      </c>
    </row>
    <row r="116" spans="1:10" x14ac:dyDescent="0.35">
      <c r="I116">
        <f>SUM(I100:I115)</f>
        <v>1</v>
      </c>
    </row>
    <row r="119" spans="1:10" x14ac:dyDescent="0.35">
      <c r="B119" t="s">
        <v>51</v>
      </c>
      <c r="C119" t="s">
        <v>35</v>
      </c>
    </row>
    <row r="120" spans="1:10" x14ac:dyDescent="0.35">
      <c r="A120" s="5" t="s">
        <v>36</v>
      </c>
      <c r="B120" t="s">
        <v>38</v>
      </c>
      <c r="C120" t="s">
        <v>37</v>
      </c>
      <c r="D120" t="s">
        <v>25</v>
      </c>
      <c r="E120" t="s">
        <v>41</v>
      </c>
      <c r="F120" t="s">
        <v>40</v>
      </c>
      <c r="G120" s="5" t="s">
        <v>105</v>
      </c>
      <c r="H120" t="s">
        <v>42</v>
      </c>
      <c r="I120" t="s">
        <v>32</v>
      </c>
      <c r="J120" s="4" t="s">
        <v>33</v>
      </c>
    </row>
    <row r="121" spans="1:10" x14ac:dyDescent="0.35">
      <c r="A121">
        <v>0.5</v>
      </c>
      <c r="B121">
        <f>A121</f>
        <v>0.5</v>
      </c>
      <c r="C121" s="1">
        <f>+DATE(YEAR($C$1),MONTH($C$1)+B121*12,DAY($C$1)+2)</f>
        <v>45571</v>
      </c>
      <c r="D121">
        <f>+(C121-$C$1)/360</f>
        <v>0.51388888888888884</v>
      </c>
      <c r="E121" s="6">
        <f>(C121-$C$1)/360</f>
        <v>0.51388888888888884</v>
      </c>
      <c r="F121">
        <v>0</v>
      </c>
      <c r="G121">
        <f>E121*('Tasas Swap CLP vs Camara'!$C$16/100)</f>
        <v>2.6131249999999998E-2</v>
      </c>
      <c r="H121">
        <v>0.97047596454527818</v>
      </c>
      <c r="I121">
        <f>H121*SUM(F121:G121)</f>
        <v>2.53597500485238E-2</v>
      </c>
      <c r="J121" s="4">
        <f>+(1/H121)^(1/D121)-1</f>
        <v>6.0051358994559045E-2</v>
      </c>
    </row>
    <row r="122" spans="1:10" x14ac:dyDescent="0.35">
      <c r="A122">
        <v>1</v>
      </c>
      <c r="B122">
        <f t="shared" ref="B122:B138" si="51">A122</f>
        <v>1</v>
      </c>
      <c r="C122" s="1">
        <f t="shared" ref="C122:C138" si="52">+DATE(YEAR($C$1),MONTH($C$1)+B122*12,DAY($C$1)+2)</f>
        <v>45753</v>
      </c>
      <c r="D122">
        <f t="shared" ref="D122:D138" si="53">+(C122-$C$1)/360</f>
        <v>1.0194444444444444</v>
      </c>
      <c r="E122">
        <f>D122-D121</f>
        <v>0.50555555555555554</v>
      </c>
      <c r="F122">
        <v>0</v>
      </c>
      <c r="G122">
        <f>E122*('Tasas Swap CLP vs Camara'!$C$16/100)</f>
        <v>2.5707499999999998E-2</v>
      </c>
      <c r="H122">
        <v>0.94690742664755312</v>
      </c>
      <c r="I122">
        <f t="shared" ref="I122:I138" si="54">H122*SUM(F122:G122)</f>
        <v>2.434262267054197E-2</v>
      </c>
      <c r="J122" s="4">
        <f t="shared" ref="J122:J138" si="55">+(1/H122)^(1/D122)-1</f>
        <v>5.497113508809659E-2</v>
      </c>
    </row>
    <row r="123" spans="1:10" x14ac:dyDescent="0.35">
      <c r="A123">
        <v>1.5</v>
      </c>
      <c r="B123">
        <f t="shared" si="51"/>
        <v>1.5</v>
      </c>
      <c r="C123" s="1">
        <f t="shared" si="52"/>
        <v>45936</v>
      </c>
      <c r="D123">
        <f t="shared" si="53"/>
        <v>1.5277777777777777</v>
      </c>
      <c r="E123">
        <f t="shared" ref="E123:E138" si="56">D123-D122</f>
        <v>0.5083333333333333</v>
      </c>
      <c r="F123">
        <v>0</v>
      </c>
      <c r="G123">
        <f>E123*('Tasas Swap CLP vs Camara'!$C$16/100)</f>
        <v>2.5848749999999997E-2</v>
      </c>
      <c r="H123">
        <v>0.9248317320043159</v>
      </c>
      <c r="I123">
        <f t="shared" si="54"/>
        <v>2.3905744232646558E-2</v>
      </c>
      <c r="J123" s="4">
        <f t="shared" si="55"/>
        <v>5.2479125027685258E-2</v>
      </c>
    </row>
    <row r="124" spans="1:10" x14ac:dyDescent="0.35">
      <c r="A124">
        <v>2</v>
      </c>
      <c r="B124">
        <f t="shared" si="51"/>
        <v>2</v>
      </c>
      <c r="C124" s="1">
        <f t="shared" si="52"/>
        <v>46118</v>
      </c>
      <c r="D124">
        <f t="shared" si="53"/>
        <v>2.0333333333333332</v>
      </c>
      <c r="E124">
        <f t="shared" si="56"/>
        <v>0.50555555555555554</v>
      </c>
      <c r="F124">
        <v>0</v>
      </c>
      <c r="G124">
        <f>E124*('Tasas Swap CLP vs Camara'!$C$16/100)</f>
        <v>2.5707499999999998E-2</v>
      </c>
      <c r="H124">
        <v>0.9026167011601639</v>
      </c>
      <c r="I124">
        <f t="shared" si="54"/>
        <v>2.3204018845074913E-2</v>
      </c>
      <c r="J124" s="4">
        <f t="shared" si="55"/>
        <v>5.1679941960715903E-2</v>
      </c>
    </row>
    <row r="125" spans="1:10" x14ac:dyDescent="0.35">
      <c r="A125">
        <v>2.5</v>
      </c>
      <c r="B125">
        <f t="shared" si="51"/>
        <v>2.5</v>
      </c>
      <c r="C125" s="1">
        <f t="shared" si="52"/>
        <v>46301</v>
      </c>
      <c r="D125">
        <f t="shared" si="53"/>
        <v>2.5416666666666665</v>
      </c>
      <c r="E125">
        <f t="shared" si="56"/>
        <v>0.5083333333333333</v>
      </c>
      <c r="F125">
        <v>0</v>
      </c>
      <c r="G125">
        <f>E125*('Tasas Swap CLP vs Camara'!$C$16/100)</f>
        <v>2.5848749999999997E-2</v>
      </c>
      <c r="H125">
        <v>0.88110197584942485</v>
      </c>
      <c r="I125">
        <f t="shared" si="54"/>
        <v>2.2775384698237817E-2</v>
      </c>
      <c r="J125" s="4">
        <f t="shared" si="55"/>
        <v>5.1063720539427759E-2</v>
      </c>
    </row>
    <row r="126" spans="1:10" x14ac:dyDescent="0.35">
      <c r="A126">
        <v>3</v>
      </c>
      <c r="B126">
        <f t="shared" si="51"/>
        <v>3</v>
      </c>
      <c r="C126" s="1">
        <f t="shared" si="52"/>
        <v>46483</v>
      </c>
      <c r="D126">
        <f t="shared" si="53"/>
        <v>3.0472222222222221</v>
      </c>
      <c r="E126">
        <f t="shared" si="56"/>
        <v>0.50555555555555554</v>
      </c>
      <c r="F126">
        <v>0</v>
      </c>
      <c r="G126">
        <f>E126*('Tasas Swap CLP vs Camara'!$C$16/100)</f>
        <v>2.5707499999999998E-2</v>
      </c>
      <c r="H126">
        <v>0.85970481734366244</v>
      </c>
      <c r="I126">
        <f t="shared" si="54"/>
        <v>2.2100861591862201E-2</v>
      </c>
      <c r="J126" s="4">
        <f t="shared" si="55"/>
        <v>5.0858935509587644E-2</v>
      </c>
    </row>
    <row r="127" spans="1:10" x14ac:dyDescent="0.35">
      <c r="A127">
        <v>3.5</v>
      </c>
      <c r="B127">
        <f t="shared" si="51"/>
        <v>3.5</v>
      </c>
      <c r="C127" s="1">
        <f t="shared" si="52"/>
        <v>46666</v>
      </c>
      <c r="D127">
        <f t="shared" si="53"/>
        <v>3.5555555555555554</v>
      </c>
      <c r="E127">
        <f t="shared" si="56"/>
        <v>0.5083333333333333</v>
      </c>
      <c r="F127">
        <v>0</v>
      </c>
      <c r="G127">
        <f>E127*('Tasas Swap CLP vs Camara'!$C$16/100)</f>
        <v>2.5848749999999997E-2</v>
      </c>
      <c r="H127">
        <v>0.83851456430015658</v>
      </c>
      <c r="I127">
        <f t="shared" si="54"/>
        <v>2.167455334395367E-2</v>
      </c>
      <c r="J127" s="4">
        <f t="shared" si="55"/>
        <v>5.0782039126814116E-2</v>
      </c>
    </row>
    <row r="128" spans="1:10" x14ac:dyDescent="0.35">
      <c r="A128">
        <v>4</v>
      </c>
      <c r="B128">
        <f t="shared" si="51"/>
        <v>4</v>
      </c>
      <c r="C128" s="1">
        <f t="shared" si="52"/>
        <v>46849</v>
      </c>
      <c r="D128">
        <f t="shared" si="53"/>
        <v>4.0638888888888891</v>
      </c>
      <c r="E128">
        <f t="shared" si="56"/>
        <v>0.50833333333333375</v>
      </c>
      <c r="F128">
        <v>0</v>
      </c>
      <c r="G128">
        <f>E128*('Tasas Swap CLP vs Camara'!$C$16/100)</f>
        <v>2.5848750000000021E-2</v>
      </c>
      <c r="H128">
        <v>0.81732431125665073</v>
      </c>
      <c r="I128">
        <f t="shared" si="54"/>
        <v>2.1126811790595369E-2</v>
      </c>
      <c r="J128" s="4">
        <f t="shared" si="55"/>
        <v>5.0889568782717776E-2</v>
      </c>
    </row>
    <row r="129" spans="1:10" x14ac:dyDescent="0.35">
      <c r="A129" s="5">
        <v>4.5</v>
      </c>
      <c r="B129">
        <f t="shared" si="51"/>
        <v>4.5</v>
      </c>
      <c r="C129" s="1">
        <f t="shared" si="52"/>
        <v>47032</v>
      </c>
      <c r="D129">
        <f t="shared" si="53"/>
        <v>4.572222222222222</v>
      </c>
      <c r="E129">
        <f t="shared" si="56"/>
        <v>0.50833333333333286</v>
      </c>
      <c r="F129">
        <v>0</v>
      </c>
      <c r="G129">
        <f>E129*('Tasas Swap CLP vs Camara'!$C$16/100)</f>
        <v>2.5848749999999976E-2</v>
      </c>
      <c r="H129">
        <v>0.79792489545475964</v>
      </c>
      <c r="I129">
        <f t="shared" si="54"/>
        <v>2.06253611413862E-2</v>
      </c>
      <c r="J129" s="4">
        <f t="shared" si="55"/>
        <v>5.0611345824343124E-2</v>
      </c>
    </row>
    <row r="130" spans="1:10" x14ac:dyDescent="0.35">
      <c r="A130">
        <v>5</v>
      </c>
      <c r="B130">
        <f t="shared" si="51"/>
        <v>5</v>
      </c>
      <c r="C130" s="1">
        <f t="shared" si="52"/>
        <v>47214</v>
      </c>
      <c r="D130">
        <f t="shared" si="53"/>
        <v>5.0777777777777775</v>
      </c>
      <c r="E130">
        <f t="shared" si="56"/>
        <v>0.50555555555555554</v>
      </c>
      <c r="F130">
        <v>0</v>
      </c>
      <c r="G130">
        <f>E130*('Tasas Swap CLP vs Camara'!$C$16/100)</f>
        <v>2.5707499999999998E-2</v>
      </c>
      <c r="H130">
        <v>0.77863148738949084</v>
      </c>
      <c r="I130">
        <f t="shared" si="54"/>
        <v>2.0016668962065335E-2</v>
      </c>
      <c r="J130" s="4">
        <f t="shared" si="55"/>
        <v>5.0511249944210412E-2</v>
      </c>
    </row>
    <row r="131" spans="1:10" x14ac:dyDescent="0.35">
      <c r="A131">
        <v>5.5</v>
      </c>
      <c r="B131">
        <f t="shared" si="51"/>
        <v>5.5</v>
      </c>
      <c r="C131" s="1">
        <f t="shared" si="52"/>
        <v>47397</v>
      </c>
      <c r="D131">
        <f t="shared" si="53"/>
        <v>5.5861111111111112</v>
      </c>
      <c r="E131">
        <f t="shared" si="56"/>
        <v>0.50833333333333375</v>
      </c>
      <c r="F131">
        <v>0</v>
      </c>
      <c r="G131">
        <f>E131*('Tasas Swap CLP vs Camara'!$C$16/100)</f>
        <v>2.5848750000000021E-2</v>
      </c>
      <c r="H131">
        <v>0.75919032579226176</v>
      </c>
      <c r="I131">
        <f t="shared" si="54"/>
        <v>1.9624120933822743E-2</v>
      </c>
      <c r="J131" s="4">
        <f t="shared" si="55"/>
        <v>5.0555680339027464E-2</v>
      </c>
    </row>
    <row r="132" spans="1:10" x14ac:dyDescent="0.35">
      <c r="A132">
        <v>6</v>
      </c>
      <c r="B132">
        <f t="shared" si="51"/>
        <v>6</v>
      </c>
      <c r="C132" s="1">
        <f t="shared" si="52"/>
        <v>47579</v>
      </c>
      <c r="D132">
        <f t="shared" si="53"/>
        <v>6.0916666666666668</v>
      </c>
      <c r="E132">
        <f t="shared" si="56"/>
        <v>0.50555555555555554</v>
      </c>
      <c r="F132">
        <v>0</v>
      </c>
      <c r="G132">
        <f>E132*('Tasas Swap CLP vs Camara'!$C$16/100)</f>
        <v>2.5707499999999998E-2</v>
      </c>
      <c r="H132">
        <v>0.73985540005075534</v>
      </c>
      <c r="I132">
        <f t="shared" si="54"/>
        <v>1.9019832696804791E-2</v>
      </c>
      <c r="J132" s="4">
        <f t="shared" si="55"/>
        <v>5.0704716082387691E-2</v>
      </c>
    </row>
    <row r="133" spans="1:10" x14ac:dyDescent="0.35">
      <c r="A133">
        <v>6.5</v>
      </c>
      <c r="B133">
        <f t="shared" si="51"/>
        <v>6.5</v>
      </c>
      <c r="C133" s="1">
        <f t="shared" si="52"/>
        <v>47762</v>
      </c>
      <c r="D133">
        <f t="shared" si="53"/>
        <v>6.6</v>
      </c>
      <c r="E133">
        <f t="shared" si="56"/>
        <v>0.50833333333333286</v>
      </c>
      <c r="F133">
        <v>0</v>
      </c>
      <c r="G133">
        <f>E133*('Tasas Swap CLP vs Camara'!$C$16/100)</f>
        <v>2.5848749999999976E-2</v>
      </c>
      <c r="H133">
        <v>0.72168717316515341</v>
      </c>
      <c r="I133">
        <f t="shared" si="54"/>
        <v>1.8654711317352742E-2</v>
      </c>
      <c r="J133" s="4">
        <f t="shared" si="55"/>
        <v>5.0660184739446334E-2</v>
      </c>
    </row>
    <row r="134" spans="1:10" x14ac:dyDescent="0.35">
      <c r="A134">
        <v>7</v>
      </c>
      <c r="B134">
        <f t="shared" si="51"/>
        <v>7</v>
      </c>
      <c r="C134" s="1">
        <f t="shared" si="52"/>
        <v>47944</v>
      </c>
      <c r="D134">
        <f t="shared" si="53"/>
        <v>7.1055555555555552</v>
      </c>
      <c r="E134">
        <f t="shared" si="56"/>
        <v>0.50555555555555554</v>
      </c>
      <c r="F134">
        <v>0</v>
      </c>
      <c r="G134">
        <f>E134*('Tasas Swap CLP vs Camara'!$C$16/100)</f>
        <v>2.5707499999999998E-2</v>
      </c>
      <c r="H134">
        <v>0.70361822620788816</v>
      </c>
      <c r="I134">
        <f t="shared" si="54"/>
        <v>1.8088265550239284E-2</v>
      </c>
      <c r="J134" s="4">
        <f t="shared" si="55"/>
        <v>5.0715183635827943E-2</v>
      </c>
    </row>
    <row r="135" spans="1:10" x14ac:dyDescent="0.35">
      <c r="A135">
        <v>7.5</v>
      </c>
      <c r="B135">
        <f t="shared" si="51"/>
        <v>7.5</v>
      </c>
      <c r="C135" s="1">
        <f t="shared" si="52"/>
        <v>48127</v>
      </c>
      <c r="D135">
        <f t="shared" si="53"/>
        <v>7.6138888888888889</v>
      </c>
      <c r="E135">
        <f t="shared" si="56"/>
        <v>0.50833333333333375</v>
      </c>
      <c r="F135">
        <v>0</v>
      </c>
      <c r="G135">
        <f>E135*('Tasas Swap CLP vs Camara'!$C$16/100)</f>
        <v>2.5848750000000021E-2</v>
      </c>
      <c r="H135">
        <v>0.68491199702456618</v>
      </c>
      <c r="I135">
        <f t="shared" si="54"/>
        <v>1.7704118983088768E-2</v>
      </c>
      <c r="J135" s="4">
        <f t="shared" si="55"/>
        <v>5.0963304784101826E-2</v>
      </c>
    </row>
    <row r="136" spans="1:10" x14ac:dyDescent="0.35">
      <c r="A136">
        <v>8</v>
      </c>
      <c r="B136">
        <f t="shared" si="51"/>
        <v>8</v>
      </c>
      <c r="C136" s="1">
        <f t="shared" si="52"/>
        <v>48310</v>
      </c>
      <c r="D136">
        <f t="shared" si="53"/>
        <v>8.1222222222222218</v>
      </c>
      <c r="E136">
        <f t="shared" si="56"/>
        <v>0.50833333333333286</v>
      </c>
      <c r="F136">
        <v>0</v>
      </c>
      <c r="G136">
        <f>E136*('Tasas Swap CLP vs Camara'!$C$16/100)</f>
        <v>2.5848749999999976E-2</v>
      </c>
      <c r="H136">
        <v>0.66620576784124419</v>
      </c>
      <c r="I136">
        <f t="shared" si="54"/>
        <v>1.7220586341486346E-2</v>
      </c>
      <c r="J136" s="4">
        <f t="shared" si="55"/>
        <v>5.12769964386115E-2</v>
      </c>
    </row>
    <row r="137" spans="1:10" x14ac:dyDescent="0.35">
      <c r="A137">
        <v>8.5</v>
      </c>
      <c r="B137">
        <f t="shared" si="51"/>
        <v>8.5</v>
      </c>
      <c r="C137" s="1">
        <f t="shared" si="52"/>
        <v>48493</v>
      </c>
      <c r="D137">
        <f t="shared" si="53"/>
        <v>8.6305555555555564</v>
      </c>
      <c r="E137">
        <f t="shared" si="56"/>
        <v>0.50833333333333464</v>
      </c>
      <c r="F137">
        <v>0</v>
      </c>
      <c r="G137">
        <f>E137*('Tasas Swap CLP vs Camara'!$C$16/100)</f>
        <v>2.5848750000000066E-2</v>
      </c>
      <c r="H137">
        <f>+((H138-H136)/(D138-D136))*(D137-D136)+H136</f>
        <v>0.64883019795306762</v>
      </c>
      <c r="I137">
        <f t="shared" si="54"/>
        <v>1.67714495793394E-2</v>
      </c>
      <c r="J137" s="4">
        <f t="shared" si="55"/>
        <v>5.1399788990797557E-2</v>
      </c>
    </row>
    <row r="138" spans="1:10" x14ac:dyDescent="0.35">
      <c r="A138">
        <v>9</v>
      </c>
      <c r="B138">
        <f t="shared" si="51"/>
        <v>9</v>
      </c>
      <c r="C138" s="1">
        <f t="shared" si="52"/>
        <v>48675</v>
      </c>
      <c r="D138">
        <f t="shared" si="53"/>
        <v>9.1361111111111111</v>
      </c>
      <c r="E138">
        <f t="shared" si="56"/>
        <v>0.50555555555555465</v>
      </c>
      <c r="F138">
        <v>1</v>
      </c>
      <c r="G138">
        <f>E138*('Tasas Swap CLP vs Camara'!$C$16/100)</f>
        <v>2.5707499999999953E-2</v>
      </c>
      <c r="H138" s="2">
        <v>0.6315495765342255</v>
      </c>
      <c r="I138">
        <f t="shared" si="54"/>
        <v>0.64778513727297915</v>
      </c>
      <c r="J138" s="8">
        <f t="shared" si="55"/>
        <v>5.1590259559592955E-2</v>
      </c>
    </row>
    <row r="139" spans="1:10" x14ac:dyDescent="0.35">
      <c r="I139">
        <f>SUM(I121:I138)</f>
        <v>1.0000000000000009</v>
      </c>
    </row>
    <row r="142" spans="1:10" x14ac:dyDescent="0.35">
      <c r="B142" t="s">
        <v>52</v>
      </c>
      <c r="C142" t="s">
        <v>35</v>
      </c>
    </row>
    <row r="143" spans="1:10" x14ac:dyDescent="0.35">
      <c r="A143" s="5" t="s">
        <v>36</v>
      </c>
      <c r="B143" t="s">
        <v>38</v>
      </c>
      <c r="C143" t="s">
        <v>37</v>
      </c>
      <c r="D143" t="s">
        <v>25</v>
      </c>
      <c r="E143" t="s">
        <v>41</v>
      </c>
      <c r="F143" t="s">
        <v>40</v>
      </c>
      <c r="G143" s="5" t="s">
        <v>105</v>
      </c>
      <c r="H143" t="s">
        <v>42</v>
      </c>
      <c r="I143" t="s">
        <v>32</v>
      </c>
      <c r="J143" s="4" t="s">
        <v>33</v>
      </c>
    </row>
    <row r="144" spans="1:10" x14ac:dyDescent="0.35">
      <c r="A144">
        <v>0.5</v>
      </c>
      <c r="B144">
        <f>A144</f>
        <v>0.5</v>
      </c>
      <c r="C144" s="1">
        <f>+DATE(YEAR($C$1),MONTH($C$1)+B144*12,DAY($C$1)+2)</f>
        <v>45571</v>
      </c>
      <c r="D144">
        <f>+(C144-$C$1)/360</f>
        <v>0.51388888888888884</v>
      </c>
      <c r="E144" s="6">
        <f>(C144-$C$1)/360</f>
        <v>0.51388888888888884</v>
      </c>
      <c r="F144">
        <v>0</v>
      </c>
      <c r="G144">
        <f>E144*('Tasas Swap CLP vs Camara'!$C$17/100)</f>
        <v>2.6465277777777779E-2</v>
      </c>
      <c r="H144">
        <v>0.97047596454527818</v>
      </c>
      <c r="I144">
        <f>H144*SUM(F144:G144)</f>
        <v>2.5683915978347606E-2</v>
      </c>
      <c r="J144" s="4">
        <f>+(1/H144)^(1/D144)-1</f>
        <v>6.0051358994559045E-2</v>
      </c>
    </row>
    <row r="145" spans="1:10" x14ac:dyDescent="0.35">
      <c r="A145">
        <v>1</v>
      </c>
      <c r="B145">
        <f t="shared" ref="B145:B163" si="57">A145</f>
        <v>1</v>
      </c>
      <c r="C145" s="1">
        <f t="shared" ref="C145:C163" si="58">+DATE(YEAR($C$1),MONTH($C$1)+B145*12,DAY($C$1)+2)</f>
        <v>45753</v>
      </c>
      <c r="D145">
        <f t="shared" ref="D145:D163" si="59">+(C145-$C$1)/360</f>
        <v>1.0194444444444444</v>
      </c>
      <c r="E145">
        <f>D145-D144</f>
        <v>0.50555555555555554</v>
      </c>
      <c r="F145">
        <v>0</v>
      </c>
      <c r="G145">
        <f>E145*('Tasas Swap CLP vs Camara'!$C$17/100)</f>
        <v>2.6036111111111111E-2</v>
      </c>
      <c r="H145">
        <v>0.94690742664755312</v>
      </c>
      <c r="I145">
        <f t="shared" ref="I145:I163" si="60">H145*SUM(F145:G145)</f>
        <v>2.4653786972131986E-2</v>
      </c>
      <c r="J145" s="4">
        <f t="shared" ref="J145:J163" si="61">+(1/H145)^(1/D145)-1</f>
        <v>5.497113508809659E-2</v>
      </c>
    </row>
    <row r="146" spans="1:10" x14ac:dyDescent="0.35">
      <c r="A146">
        <v>1.5</v>
      </c>
      <c r="B146">
        <f t="shared" si="57"/>
        <v>1.5</v>
      </c>
      <c r="C146" s="1">
        <f t="shared" si="58"/>
        <v>45936</v>
      </c>
      <c r="D146">
        <f t="shared" si="59"/>
        <v>1.5277777777777777</v>
      </c>
      <c r="E146">
        <f t="shared" ref="E146:E163" si="62">D146-D145</f>
        <v>0.5083333333333333</v>
      </c>
      <c r="F146">
        <v>0</v>
      </c>
      <c r="G146">
        <f>E146*('Tasas Swap CLP vs Camara'!$C$17/100)</f>
        <v>2.6179166666666667E-2</v>
      </c>
      <c r="H146">
        <v>0.9248317320043159</v>
      </c>
      <c r="I146">
        <f t="shared" si="60"/>
        <v>2.4211324050762987E-2</v>
      </c>
      <c r="J146" s="4">
        <f t="shared" si="61"/>
        <v>5.2479125027685258E-2</v>
      </c>
    </row>
    <row r="147" spans="1:10" x14ac:dyDescent="0.35">
      <c r="A147">
        <v>2</v>
      </c>
      <c r="B147">
        <f t="shared" si="57"/>
        <v>2</v>
      </c>
      <c r="C147" s="1">
        <f t="shared" si="58"/>
        <v>46118</v>
      </c>
      <c r="D147">
        <f t="shared" si="59"/>
        <v>2.0333333333333332</v>
      </c>
      <c r="E147">
        <f t="shared" si="62"/>
        <v>0.50555555555555554</v>
      </c>
      <c r="F147">
        <v>0</v>
      </c>
      <c r="G147">
        <f>E147*('Tasas Swap CLP vs Camara'!$C$17/100)</f>
        <v>2.6036111111111111E-2</v>
      </c>
      <c r="H147">
        <v>0.9026167011601639</v>
      </c>
      <c r="I147">
        <f t="shared" si="60"/>
        <v>2.3500628722150599E-2</v>
      </c>
      <c r="J147" s="4">
        <f t="shared" si="61"/>
        <v>5.1679941960715903E-2</v>
      </c>
    </row>
    <row r="148" spans="1:10" x14ac:dyDescent="0.35">
      <c r="A148">
        <v>2.5</v>
      </c>
      <c r="B148">
        <f t="shared" si="57"/>
        <v>2.5</v>
      </c>
      <c r="C148" s="1">
        <f t="shared" si="58"/>
        <v>46301</v>
      </c>
      <c r="D148">
        <f t="shared" si="59"/>
        <v>2.5416666666666665</v>
      </c>
      <c r="E148">
        <f t="shared" si="62"/>
        <v>0.5083333333333333</v>
      </c>
      <c r="F148">
        <v>0</v>
      </c>
      <c r="G148">
        <f>E148*('Tasas Swap CLP vs Camara'!$C$17/100)</f>
        <v>2.6179166666666667E-2</v>
      </c>
      <c r="H148">
        <v>0.88110197584942485</v>
      </c>
      <c r="I148">
        <f t="shared" si="60"/>
        <v>2.3066515476091402E-2</v>
      </c>
      <c r="J148" s="4">
        <f t="shared" si="61"/>
        <v>5.1063720539427759E-2</v>
      </c>
    </row>
    <row r="149" spans="1:10" x14ac:dyDescent="0.35">
      <c r="A149">
        <v>3</v>
      </c>
      <c r="B149">
        <f t="shared" si="57"/>
        <v>3</v>
      </c>
      <c r="C149" s="1">
        <f t="shared" si="58"/>
        <v>46483</v>
      </c>
      <c r="D149">
        <f t="shared" si="59"/>
        <v>3.0472222222222221</v>
      </c>
      <c r="E149">
        <f t="shared" si="62"/>
        <v>0.50555555555555554</v>
      </c>
      <c r="F149">
        <v>0</v>
      </c>
      <c r="G149">
        <f>E149*('Tasas Swap CLP vs Camara'!$C$17/100)</f>
        <v>2.6036111111111111E-2</v>
      </c>
      <c r="H149">
        <v>0.85970481734366244</v>
      </c>
      <c r="I149">
        <f t="shared" si="60"/>
        <v>2.2383370147117079E-2</v>
      </c>
      <c r="J149" s="4">
        <f t="shared" si="61"/>
        <v>5.0858935509587644E-2</v>
      </c>
    </row>
    <row r="150" spans="1:10" x14ac:dyDescent="0.35">
      <c r="A150">
        <v>3.5</v>
      </c>
      <c r="B150">
        <f t="shared" si="57"/>
        <v>3.5</v>
      </c>
      <c r="C150" s="1">
        <f t="shared" si="58"/>
        <v>46666</v>
      </c>
      <c r="D150">
        <f t="shared" si="59"/>
        <v>3.5555555555555554</v>
      </c>
      <c r="E150">
        <f t="shared" si="62"/>
        <v>0.5083333333333333</v>
      </c>
      <c r="F150">
        <v>0</v>
      </c>
      <c r="G150">
        <f>E150*('Tasas Swap CLP vs Camara'!$C$17/100)</f>
        <v>2.6179166666666667E-2</v>
      </c>
      <c r="H150">
        <v>0.83851456430015658</v>
      </c>
      <c r="I150">
        <f t="shared" si="60"/>
        <v>2.1951612531241182E-2</v>
      </c>
      <c r="J150" s="4">
        <f t="shared" si="61"/>
        <v>5.0782039126814116E-2</v>
      </c>
    </row>
    <row r="151" spans="1:10" x14ac:dyDescent="0.35">
      <c r="A151">
        <v>4</v>
      </c>
      <c r="B151">
        <f t="shared" si="57"/>
        <v>4</v>
      </c>
      <c r="C151" s="1">
        <f t="shared" si="58"/>
        <v>46849</v>
      </c>
      <c r="D151">
        <f t="shared" si="59"/>
        <v>4.0638888888888891</v>
      </c>
      <c r="E151">
        <f t="shared" si="62"/>
        <v>0.50833333333333375</v>
      </c>
      <c r="F151">
        <v>0</v>
      </c>
      <c r="G151">
        <f>E151*('Tasas Swap CLP vs Camara'!$C$17/100)</f>
        <v>2.6179166666666691E-2</v>
      </c>
      <c r="H151">
        <v>0.81732431125665073</v>
      </c>
      <c r="I151">
        <f t="shared" si="60"/>
        <v>2.1396869365106423E-2</v>
      </c>
      <c r="J151" s="4">
        <f t="shared" si="61"/>
        <v>5.0889568782717776E-2</v>
      </c>
    </row>
    <row r="152" spans="1:10" x14ac:dyDescent="0.35">
      <c r="A152" s="5">
        <v>4.5</v>
      </c>
      <c r="B152">
        <f t="shared" si="57"/>
        <v>4.5</v>
      </c>
      <c r="C152" s="1">
        <f t="shared" si="58"/>
        <v>47032</v>
      </c>
      <c r="D152">
        <f t="shared" si="59"/>
        <v>4.572222222222222</v>
      </c>
      <c r="E152">
        <f t="shared" si="62"/>
        <v>0.50833333333333286</v>
      </c>
      <c r="F152">
        <v>0</v>
      </c>
      <c r="G152">
        <f>E152*('Tasas Swap CLP vs Camara'!$C$17/100)</f>
        <v>2.6179166666666646E-2</v>
      </c>
      <c r="H152">
        <v>0.79792489545475964</v>
      </c>
      <c r="I152">
        <f t="shared" si="60"/>
        <v>2.0889008825592713E-2</v>
      </c>
      <c r="J152" s="4">
        <f t="shared" si="61"/>
        <v>5.0611345824343124E-2</v>
      </c>
    </row>
    <row r="153" spans="1:10" x14ac:dyDescent="0.35">
      <c r="A153">
        <v>5</v>
      </c>
      <c r="B153">
        <f t="shared" si="57"/>
        <v>5</v>
      </c>
      <c r="C153" s="1">
        <f t="shared" si="58"/>
        <v>47214</v>
      </c>
      <c r="D153">
        <f t="shared" si="59"/>
        <v>5.0777777777777775</v>
      </c>
      <c r="E153">
        <f t="shared" si="62"/>
        <v>0.50555555555555554</v>
      </c>
      <c r="F153">
        <v>0</v>
      </c>
      <c r="G153">
        <f>E153*('Tasas Swap CLP vs Camara'!$C$17/100)</f>
        <v>2.6036111111111111E-2</v>
      </c>
      <c r="H153">
        <v>0.77863148738949084</v>
      </c>
      <c r="I153">
        <f t="shared" si="60"/>
        <v>2.0272535920282494E-2</v>
      </c>
      <c r="J153" s="4">
        <f t="shared" si="61"/>
        <v>5.0511249944210412E-2</v>
      </c>
    </row>
    <row r="154" spans="1:10" x14ac:dyDescent="0.35">
      <c r="A154">
        <v>5.5</v>
      </c>
      <c r="B154">
        <f t="shared" si="57"/>
        <v>5.5</v>
      </c>
      <c r="C154" s="1">
        <f t="shared" si="58"/>
        <v>47397</v>
      </c>
      <c r="D154">
        <f t="shared" si="59"/>
        <v>5.5861111111111112</v>
      </c>
      <c r="E154">
        <f t="shared" si="62"/>
        <v>0.50833333333333375</v>
      </c>
      <c r="F154">
        <v>0</v>
      </c>
      <c r="G154">
        <f>E154*('Tasas Swap CLP vs Camara'!$C$17/100)</f>
        <v>2.6179166666666691E-2</v>
      </c>
      <c r="H154">
        <v>0.75919032579226176</v>
      </c>
      <c r="I154">
        <f t="shared" si="60"/>
        <v>1.9874970070636603E-2</v>
      </c>
      <c r="J154" s="4">
        <f t="shared" si="61"/>
        <v>5.0555680339027464E-2</v>
      </c>
    </row>
    <row r="155" spans="1:10" x14ac:dyDescent="0.35">
      <c r="A155">
        <v>6</v>
      </c>
      <c r="B155">
        <f t="shared" si="57"/>
        <v>6</v>
      </c>
      <c r="C155" s="1">
        <f t="shared" si="58"/>
        <v>47579</v>
      </c>
      <c r="D155">
        <f t="shared" si="59"/>
        <v>6.0916666666666668</v>
      </c>
      <c r="E155">
        <f t="shared" si="62"/>
        <v>0.50555555555555554</v>
      </c>
      <c r="F155">
        <v>0</v>
      </c>
      <c r="G155">
        <f>E155*('Tasas Swap CLP vs Camara'!$C$17/100)</f>
        <v>2.6036111111111111E-2</v>
      </c>
      <c r="H155">
        <v>0.73985540005075534</v>
      </c>
      <c r="I155">
        <f t="shared" si="60"/>
        <v>1.9262957401877025E-2</v>
      </c>
      <c r="J155" s="4">
        <f t="shared" si="61"/>
        <v>5.0704716082387691E-2</v>
      </c>
    </row>
    <row r="156" spans="1:10" x14ac:dyDescent="0.35">
      <c r="A156">
        <v>6.5</v>
      </c>
      <c r="B156">
        <f t="shared" si="57"/>
        <v>6.5</v>
      </c>
      <c r="C156" s="1">
        <f t="shared" si="58"/>
        <v>47762</v>
      </c>
      <c r="D156">
        <f t="shared" si="59"/>
        <v>6.6</v>
      </c>
      <c r="E156">
        <f t="shared" si="62"/>
        <v>0.50833333333333286</v>
      </c>
      <c r="F156">
        <v>0</v>
      </c>
      <c r="G156">
        <f>E156*('Tasas Swap CLP vs Camara'!$C$17/100)</f>
        <v>2.6179166666666646E-2</v>
      </c>
      <c r="H156">
        <v>0.72168717316515341</v>
      </c>
      <c r="I156">
        <f t="shared" si="60"/>
        <v>1.8893168787486064E-2</v>
      </c>
      <c r="J156" s="4">
        <f t="shared" si="61"/>
        <v>5.0660184739446334E-2</v>
      </c>
    </row>
    <row r="157" spans="1:10" x14ac:dyDescent="0.35">
      <c r="A157">
        <v>7</v>
      </c>
      <c r="B157">
        <f t="shared" si="57"/>
        <v>7</v>
      </c>
      <c r="C157" s="1">
        <f t="shared" si="58"/>
        <v>47944</v>
      </c>
      <c r="D157">
        <f t="shared" si="59"/>
        <v>7.1055555555555552</v>
      </c>
      <c r="E157">
        <f t="shared" si="62"/>
        <v>0.50555555555555554</v>
      </c>
      <c r="F157">
        <v>0</v>
      </c>
      <c r="G157">
        <f>E157*('Tasas Swap CLP vs Camara'!$C$17/100)</f>
        <v>2.6036111111111111E-2</v>
      </c>
      <c r="H157">
        <v>0.70361822620788816</v>
      </c>
      <c r="I157">
        <f t="shared" si="60"/>
        <v>1.8319482317351487E-2</v>
      </c>
      <c r="J157" s="4">
        <f t="shared" si="61"/>
        <v>5.0715183635827943E-2</v>
      </c>
    </row>
    <row r="158" spans="1:10" x14ac:dyDescent="0.35">
      <c r="A158">
        <v>7.5</v>
      </c>
      <c r="B158">
        <f t="shared" si="57"/>
        <v>7.5</v>
      </c>
      <c r="C158" s="1">
        <f t="shared" si="58"/>
        <v>48127</v>
      </c>
      <c r="D158">
        <f t="shared" si="59"/>
        <v>7.6138888888888889</v>
      </c>
      <c r="E158">
        <f t="shared" si="62"/>
        <v>0.50833333333333375</v>
      </c>
      <c r="F158">
        <v>0</v>
      </c>
      <c r="G158">
        <f>E158*('Tasas Swap CLP vs Camara'!$C$17/100)</f>
        <v>2.6179166666666691E-2</v>
      </c>
      <c r="H158">
        <v>0.68491199702456618</v>
      </c>
      <c r="I158">
        <f t="shared" si="60"/>
        <v>1.7930425322105637E-2</v>
      </c>
      <c r="J158" s="4">
        <f t="shared" si="61"/>
        <v>5.0963304784101826E-2</v>
      </c>
    </row>
    <row r="159" spans="1:10" x14ac:dyDescent="0.35">
      <c r="A159">
        <v>8</v>
      </c>
      <c r="B159">
        <f t="shared" si="57"/>
        <v>8</v>
      </c>
      <c r="C159" s="1">
        <f t="shared" si="58"/>
        <v>48310</v>
      </c>
      <c r="D159">
        <f t="shared" si="59"/>
        <v>8.1222222222222218</v>
      </c>
      <c r="E159">
        <f t="shared" si="62"/>
        <v>0.50833333333333286</v>
      </c>
      <c r="F159">
        <v>0</v>
      </c>
      <c r="G159">
        <f>E159*('Tasas Swap CLP vs Camara'!$C$17/100)</f>
        <v>2.6179166666666646E-2</v>
      </c>
      <c r="H159">
        <v>0.66620576784124419</v>
      </c>
      <c r="I159">
        <f t="shared" si="60"/>
        <v>1.7440711830610557E-2</v>
      </c>
      <c r="J159" s="4">
        <f t="shared" si="61"/>
        <v>5.12769964386115E-2</v>
      </c>
    </row>
    <row r="160" spans="1:10" x14ac:dyDescent="0.35">
      <c r="A160">
        <v>8.5</v>
      </c>
      <c r="B160">
        <f t="shared" si="57"/>
        <v>8.5</v>
      </c>
      <c r="C160" s="1">
        <f t="shared" si="58"/>
        <v>48493</v>
      </c>
      <c r="D160">
        <f t="shared" si="59"/>
        <v>8.6305555555555564</v>
      </c>
      <c r="E160">
        <f t="shared" si="62"/>
        <v>0.50833333333333464</v>
      </c>
      <c r="F160">
        <v>0</v>
      </c>
      <c r="G160">
        <f>E160*('Tasas Swap CLP vs Camara'!$C$17/100)</f>
        <v>2.6179166666666736E-2</v>
      </c>
      <c r="H160">
        <v>0.64883019795306762</v>
      </c>
      <c r="I160">
        <f t="shared" si="60"/>
        <v>1.6985833890579727E-2</v>
      </c>
      <c r="J160" s="4">
        <f t="shared" si="61"/>
        <v>5.1399788990797557E-2</v>
      </c>
    </row>
    <row r="161" spans="1:10" x14ac:dyDescent="0.35">
      <c r="A161">
        <v>9</v>
      </c>
      <c r="B161">
        <f t="shared" si="57"/>
        <v>9</v>
      </c>
      <c r="C161" s="1">
        <f t="shared" si="58"/>
        <v>48675</v>
      </c>
      <c r="D161">
        <f t="shared" si="59"/>
        <v>9.1361111111111111</v>
      </c>
      <c r="E161">
        <f t="shared" si="62"/>
        <v>0.50555555555555465</v>
      </c>
      <c r="F161">
        <v>0</v>
      </c>
      <c r="G161">
        <f>E161*('Tasas Swap CLP vs Camara'!$C$17/100)</f>
        <v>2.6036111111111065E-2</v>
      </c>
      <c r="H161">
        <v>0.6315495765342255</v>
      </c>
      <c r="I161">
        <f t="shared" si="60"/>
        <v>1.6443094946820235E-2</v>
      </c>
      <c r="J161" s="4">
        <f t="shared" si="61"/>
        <v>5.1590259559592955E-2</v>
      </c>
    </row>
    <row r="162" spans="1:10" x14ac:dyDescent="0.35">
      <c r="A162">
        <v>9.5</v>
      </c>
      <c r="B162">
        <f t="shared" si="57"/>
        <v>9.5</v>
      </c>
      <c r="C162" s="1">
        <f t="shared" si="58"/>
        <v>48858</v>
      </c>
      <c r="D162">
        <f t="shared" si="59"/>
        <v>9.6444444444444439</v>
      </c>
      <c r="E162">
        <f t="shared" si="62"/>
        <v>0.50833333333333286</v>
      </c>
      <c r="F162">
        <v>0</v>
      </c>
      <c r="G162">
        <f>E162*('Tasas Swap CLP vs Camara'!$C$17/100)</f>
        <v>2.6179166666666646E-2</v>
      </c>
      <c r="H162">
        <f>+((H163-H161)/(D163-D161))*(D162-D161)+H161</f>
        <v>0.61336685237681643</v>
      </c>
      <c r="I162">
        <f t="shared" si="60"/>
        <v>1.6057433056181392E-2</v>
      </c>
      <c r="J162" s="4">
        <f t="shared" si="61"/>
        <v>5.19874716847748E-2</v>
      </c>
    </row>
    <row r="163" spans="1:10" x14ac:dyDescent="0.35">
      <c r="A163">
        <v>10</v>
      </c>
      <c r="B163">
        <f t="shared" si="57"/>
        <v>10</v>
      </c>
      <c r="C163" s="1">
        <f t="shared" si="58"/>
        <v>49040</v>
      </c>
      <c r="D163">
        <f t="shared" si="59"/>
        <v>10.15</v>
      </c>
      <c r="E163">
        <f t="shared" si="62"/>
        <v>0.50555555555555642</v>
      </c>
      <c r="F163">
        <v>1</v>
      </c>
      <c r="G163">
        <f>E163*('Tasas Swap CLP vs Camara'!$C$17/100)</f>
        <v>2.6036111111111159E-2</v>
      </c>
      <c r="H163" s="2">
        <v>0.59528348736780845</v>
      </c>
      <c r="I163">
        <f t="shared" si="60"/>
        <v>0.61078235438752648</v>
      </c>
      <c r="J163" s="8">
        <f t="shared" si="61"/>
        <v>5.2433578335127295E-2</v>
      </c>
    </row>
    <row r="164" spans="1:10" x14ac:dyDescent="0.35">
      <c r="I164">
        <f>SUM(I144:I163)</f>
        <v>0.99999999999999967</v>
      </c>
    </row>
    <row r="167" spans="1:10" x14ac:dyDescent="0.35">
      <c r="B167" t="s">
        <v>53</v>
      </c>
      <c r="C167" t="s">
        <v>35</v>
      </c>
    </row>
    <row r="168" spans="1:10" x14ac:dyDescent="0.35">
      <c r="A168" s="5" t="s">
        <v>36</v>
      </c>
      <c r="B168" t="s">
        <v>38</v>
      </c>
      <c r="C168" t="s">
        <v>37</v>
      </c>
      <c r="D168" t="s">
        <v>25</v>
      </c>
      <c r="E168" t="s">
        <v>41</v>
      </c>
      <c r="F168" t="s">
        <v>40</v>
      </c>
      <c r="G168" s="5" t="s">
        <v>105</v>
      </c>
      <c r="H168" t="s">
        <v>42</v>
      </c>
      <c r="I168" t="s">
        <v>32</v>
      </c>
      <c r="J168" s="4" t="s">
        <v>33</v>
      </c>
    </row>
    <row r="169" spans="1:10" x14ac:dyDescent="0.35">
      <c r="A169">
        <v>0.5</v>
      </c>
      <c r="B169">
        <f>A169</f>
        <v>0.5</v>
      </c>
      <c r="C169" s="1">
        <f>+DATE(YEAR($C$1),MONTH($C$1)+B169*12,DAY($C$1)+2)</f>
        <v>45571</v>
      </c>
      <c r="D169">
        <f>+(C169-$C$1)/360</f>
        <v>0.51388888888888884</v>
      </c>
      <c r="E169" s="6">
        <f>(C169-$C$1)/360</f>
        <v>0.51388888888888884</v>
      </c>
      <c r="F169">
        <v>0</v>
      </c>
      <c r="G169">
        <f>E169*('Tasas Swap CLP vs Camara'!$C$18/100)</f>
        <v>2.6876388888888891E-2</v>
      </c>
      <c r="H169">
        <v>0.97047596454527818</v>
      </c>
      <c r="I169">
        <f>H169*SUM(F169:G169)</f>
        <v>2.6082889430438443E-2</v>
      </c>
      <c r="J169" s="4">
        <f>+(1/H169)^(1/D169)-1</f>
        <v>6.0051358994559045E-2</v>
      </c>
    </row>
    <row r="170" spans="1:10" x14ac:dyDescent="0.35">
      <c r="A170">
        <v>1</v>
      </c>
      <c r="B170">
        <f t="shared" ref="B170:B192" si="63">A170</f>
        <v>1</v>
      </c>
      <c r="C170" s="1">
        <f t="shared" ref="C170:C192" si="64">+DATE(YEAR($C$1),MONTH($C$1)+B170*12,DAY($C$1)+2)</f>
        <v>45753</v>
      </c>
      <c r="D170">
        <f t="shared" ref="D170:D192" si="65">+(C170-$C$1)/360</f>
        <v>1.0194444444444444</v>
      </c>
      <c r="E170">
        <f>D170-D169</f>
        <v>0.50555555555555554</v>
      </c>
      <c r="F170">
        <v>0</v>
      </c>
      <c r="G170">
        <f>E170*('Tasas Swap CLP vs Camara'!$C$18/100)</f>
        <v>2.6440555555555557E-2</v>
      </c>
      <c r="H170">
        <v>0.94690742664755312</v>
      </c>
      <c r="I170">
        <f t="shared" ref="I170:I192" si="66">H170*SUM(F170:G170)</f>
        <v>2.5036758420242777E-2</v>
      </c>
      <c r="J170" s="4">
        <f t="shared" ref="J170:J192" si="67">+(1/H170)^(1/D170)-1</f>
        <v>5.497113508809659E-2</v>
      </c>
    </row>
    <row r="171" spans="1:10" x14ac:dyDescent="0.35">
      <c r="A171">
        <v>1.5</v>
      </c>
      <c r="B171">
        <f t="shared" si="63"/>
        <v>1.5</v>
      </c>
      <c r="C171" s="1">
        <f t="shared" si="64"/>
        <v>45936</v>
      </c>
      <c r="D171">
        <f t="shared" si="65"/>
        <v>1.5277777777777777</v>
      </c>
      <c r="E171">
        <f t="shared" ref="E171:E192" si="68">D171-D170</f>
        <v>0.5083333333333333</v>
      </c>
      <c r="F171">
        <v>0</v>
      </c>
      <c r="G171">
        <f>E171*('Tasas Swap CLP vs Camara'!$C$18/100)</f>
        <v>2.6585833333333336E-2</v>
      </c>
      <c r="H171">
        <v>0.9248317320043159</v>
      </c>
      <c r="I171">
        <f t="shared" si="66"/>
        <v>2.4587422288444745E-2</v>
      </c>
      <c r="J171" s="4">
        <f t="shared" si="67"/>
        <v>5.2479125027685258E-2</v>
      </c>
    </row>
    <row r="172" spans="1:10" x14ac:dyDescent="0.35">
      <c r="A172">
        <v>2</v>
      </c>
      <c r="B172">
        <f t="shared" si="63"/>
        <v>2</v>
      </c>
      <c r="C172" s="1">
        <f t="shared" si="64"/>
        <v>46118</v>
      </c>
      <c r="D172">
        <f t="shared" si="65"/>
        <v>2.0333333333333332</v>
      </c>
      <c r="E172">
        <f t="shared" si="68"/>
        <v>0.50555555555555554</v>
      </c>
      <c r="F172">
        <v>0</v>
      </c>
      <c r="G172">
        <f>E172*('Tasas Swap CLP vs Camara'!$C$18/100)</f>
        <v>2.6440555555555557E-2</v>
      </c>
      <c r="H172">
        <v>0.9026167011601639</v>
      </c>
      <c r="I172">
        <f t="shared" si="66"/>
        <v>2.3865687032397602E-2</v>
      </c>
      <c r="J172" s="4">
        <f t="shared" si="67"/>
        <v>5.1679941960715903E-2</v>
      </c>
    </row>
    <row r="173" spans="1:10" x14ac:dyDescent="0.35">
      <c r="A173">
        <v>2.5</v>
      </c>
      <c r="B173">
        <f t="shared" si="63"/>
        <v>2.5</v>
      </c>
      <c r="C173" s="1">
        <f t="shared" si="64"/>
        <v>46301</v>
      </c>
      <c r="D173">
        <f t="shared" si="65"/>
        <v>2.5416666666666665</v>
      </c>
      <c r="E173">
        <f t="shared" si="68"/>
        <v>0.5083333333333333</v>
      </c>
      <c r="F173">
        <v>0</v>
      </c>
      <c r="G173">
        <f>E173*('Tasas Swap CLP vs Camara'!$C$18/100)</f>
        <v>2.6585833333333336E-2</v>
      </c>
      <c r="H173">
        <v>0.88110197584942485</v>
      </c>
      <c r="I173">
        <f t="shared" si="66"/>
        <v>2.3424830279603504E-2</v>
      </c>
      <c r="J173" s="4">
        <f t="shared" si="67"/>
        <v>5.1063720539427759E-2</v>
      </c>
    </row>
    <row r="174" spans="1:10" x14ac:dyDescent="0.35">
      <c r="A174">
        <v>3</v>
      </c>
      <c r="B174">
        <f t="shared" si="63"/>
        <v>3</v>
      </c>
      <c r="C174" s="1">
        <f t="shared" si="64"/>
        <v>46483</v>
      </c>
      <c r="D174">
        <f t="shared" si="65"/>
        <v>3.0472222222222221</v>
      </c>
      <c r="E174">
        <f t="shared" si="68"/>
        <v>0.50555555555555554</v>
      </c>
      <c r="F174">
        <v>0</v>
      </c>
      <c r="G174">
        <f>E174*('Tasas Swap CLP vs Camara'!$C$18/100)</f>
        <v>2.6440555555555557E-2</v>
      </c>
      <c r="H174">
        <v>0.85970481734366244</v>
      </c>
      <c r="I174">
        <f t="shared" si="66"/>
        <v>2.273107298435385E-2</v>
      </c>
      <c r="J174" s="4">
        <f t="shared" si="67"/>
        <v>5.0858935509587644E-2</v>
      </c>
    </row>
    <row r="175" spans="1:10" x14ac:dyDescent="0.35">
      <c r="A175">
        <v>3.5</v>
      </c>
      <c r="B175">
        <f t="shared" si="63"/>
        <v>3.5</v>
      </c>
      <c r="C175" s="1">
        <f t="shared" si="64"/>
        <v>46666</v>
      </c>
      <c r="D175">
        <f t="shared" si="65"/>
        <v>3.5555555555555554</v>
      </c>
      <c r="E175">
        <f t="shared" si="68"/>
        <v>0.5083333333333333</v>
      </c>
      <c r="F175">
        <v>0</v>
      </c>
      <c r="G175">
        <f>E175*('Tasas Swap CLP vs Camara'!$C$18/100)</f>
        <v>2.6585833333333336E-2</v>
      </c>
      <c r="H175">
        <v>0.83851456430015658</v>
      </c>
      <c r="I175">
        <f t="shared" si="66"/>
        <v>2.2292608454056582E-2</v>
      </c>
      <c r="J175" s="4">
        <f t="shared" si="67"/>
        <v>5.0782039126814116E-2</v>
      </c>
    </row>
    <row r="176" spans="1:10" x14ac:dyDescent="0.35">
      <c r="A176">
        <v>4</v>
      </c>
      <c r="B176">
        <f t="shared" si="63"/>
        <v>4</v>
      </c>
      <c r="C176" s="1">
        <f t="shared" si="64"/>
        <v>46849</v>
      </c>
      <c r="D176">
        <f t="shared" si="65"/>
        <v>4.0638888888888891</v>
      </c>
      <c r="E176">
        <f t="shared" si="68"/>
        <v>0.50833333333333375</v>
      </c>
      <c r="F176">
        <v>0</v>
      </c>
      <c r="G176">
        <f>E176*('Tasas Swap CLP vs Camara'!$C$18/100)</f>
        <v>2.6585833333333357E-2</v>
      </c>
      <c r="H176">
        <v>0.81732431125665073</v>
      </c>
      <c r="I176">
        <f t="shared" si="66"/>
        <v>2.1729247918350791E-2</v>
      </c>
      <c r="J176" s="4">
        <f t="shared" si="67"/>
        <v>5.0889568782717776E-2</v>
      </c>
    </row>
    <row r="177" spans="1:10" x14ac:dyDescent="0.35">
      <c r="A177" s="5">
        <v>4.5</v>
      </c>
      <c r="B177">
        <f t="shared" si="63"/>
        <v>4.5</v>
      </c>
      <c r="C177" s="1">
        <f t="shared" si="64"/>
        <v>47032</v>
      </c>
      <c r="D177">
        <f t="shared" si="65"/>
        <v>4.572222222222222</v>
      </c>
      <c r="E177">
        <f t="shared" si="68"/>
        <v>0.50833333333333286</v>
      </c>
      <c r="F177">
        <v>0</v>
      </c>
      <c r="G177">
        <f>E177*('Tasas Swap CLP vs Camara'!$C$18/100)</f>
        <v>2.6585833333333312E-2</v>
      </c>
      <c r="H177">
        <v>0.79792489545475964</v>
      </c>
      <c r="I177">
        <f t="shared" si="66"/>
        <v>2.1213498283077645E-2</v>
      </c>
      <c r="J177" s="4">
        <f t="shared" si="67"/>
        <v>5.0611345824343124E-2</v>
      </c>
    </row>
    <row r="178" spans="1:10" x14ac:dyDescent="0.35">
      <c r="A178">
        <v>5</v>
      </c>
      <c r="B178">
        <f t="shared" si="63"/>
        <v>5</v>
      </c>
      <c r="C178" s="1">
        <f t="shared" si="64"/>
        <v>47214</v>
      </c>
      <c r="D178">
        <f t="shared" si="65"/>
        <v>5.0777777777777775</v>
      </c>
      <c r="E178">
        <f t="shared" si="68"/>
        <v>0.50555555555555554</v>
      </c>
      <c r="F178">
        <v>0</v>
      </c>
      <c r="G178">
        <f>E178*('Tasas Swap CLP vs Camara'!$C$18/100)</f>
        <v>2.6440555555555557E-2</v>
      </c>
      <c r="H178">
        <v>0.77863148738949084</v>
      </c>
      <c r="I178">
        <f t="shared" si="66"/>
        <v>2.058744909962669E-2</v>
      </c>
      <c r="J178" s="4">
        <f t="shared" si="67"/>
        <v>5.0511249944210412E-2</v>
      </c>
    </row>
    <row r="179" spans="1:10" x14ac:dyDescent="0.35">
      <c r="A179">
        <v>5.5</v>
      </c>
      <c r="B179">
        <f t="shared" si="63"/>
        <v>5.5</v>
      </c>
      <c r="C179" s="1">
        <f t="shared" si="64"/>
        <v>47397</v>
      </c>
      <c r="D179">
        <f t="shared" si="65"/>
        <v>5.5861111111111112</v>
      </c>
      <c r="E179">
        <f t="shared" si="68"/>
        <v>0.50833333333333375</v>
      </c>
      <c r="F179">
        <v>0</v>
      </c>
      <c r="G179">
        <f>E179*('Tasas Swap CLP vs Camara'!$C$18/100)</f>
        <v>2.6585833333333357E-2</v>
      </c>
      <c r="H179">
        <v>0.75919032579226176</v>
      </c>
      <c r="I179">
        <f t="shared" si="66"/>
        <v>2.0183707469792124E-2</v>
      </c>
      <c r="J179" s="4">
        <f t="shared" si="67"/>
        <v>5.0555680339027464E-2</v>
      </c>
    </row>
    <row r="180" spans="1:10" x14ac:dyDescent="0.35">
      <c r="A180">
        <v>6</v>
      </c>
      <c r="B180">
        <f t="shared" si="63"/>
        <v>6</v>
      </c>
      <c r="C180" s="1">
        <f t="shared" si="64"/>
        <v>47579</v>
      </c>
      <c r="D180">
        <f t="shared" si="65"/>
        <v>6.0916666666666668</v>
      </c>
      <c r="E180">
        <f t="shared" si="68"/>
        <v>0.50555555555555554</v>
      </c>
      <c r="F180">
        <v>0</v>
      </c>
      <c r="G180">
        <f>E180*('Tasas Swap CLP vs Camara'!$C$18/100)</f>
        <v>2.6440555555555557E-2</v>
      </c>
      <c r="H180">
        <v>0.73985540005075534</v>
      </c>
      <c r="I180">
        <f t="shared" si="66"/>
        <v>1.9562187808119778E-2</v>
      </c>
      <c r="J180" s="4">
        <f t="shared" si="67"/>
        <v>5.0704716082387691E-2</v>
      </c>
    </row>
    <row r="181" spans="1:10" x14ac:dyDescent="0.35">
      <c r="A181">
        <v>6.5</v>
      </c>
      <c r="B181">
        <f t="shared" si="63"/>
        <v>6.5</v>
      </c>
      <c r="C181" s="1">
        <f t="shared" si="64"/>
        <v>47762</v>
      </c>
      <c r="D181">
        <f t="shared" si="65"/>
        <v>6.6</v>
      </c>
      <c r="E181">
        <f t="shared" si="68"/>
        <v>0.50833333333333286</v>
      </c>
      <c r="F181">
        <v>0</v>
      </c>
      <c r="G181">
        <f>E181*('Tasas Swap CLP vs Camara'!$C$18/100)</f>
        <v>2.6585833333333312E-2</v>
      </c>
      <c r="H181">
        <v>0.72168717316515341</v>
      </c>
      <c r="I181">
        <f t="shared" si="66"/>
        <v>1.9186654904573226E-2</v>
      </c>
      <c r="J181" s="4">
        <f t="shared" si="67"/>
        <v>5.0660184739446334E-2</v>
      </c>
    </row>
    <row r="182" spans="1:10" x14ac:dyDescent="0.35">
      <c r="A182">
        <v>7</v>
      </c>
      <c r="B182">
        <f t="shared" si="63"/>
        <v>7</v>
      </c>
      <c r="C182" s="1">
        <f t="shared" si="64"/>
        <v>47944</v>
      </c>
      <c r="D182">
        <f t="shared" si="65"/>
        <v>7.1055555555555552</v>
      </c>
      <c r="E182">
        <f t="shared" si="68"/>
        <v>0.50555555555555554</v>
      </c>
      <c r="F182">
        <v>0</v>
      </c>
      <c r="G182">
        <f>E182*('Tasas Swap CLP vs Camara'!$C$18/100)</f>
        <v>2.6440555555555557E-2</v>
      </c>
      <c r="H182">
        <v>0.70361822620788816</v>
      </c>
      <c r="I182">
        <f t="shared" si="66"/>
        <v>1.8604056799951123E-2</v>
      </c>
      <c r="J182" s="4">
        <f t="shared" si="67"/>
        <v>5.0715183635827943E-2</v>
      </c>
    </row>
    <row r="183" spans="1:10" x14ac:dyDescent="0.35">
      <c r="A183">
        <v>7.5</v>
      </c>
      <c r="B183">
        <f t="shared" si="63"/>
        <v>7.5</v>
      </c>
      <c r="C183" s="1">
        <f t="shared" si="64"/>
        <v>48127</v>
      </c>
      <c r="D183">
        <f t="shared" si="65"/>
        <v>7.6138888888888889</v>
      </c>
      <c r="E183">
        <f t="shared" si="68"/>
        <v>0.50833333333333375</v>
      </c>
      <c r="F183">
        <v>0</v>
      </c>
      <c r="G183">
        <f>E183*('Tasas Swap CLP vs Camara'!$C$18/100)</f>
        <v>2.6585833333333357E-2</v>
      </c>
      <c r="H183">
        <v>0.68491199702456618</v>
      </c>
      <c r="I183">
        <f t="shared" si="66"/>
        <v>1.8208956200895628E-2</v>
      </c>
      <c r="J183" s="4">
        <f t="shared" si="67"/>
        <v>5.0963304784101826E-2</v>
      </c>
    </row>
    <row r="184" spans="1:10" x14ac:dyDescent="0.35">
      <c r="A184">
        <v>8</v>
      </c>
      <c r="B184">
        <f t="shared" si="63"/>
        <v>8</v>
      </c>
      <c r="C184" s="1">
        <f t="shared" si="64"/>
        <v>48310</v>
      </c>
      <c r="D184">
        <f t="shared" si="65"/>
        <v>8.1222222222222218</v>
      </c>
      <c r="E184">
        <f t="shared" si="68"/>
        <v>0.50833333333333286</v>
      </c>
      <c r="F184">
        <v>0</v>
      </c>
      <c r="G184">
        <f>E184*('Tasas Swap CLP vs Camara'!$C$18/100)</f>
        <v>2.6585833333333312E-2</v>
      </c>
      <c r="H184">
        <v>0.66620576784124419</v>
      </c>
      <c r="I184">
        <f t="shared" si="66"/>
        <v>1.7711635509532662E-2</v>
      </c>
      <c r="J184" s="4">
        <f t="shared" si="67"/>
        <v>5.12769964386115E-2</v>
      </c>
    </row>
    <row r="185" spans="1:10" x14ac:dyDescent="0.35">
      <c r="A185">
        <v>8.5</v>
      </c>
      <c r="B185">
        <f t="shared" si="63"/>
        <v>8.5</v>
      </c>
      <c r="C185" s="1">
        <f t="shared" si="64"/>
        <v>48493</v>
      </c>
      <c r="D185">
        <f t="shared" si="65"/>
        <v>8.6305555555555564</v>
      </c>
      <c r="E185">
        <f t="shared" si="68"/>
        <v>0.50833333333333464</v>
      </c>
      <c r="F185">
        <v>0</v>
      </c>
      <c r="G185">
        <f>E185*('Tasas Swap CLP vs Camara'!$C$18/100)</f>
        <v>2.6585833333333406E-2</v>
      </c>
      <c r="H185">
        <v>0.64883019795306762</v>
      </c>
      <c r="I185">
        <f t="shared" si="66"/>
        <v>1.7249691504413977E-2</v>
      </c>
      <c r="J185" s="4">
        <f t="shared" si="67"/>
        <v>5.1399788990797557E-2</v>
      </c>
    </row>
    <row r="186" spans="1:10" x14ac:dyDescent="0.35">
      <c r="A186">
        <v>9</v>
      </c>
      <c r="B186">
        <f t="shared" si="63"/>
        <v>9</v>
      </c>
      <c r="C186" s="1">
        <f t="shared" si="64"/>
        <v>48675</v>
      </c>
      <c r="D186">
        <f t="shared" si="65"/>
        <v>9.1361111111111111</v>
      </c>
      <c r="E186">
        <f t="shared" si="68"/>
        <v>0.50555555555555465</v>
      </c>
      <c r="F186">
        <v>0</v>
      </c>
      <c r="G186">
        <f>E186*('Tasas Swap CLP vs Camara'!$C$18/100)</f>
        <v>2.6440555555555512E-2</v>
      </c>
      <c r="H186">
        <v>0.6315495765342255</v>
      </c>
      <c r="I186">
        <f t="shared" si="66"/>
        <v>1.6698521664440746E-2</v>
      </c>
      <c r="J186" s="4">
        <f t="shared" si="67"/>
        <v>5.1590259559592955E-2</v>
      </c>
    </row>
    <row r="187" spans="1:10" x14ac:dyDescent="0.35">
      <c r="A187">
        <v>9.5</v>
      </c>
      <c r="B187">
        <f t="shared" si="63"/>
        <v>9.5</v>
      </c>
      <c r="C187" s="1">
        <f t="shared" si="64"/>
        <v>48858</v>
      </c>
      <c r="D187">
        <f t="shared" si="65"/>
        <v>9.6444444444444439</v>
      </c>
      <c r="E187">
        <f t="shared" si="68"/>
        <v>0.50833333333333286</v>
      </c>
      <c r="F187">
        <v>0</v>
      </c>
      <c r="G187">
        <f>E187*('Tasas Swap CLP vs Camara'!$C$18/100)</f>
        <v>2.6585833333333312E-2</v>
      </c>
      <c r="H187">
        <v>0.61336685237681643</v>
      </c>
      <c r="I187">
        <f t="shared" si="66"/>
        <v>1.6306868909481298E-2</v>
      </c>
      <c r="J187" s="4">
        <f t="shared" si="67"/>
        <v>5.19874716847748E-2</v>
      </c>
    </row>
    <row r="188" spans="1:10" x14ac:dyDescent="0.35">
      <c r="A188">
        <v>10</v>
      </c>
      <c r="B188">
        <f t="shared" si="63"/>
        <v>10</v>
      </c>
      <c r="C188" s="1">
        <f t="shared" si="64"/>
        <v>49040</v>
      </c>
      <c r="D188">
        <f t="shared" si="65"/>
        <v>10.15</v>
      </c>
      <c r="E188">
        <f t="shared" si="68"/>
        <v>0.50555555555555642</v>
      </c>
      <c r="F188">
        <v>0</v>
      </c>
      <c r="G188">
        <f>E188*('Tasas Swap CLP vs Camara'!$C$18/100)</f>
        <v>2.6440555555555603E-2</v>
      </c>
      <c r="H188">
        <v>0.59528348736780845</v>
      </c>
      <c r="I188">
        <f t="shared" si="66"/>
        <v>1.573962611905342E-2</v>
      </c>
      <c r="J188" s="4">
        <f t="shared" si="67"/>
        <v>5.2433578335127295E-2</v>
      </c>
    </row>
    <row r="189" spans="1:10" x14ac:dyDescent="0.35">
      <c r="A189">
        <v>10.5</v>
      </c>
      <c r="B189">
        <f t="shared" si="63"/>
        <v>10.5</v>
      </c>
      <c r="C189" s="1">
        <f t="shared" si="64"/>
        <v>49223</v>
      </c>
      <c r="D189">
        <f t="shared" si="65"/>
        <v>10.658333333333333</v>
      </c>
      <c r="E189">
        <f t="shared" si="68"/>
        <v>0.50833333333333286</v>
      </c>
      <c r="F189">
        <v>0</v>
      </c>
      <c r="G189">
        <f>E189*('Tasas Swap CLP vs Camara'!$C$18/100)</f>
        <v>2.6585833333333312E-2</v>
      </c>
      <c r="H189">
        <f>+(($H$192-$H$188)/($D$192-$D$188))*(D189-$D$188)+$H$188</f>
        <v>0.57896653423652067</v>
      </c>
      <c r="I189">
        <f t="shared" si="66"/>
        <v>1.5392307784789753E-2</v>
      </c>
      <c r="J189" s="4">
        <f t="shared" si="67"/>
        <v>5.2612772282240927E-2</v>
      </c>
    </row>
    <row r="190" spans="1:10" x14ac:dyDescent="0.35">
      <c r="A190">
        <v>11</v>
      </c>
      <c r="B190">
        <f t="shared" si="63"/>
        <v>11</v>
      </c>
      <c r="C190" s="1">
        <f t="shared" si="64"/>
        <v>49405</v>
      </c>
      <c r="D190">
        <f t="shared" si="65"/>
        <v>11.16388888888889</v>
      </c>
      <c r="E190">
        <f t="shared" si="68"/>
        <v>0.50555555555555642</v>
      </c>
      <c r="F190">
        <v>0</v>
      </c>
      <c r="G190">
        <f>E190*('Tasas Swap CLP vs Camara'!$C$18/100)</f>
        <v>2.6440555555555603E-2</v>
      </c>
      <c r="H190">
        <f t="shared" ref="H190:H191" si="69">+(($H$192-$H$188)/($D$192-$D$188))*(D190-$D$188)+$H$188</f>
        <v>0.5627387447835458</v>
      </c>
      <c r="I190">
        <f t="shared" si="66"/>
        <v>1.4879125044712968E-2</v>
      </c>
      <c r="J190" s="4">
        <f t="shared" si="67"/>
        <v>5.2849141212893747E-2</v>
      </c>
    </row>
    <row r="191" spans="1:10" x14ac:dyDescent="0.35">
      <c r="A191">
        <v>11.5</v>
      </c>
      <c r="B191">
        <f t="shared" si="63"/>
        <v>11.5</v>
      </c>
      <c r="C191" s="1">
        <f t="shared" si="64"/>
        <v>49588</v>
      </c>
      <c r="D191">
        <f t="shared" si="65"/>
        <v>11.672222222222222</v>
      </c>
      <c r="E191">
        <f t="shared" si="68"/>
        <v>0.50833333333333286</v>
      </c>
      <c r="F191">
        <v>0</v>
      </c>
      <c r="G191">
        <f>E191*('Tasas Swap CLP vs Camara'!$C$18/100)</f>
        <v>2.6585833333333312E-2</v>
      </c>
      <c r="H191">
        <f t="shared" si="69"/>
        <v>0.54642179165225802</v>
      </c>
      <c r="I191">
        <f t="shared" si="66"/>
        <v>1.4527078682568311E-2</v>
      </c>
      <c r="J191" s="4">
        <f t="shared" si="67"/>
        <v>5.3141898037049051E-2</v>
      </c>
    </row>
    <row r="192" spans="1:10" x14ac:dyDescent="0.35">
      <c r="A192">
        <v>12</v>
      </c>
      <c r="B192">
        <f t="shared" si="63"/>
        <v>12</v>
      </c>
      <c r="C192" s="1">
        <f t="shared" si="64"/>
        <v>49771</v>
      </c>
      <c r="D192">
        <f t="shared" si="65"/>
        <v>12.180555555555555</v>
      </c>
      <c r="E192">
        <f t="shared" si="68"/>
        <v>0.50833333333333286</v>
      </c>
      <c r="F192">
        <v>1</v>
      </c>
      <c r="G192">
        <f>E192*('Tasas Swap CLP vs Camara'!$C$18/100)</f>
        <v>2.6585833333333312E-2</v>
      </c>
      <c r="H192" s="2">
        <v>0.53010483852097023</v>
      </c>
      <c r="I192">
        <f t="shared" si="66"/>
        <v>0.54419811740708235</v>
      </c>
      <c r="J192" s="8">
        <f t="shared" si="67"/>
        <v>5.3487445672407485E-2</v>
      </c>
    </row>
    <row r="193" spans="1:10" x14ac:dyDescent="0.35">
      <c r="I193">
        <f>SUM(I169:I192)</f>
        <v>1</v>
      </c>
    </row>
    <row r="196" spans="1:10" x14ac:dyDescent="0.35">
      <c r="B196" t="s">
        <v>54</v>
      </c>
      <c r="C196" t="s">
        <v>35</v>
      </c>
    </row>
    <row r="197" spans="1:10" x14ac:dyDescent="0.35">
      <c r="A197" s="5" t="s">
        <v>36</v>
      </c>
      <c r="B197" t="s">
        <v>38</v>
      </c>
      <c r="C197" t="s">
        <v>37</v>
      </c>
      <c r="D197" t="s">
        <v>25</v>
      </c>
      <c r="E197" t="s">
        <v>41</v>
      </c>
      <c r="F197" t="s">
        <v>40</v>
      </c>
      <c r="G197" s="5" t="s">
        <v>105</v>
      </c>
      <c r="H197" t="s">
        <v>42</v>
      </c>
      <c r="I197" t="s">
        <v>32</v>
      </c>
      <c r="J197" s="4" t="s">
        <v>33</v>
      </c>
    </row>
    <row r="198" spans="1:10" x14ac:dyDescent="0.35">
      <c r="A198">
        <v>0.5</v>
      </c>
      <c r="B198">
        <f>A198</f>
        <v>0.5</v>
      </c>
      <c r="C198" s="1">
        <f>+DATE(YEAR($C$1),MONTH($C$1)+B198*12,DAY($C$1)+2)</f>
        <v>45571</v>
      </c>
      <c r="D198">
        <f>+(C198-$C$1)/360</f>
        <v>0.51388888888888884</v>
      </c>
      <c r="E198" s="6">
        <f>(C198-$C$1)/360</f>
        <v>0.51388888888888884</v>
      </c>
      <c r="F198">
        <v>0</v>
      </c>
      <c r="G198">
        <f>E198*('Tasas Swap CLP vs Camara'!$C$18/100)</f>
        <v>2.6876388888888891E-2</v>
      </c>
      <c r="H198">
        <v>0.97047596454527818</v>
      </c>
      <c r="I198">
        <f>H198*SUM(F198:G198)</f>
        <v>2.6082889430438443E-2</v>
      </c>
      <c r="J198" s="4">
        <f>+(1/H198)^(1/D198)-1</f>
        <v>6.0051358994559045E-2</v>
      </c>
    </row>
    <row r="199" spans="1:10" x14ac:dyDescent="0.35">
      <c r="A199">
        <v>1</v>
      </c>
      <c r="B199">
        <f t="shared" ref="B199:B227" si="70">A199</f>
        <v>1</v>
      </c>
      <c r="C199" s="1">
        <f t="shared" ref="C199:C227" si="71">+DATE(YEAR($C$1),MONTH($C$1)+B199*12,DAY($C$1)+2)</f>
        <v>45753</v>
      </c>
      <c r="D199">
        <f t="shared" ref="D199:D227" si="72">+(C199-$C$1)/360</f>
        <v>1.0194444444444444</v>
      </c>
      <c r="E199">
        <f>D199-D198</f>
        <v>0.50555555555555554</v>
      </c>
      <c r="F199">
        <v>0</v>
      </c>
      <c r="G199">
        <f>E199*('Tasas Swap CLP vs Camara'!$C$18/100)</f>
        <v>2.6440555555555557E-2</v>
      </c>
      <c r="H199">
        <v>0.94690742664755312</v>
      </c>
      <c r="I199">
        <f t="shared" ref="I199:I227" si="73">H199*SUM(F199:G199)</f>
        <v>2.5036758420242777E-2</v>
      </c>
      <c r="J199" s="4">
        <f t="shared" ref="J199:J227" si="74">+(1/H199)^(1/D199)-1</f>
        <v>5.497113508809659E-2</v>
      </c>
    </row>
    <row r="200" spans="1:10" x14ac:dyDescent="0.35">
      <c r="A200">
        <v>1.5</v>
      </c>
      <c r="B200">
        <f t="shared" si="70"/>
        <v>1.5</v>
      </c>
      <c r="C200" s="1">
        <f t="shared" si="71"/>
        <v>45936</v>
      </c>
      <c r="D200">
        <f t="shared" si="72"/>
        <v>1.5277777777777777</v>
      </c>
      <c r="E200">
        <f t="shared" ref="E200:E227" si="75">D200-D199</f>
        <v>0.5083333333333333</v>
      </c>
      <c r="F200">
        <v>0</v>
      </c>
      <c r="G200">
        <f>E200*('Tasas Swap CLP vs Camara'!$C$18/100)</f>
        <v>2.6585833333333336E-2</v>
      </c>
      <c r="H200">
        <v>0.9248317320043159</v>
      </c>
      <c r="I200">
        <f t="shared" si="73"/>
        <v>2.4587422288444745E-2</v>
      </c>
      <c r="J200" s="4">
        <f t="shared" si="74"/>
        <v>5.2479125027685258E-2</v>
      </c>
    </row>
    <row r="201" spans="1:10" x14ac:dyDescent="0.35">
      <c r="A201">
        <v>2</v>
      </c>
      <c r="B201">
        <f t="shared" si="70"/>
        <v>2</v>
      </c>
      <c r="C201" s="1">
        <f t="shared" si="71"/>
        <v>46118</v>
      </c>
      <c r="D201">
        <f t="shared" si="72"/>
        <v>2.0333333333333332</v>
      </c>
      <c r="E201">
        <f t="shared" si="75"/>
        <v>0.50555555555555554</v>
      </c>
      <c r="F201">
        <v>0</v>
      </c>
      <c r="G201">
        <f>E201*('Tasas Swap CLP vs Camara'!$C$18/100)</f>
        <v>2.6440555555555557E-2</v>
      </c>
      <c r="H201">
        <v>0.9026167011601639</v>
      </c>
      <c r="I201">
        <f t="shared" si="73"/>
        <v>2.3865687032397602E-2</v>
      </c>
      <c r="J201" s="4">
        <f t="shared" si="74"/>
        <v>5.1679941960715903E-2</v>
      </c>
    </row>
    <row r="202" spans="1:10" x14ac:dyDescent="0.35">
      <c r="A202">
        <v>2.5</v>
      </c>
      <c r="B202">
        <f t="shared" si="70"/>
        <v>2.5</v>
      </c>
      <c r="C202" s="1">
        <f t="shared" si="71"/>
        <v>46301</v>
      </c>
      <c r="D202">
        <f t="shared" si="72"/>
        <v>2.5416666666666665</v>
      </c>
      <c r="E202">
        <f t="shared" si="75"/>
        <v>0.5083333333333333</v>
      </c>
      <c r="F202">
        <v>0</v>
      </c>
      <c r="G202">
        <f>E202*('Tasas Swap CLP vs Camara'!$C$18/100)</f>
        <v>2.6585833333333336E-2</v>
      </c>
      <c r="H202">
        <v>0.88110197584942485</v>
      </c>
      <c r="I202">
        <f t="shared" si="73"/>
        <v>2.3424830279603504E-2</v>
      </c>
      <c r="J202" s="4">
        <f t="shared" si="74"/>
        <v>5.1063720539427759E-2</v>
      </c>
    </row>
    <row r="203" spans="1:10" x14ac:dyDescent="0.35">
      <c r="A203">
        <v>3</v>
      </c>
      <c r="B203">
        <f t="shared" si="70"/>
        <v>3</v>
      </c>
      <c r="C203" s="1">
        <f t="shared" si="71"/>
        <v>46483</v>
      </c>
      <c r="D203">
        <f t="shared" si="72"/>
        <v>3.0472222222222221</v>
      </c>
      <c r="E203">
        <f t="shared" si="75"/>
        <v>0.50555555555555554</v>
      </c>
      <c r="F203">
        <v>0</v>
      </c>
      <c r="G203">
        <f>E203*('Tasas Swap CLP vs Camara'!$C$18/100)</f>
        <v>2.6440555555555557E-2</v>
      </c>
      <c r="H203">
        <v>0.85970481734366244</v>
      </c>
      <c r="I203">
        <f t="shared" si="73"/>
        <v>2.273107298435385E-2</v>
      </c>
      <c r="J203" s="4">
        <f t="shared" si="74"/>
        <v>5.0858935509587644E-2</v>
      </c>
    </row>
    <row r="204" spans="1:10" x14ac:dyDescent="0.35">
      <c r="A204">
        <v>3.5</v>
      </c>
      <c r="B204">
        <f t="shared" si="70"/>
        <v>3.5</v>
      </c>
      <c r="C204" s="1">
        <f t="shared" si="71"/>
        <v>46666</v>
      </c>
      <c r="D204">
        <f t="shared" si="72"/>
        <v>3.5555555555555554</v>
      </c>
      <c r="E204">
        <f t="shared" si="75"/>
        <v>0.5083333333333333</v>
      </c>
      <c r="F204">
        <v>0</v>
      </c>
      <c r="G204">
        <f>E204*('Tasas Swap CLP vs Camara'!$C$18/100)</f>
        <v>2.6585833333333336E-2</v>
      </c>
      <c r="H204">
        <v>0.83851456430015658</v>
      </c>
      <c r="I204">
        <f t="shared" si="73"/>
        <v>2.2292608454056582E-2</v>
      </c>
      <c r="J204" s="4">
        <f t="shared" si="74"/>
        <v>5.0782039126814116E-2</v>
      </c>
    </row>
    <row r="205" spans="1:10" x14ac:dyDescent="0.35">
      <c r="A205">
        <v>4</v>
      </c>
      <c r="B205">
        <f t="shared" si="70"/>
        <v>4</v>
      </c>
      <c r="C205" s="1">
        <f t="shared" si="71"/>
        <v>46849</v>
      </c>
      <c r="D205">
        <f t="shared" si="72"/>
        <v>4.0638888888888891</v>
      </c>
      <c r="E205">
        <f t="shared" si="75"/>
        <v>0.50833333333333375</v>
      </c>
      <c r="F205">
        <v>0</v>
      </c>
      <c r="G205">
        <f>E205*('Tasas Swap CLP vs Camara'!$C$18/100)</f>
        <v>2.6585833333333357E-2</v>
      </c>
      <c r="H205">
        <v>0.81732431125665073</v>
      </c>
      <c r="I205">
        <f t="shared" si="73"/>
        <v>2.1729247918350791E-2</v>
      </c>
      <c r="J205" s="4">
        <f t="shared" si="74"/>
        <v>5.0889568782717776E-2</v>
      </c>
    </row>
    <row r="206" spans="1:10" x14ac:dyDescent="0.35">
      <c r="A206" s="5">
        <v>4.5</v>
      </c>
      <c r="B206">
        <f t="shared" si="70"/>
        <v>4.5</v>
      </c>
      <c r="C206" s="1">
        <f t="shared" si="71"/>
        <v>47032</v>
      </c>
      <c r="D206">
        <f t="shared" si="72"/>
        <v>4.572222222222222</v>
      </c>
      <c r="E206">
        <f t="shared" si="75"/>
        <v>0.50833333333333286</v>
      </c>
      <c r="F206">
        <v>0</v>
      </c>
      <c r="G206">
        <f>E206*('Tasas Swap CLP vs Camara'!$C$18/100)</f>
        <v>2.6585833333333312E-2</v>
      </c>
      <c r="H206">
        <v>0.79792489545475964</v>
      </c>
      <c r="I206">
        <f t="shared" si="73"/>
        <v>2.1213498283077645E-2</v>
      </c>
      <c r="J206" s="4">
        <f t="shared" si="74"/>
        <v>5.0611345824343124E-2</v>
      </c>
    </row>
    <row r="207" spans="1:10" x14ac:dyDescent="0.35">
      <c r="A207">
        <v>5</v>
      </c>
      <c r="B207">
        <f t="shared" si="70"/>
        <v>5</v>
      </c>
      <c r="C207" s="1">
        <f t="shared" si="71"/>
        <v>47214</v>
      </c>
      <c r="D207">
        <f t="shared" si="72"/>
        <v>5.0777777777777775</v>
      </c>
      <c r="E207">
        <f t="shared" si="75"/>
        <v>0.50555555555555554</v>
      </c>
      <c r="F207">
        <v>0</v>
      </c>
      <c r="G207">
        <f>E207*('Tasas Swap CLP vs Camara'!$C$18/100)</f>
        <v>2.6440555555555557E-2</v>
      </c>
      <c r="H207">
        <v>0.77863148738949084</v>
      </c>
      <c r="I207">
        <f t="shared" si="73"/>
        <v>2.058744909962669E-2</v>
      </c>
      <c r="J207" s="4">
        <f t="shared" si="74"/>
        <v>5.0511249944210412E-2</v>
      </c>
    </row>
    <row r="208" spans="1:10" x14ac:dyDescent="0.35">
      <c r="A208">
        <v>5.5</v>
      </c>
      <c r="B208">
        <f t="shared" si="70"/>
        <v>5.5</v>
      </c>
      <c r="C208" s="1">
        <f t="shared" si="71"/>
        <v>47397</v>
      </c>
      <c r="D208">
        <f t="shared" si="72"/>
        <v>5.5861111111111112</v>
      </c>
      <c r="E208">
        <f t="shared" si="75"/>
        <v>0.50833333333333375</v>
      </c>
      <c r="F208">
        <v>0</v>
      </c>
      <c r="G208">
        <f>E208*('Tasas Swap CLP vs Camara'!$C$18/100)</f>
        <v>2.6585833333333357E-2</v>
      </c>
      <c r="H208">
        <v>0.75919032579226176</v>
      </c>
      <c r="I208">
        <f t="shared" si="73"/>
        <v>2.0183707469792124E-2</v>
      </c>
      <c r="J208" s="4">
        <f t="shared" si="74"/>
        <v>5.0555680339027464E-2</v>
      </c>
    </row>
    <row r="209" spans="1:10" x14ac:dyDescent="0.35">
      <c r="A209">
        <v>6</v>
      </c>
      <c r="B209">
        <f t="shared" si="70"/>
        <v>6</v>
      </c>
      <c r="C209" s="1">
        <f t="shared" si="71"/>
        <v>47579</v>
      </c>
      <c r="D209">
        <f t="shared" si="72"/>
        <v>6.0916666666666668</v>
      </c>
      <c r="E209">
        <f t="shared" si="75"/>
        <v>0.50555555555555554</v>
      </c>
      <c r="F209">
        <v>0</v>
      </c>
      <c r="G209">
        <f>E209*('Tasas Swap CLP vs Camara'!$C$18/100)</f>
        <v>2.6440555555555557E-2</v>
      </c>
      <c r="H209">
        <v>0.73985540005075534</v>
      </c>
      <c r="I209">
        <f t="shared" si="73"/>
        <v>1.9562187808119778E-2</v>
      </c>
      <c r="J209" s="4">
        <f t="shared" si="74"/>
        <v>5.0704716082387691E-2</v>
      </c>
    </row>
    <row r="210" spans="1:10" x14ac:dyDescent="0.35">
      <c r="A210">
        <v>6.5</v>
      </c>
      <c r="B210">
        <f t="shared" si="70"/>
        <v>6.5</v>
      </c>
      <c r="C210" s="1">
        <f t="shared" si="71"/>
        <v>47762</v>
      </c>
      <c r="D210">
        <f t="shared" si="72"/>
        <v>6.6</v>
      </c>
      <c r="E210">
        <f t="shared" si="75"/>
        <v>0.50833333333333286</v>
      </c>
      <c r="F210">
        <v>0</v>
      </c>
      <c r="G210">
        <f>E210*('Tasas Swap CLP vs Camara'!$C$18/100)</f>
        <v>2.6585833333333312E-2</v>
      </c>
      <c r="H210">
        <v>0.72168717316515341</v>
      </c>
      <c r="I210">
        <f t="shared" si="73"/>
        <v>1.9186654904573226E-2</v>
      </c>
      <c r="J210" s="4">
        <f t="shared" si="74"/>
        <v>5.0660184739446334E-2</v>
      </c>
    </row>
    <row r="211" spans="1:10" x14ac:dyDescent="0.35">
      <c r="A211">
        <v>7</v>
      </c>
      <c r="B211">
        <f t="shared" si="70"/>
        <v>7</v>
      </c>
      <c r="C211" s="1">
        <f t="shared" si="71"/>
        <v>47944</v>
      </c>
      <c r="D211">
        <f t="shared" si="72"/>
        <v>7.1055555555555552</v>
      </c>
      <c r="E211">
        <f t="shared" si="75"/>
        <v>0.50555555555555554</v>
      </c>
      <c r="F211">
        <v>0</v>
      </c>
      <c r="G211">
        <f>E211*('Tasas Swap CLP vs Camara'!$C$18/100)</f>
        <v>2.6440555555555557E-2</v>
      </c>
      <c r="H211">
        <v>0.70361822620788816</v>
      </c>
      <c r="I211">
        <f t="shared" si="73"/>
        <v>1.8604056799951123E-2</v>
      </c>
      <c r="J211" s="4">
        <f t="shared" si="74"/>
        <v>5.0715183635827943E-2</v>
      </c>
    </row>
    <row r="212" spans="1:10" x14ac:dyDescent="0.35">
      <c r="A212">
        <v>7.5</v>
      </c>
      <c r="B212">
        <f t="shared" si="70"/>
        <v>7.5</v>
      </c>
      <c r="C212" s="1">
        <f t="shared" si="71"/>
        <v>48127</v>
      </c>
      <c r="D212">
        <f t="shared" si="72"/>
        <v>7.6138888888888889</v>
      </c>
      <c r="E212">
        <f t="shared" si="75"/>
        <v>0.50833333333333375</v>
      </c>
      <c r="F212">
        <v>0</v>
      </c>
      <c r="G212">
        <f>E212*('Tasas Swap CLP vs Camara'!$C$18/100)</f>
        <v>2.6585833333333357E-2</v>
      </c>
      <c r="H212">
        <v>0.68491199702456618</v>
      </c>
      <c r="I212">
        <f t="shared" si="73"/>
        <v>1.8208956200895628E-2</v>
      </c>
      <c r="J212" s="4">
        <f t="shared" si="74"/>
        <v>5.0963304784101826E-2</v>
      </c>
    </row>
    <row r="213" spans="1:10" x14ac:dyDescent="0.35">
      <c r="A213">
        <v>8</v>
      </c>
      <c r="B213">
        <f t="shared" si="70"/>
        <v>8</v>
      </c>
      <c r="C213" s="1">
        <f t="shared" si="71"/>
        <v>48310</v>
      </c>
      <c r="D213">
        <f t="shared" si="72"/>
        <v>8.1222222222222218</v>
      </c>
      <c r="E213">
        <f t="shared" si="75"/>
        <v>0.50833333333333286</v>
      </c>
      <c r="F213">
        <v>0</v>
      </c>
      <c r="G213">
        <f>E213*('Tasas Swap CLP vs Camara'!$C$18/100)</f>
        <v>2.6585833333333312E-2</v>
      </c>
      <c r="H213">
        <v>0.66620576784124419</v>
      </c>
      <c r="I213">
        <f t="shared" si="73"/>
        <v>1.7711635509532662E-2</v>
      </c>
      <c r="J213" s="4">
        <f t="shared" si="74"/>
        <v>5.12769964386115E-2</v>
      </c>
    </row>
    <row r="214" spans="1:10" x14ac:dyDescent="0.35">
      <c r="A214">
        <v>8.5</v>
      </c>
      <c r="B214">
        <f t="shared" si="70"/>
        <v>8.5</v>
      </c>
      <c r="C214" s="1">
        <f t="shared" si="71"/>
        <v>48493</v>
      </c>
      <c r="D214">
        <f t="shared" si="72"/>
        <v>8.6305555555555564</v>
      </c>
      <c r="E214">
        <f t="shared" si="75"/>
        <v>0.50833333333333464</v>
      </c>
      <c r="F214">
        <v>0</v>
      </c>
      <c r="G214">
        <f>E214*('Tasas Swap CLP vs Camara'!$C$18/100)</f>
        <v>2.6585833333333406E-2</v>
      </c>
      <c r="H214">
        <v>0.64883019795306762</v>
      </c>
      <c r="I214">
        <f t="shared" si="73"/>
        <v>1.7249691504413977E-2</v>
      </c>
      <c r="J214" s="4">
        <f t="shared" si="74"/>
        <v>5.1399788990797557E-2</v>
      </c>
    </row>
    <row r="215" spans="1:10" x14ac:dyDescent="0.35">
      <c r="A215">
        <v>9</v>
      </c>
      <c r="B215">
        <f t="shared" si="70"/>
        <v>9</v>
      </c>
      <c r="C215" s="1">
        <f t="shared" si="71"/>
        <v>48675</v>
      </c>
      <c r="D215">
        <f t="shared" si="72"/>
        <v>9.1361111111111111</v>
      </c>
      <c r="E215">
        <f t="shared" si="75"/>
        <v>0.50555555555555465</v>
      </c>
      <c r="F215">
        <v>0</v>
      </c>
      <c r="G215">
        <f>E215*('Tasas Swap CLP vs Camara'!$C$18/100)</f>
        <v>2.6440555555555512E-2</v>
      </c>
      <c r="H215">
        <v>0.6315495765342255</v>
      </c>
      <c r="I215">
        <f t="shared" si="73"/>
        <v>1.6698521664440746E-2</v>
      </c>
      <c r="J215" s="4">
        <f t="shared" si="74"/>
        <v>5.1590259559592955E-2</v>
      </c>
    </row>
    <row r="216" spans="1:10" x14ac:dyDescent="0.35">
      <c r="A216">
        <v>9.5</v>
      </c>
      <c r="B216">
        <f t="shared" si="70"/>
        <v>9.5</v>
      </c>
      <c r="C216" s="1">
        <f t="shared" si="71"/>
        <v>48858</v>
      </c>
      <c r="D216">
        <f t="shared" si="72"/>
        <v>9.6444444444444439</v>
      </c>
      <c r="E216">
        <f t="shared" si="75"/>
        <v>0.50833333333333286</v>
      </c>
      <c r="F216">
        <v>0</v>
      </c>
      <c r="G216">
        <f>E216*('Tasas Swap CLP vs Camara'!$C$18/100)</f>
        <v>2.6585833333333312E-2</v>
      </c>
      <c r="H216">
        <v>0.61336685237681643</v>
      </c>
      <c r="I216">
        <f t="shared" si="73"/>
        <v>1.6306868909481298E-2</v>
      </c>
      <c r="J216" s="4">
        <f t="shared" si="74"/>
        <v>5.19874716847748E-2</v>
      </c>
    </row>
    <row r="217" spans="1:10" x14ac:dyDescent="0.35">
      <c r="A217">
        <v>10</v>
      </c>
      <c r="B217">
        <f t="shared" si="70"/>
        <v>10</v>
      </c>
      <c r="C217" s="1">
        <f t="shared" si="71"/>
        <v>49040</v>
      </c>
      <c r="D217">
        <f t="shared" si="72"/>
        <v>10.15</v>
      </c>
      <c r="E217">
        <f t="shared" si="75"/>
        <v>0.50555555555555642</v>
      </c>
      <c r="F217">
        <v>0</v>
      </c>
      <c r="G217">
        <f>E217*('Tasas Swap CLP vs Camara'!$C$18/100)</f>
        <v>2.6440555555555603E-2</v>
      </c>
      <c r="H217">
        <v>0.59528348736780845</v>
      </c>
      <c r="I217">
        <f t="shared" si="73"/>
        <v>1.573962611905342E-2</v>
      </c>
      <c r="J217" s="4">
        <f t="shared" si="74"/>
        <v>5.2433578335127295E-2</v>
      </c>
    </row>
    <row r="218" spans="1:10" x14ac:dyDescent="0.35">
      <c r="A218">
        <v>10.5</v>
      </c>
      <c r="B218">
        <f t="shared" si="70"/>
        <v>10.5</v>
      </c>
      <c r="C218" s="1">
        <f t="shared" si="71"/>
        <v>49223</v>
      </c>
      <c r="D218">
        <f t="shared" si="72"/>
        <v>10.658333333333333</v>
      </c>
      <c r="E218">
        <f t="shared" si="75"/>
        <v>0.50833333333333286</v>
      </c>
      <c r="F218">
        <v>0</v>
      </c>
      <c r="G218">
        <f>E218*('Tasas Swap CLP vs Camara'!$C$18/100)</f>
        <v>2.6585833333333312E-2</v>
      </c>
      <c r="H218">
        <v>0.57896653423652067</v>
      </c>
      <c r="I218">
        <f t="shared" si="73"/>
        <v>1.5392307784789753E-2</v>
      </c>
      <c r="J218" s="4">
        <f t="shared" si="74"/>
        <v>5.2612772282240927E-2</v>
      </c>
    </row>
    <row r="219" spans="1:10" x14ac:dyDescent="0.35">
      <c r="A219">
        <v>11</v>
      </c>
      <c r="B219">
        <f t="shared" si="70"/>
        <v>11</v>
      </c>
      <c r="C219" s="1">
        <f t="shared" si="71"/>
        <v>49405</v>
      </c>
      <c r="D219">
        <f t="shared" si="72"/>
        <v>11.16388888888889</v>
      </c>
      <c r="E219">
        <f t="shared" si="75"/>
        <v>0.50555555555555642</v>
      </c>
      <c r="F219">
        <v>0</v>
      </c>
      <c r="G219">
        <f>E219*('Tasas Swap CLP vs Camara'!$C$18/100)</f>
        <v>2.6440555555555603E-2</v>
      </c>
      <c r="H219">
        <v>0.5627387447835458</v>
      </c>
      <c r="I219">
        <f t="shared" si="73"/>
        <v>1.4879125044712968E-2</v>
      </c>
      <c r="J219" s="4">
        <f t="shared" si="74"/>
        <v>5.2849141212893747E-2</v>
      </c>
    </row>
    <row r="220" spans="1:10" x14ac:dyDescent="0.35">
      <c r="A220">
        <v>11.5</v>
      </c>
      <c r="B220">
        <f t="shared" si="70"/>
        <v>11.5</v>
      </c>
      <c r="C220" s="1">
        <f t="shared" si="71"/>
        <v>49588</v>
      </c>
      <c r="D220">
        <f t="shared" si="72"/>
        <v>11.672222222222222</v>
      </c>
      <c r="E220">
        <f t="shared" si="75"/>
        <v>0.50833333333333286</v>
      </c>
      <c r="F220">
        <v>0</v>
      </c>
      <c r="G220">
        <f>E220*('Tasas Swap CLP vs Camara'!$C$18/100)</f>
        <v>2.6585833333333312E-2</v>
      </c>
      <c r="H220">
        <v>0.54642179165225802</v>
      </c>
      <c r="I220">
        <f t="shared" si="73"/>
        <v>1.4527078682568311E-2</v>
      </c>
      <c r="J220" s="4">
        <f t="shared" si="74"/>
        <v>5.3141898037049051E-2</v>
      </c>
    </row>
    <row r="221" spans="1:10" x14ac:dyDescent="0.35">
      <c r="A221">
        <v>12</v>
      </c>
      <c r="B221">
        <f t="shared" si="70"/>
        <v>12</v>
      </c>
      <c r="C221" s="1">
        <f t="shared" si="71"/>
        <v>49771</v>
      </c>
      <c r="D221">
        <f t="shared" si="72"/>
        <v>12.180555555555555</v>
      </c>
      <c r="E221">
        <f t="shared" si="75"/>
        <v>0.50833333333333286</v>
      </c>
      <c r="F221">
        <v>0</v>
      </c>
      <c r="G221">
        <f>E221*('Tasas Swap CLP vs Camara'!$C$18/100)</f>
        <v>2.6585833333333312E-2</v>
      </c>
      <c r="H221">
        <v>0.53010483852097023</v>
      </c>
      <c r="I221">
        <f t="shared" si="73"/>
        <v>1.4093278886112084E-2</v>
      </c>
      <c r="J221" s="4">
        <f t="shared" si="74"/>
        <v>5.3487445672407485E-2</v>
      </c>
    </row>
    <row r="222" spans="1:10" x14ac:dyDescent="0.35">
      <c r="A222">
        <v>12.5</v>
      </c>
      <c r="B222">
        <f t="shared" si="70"/>
        <v>12.5</v>
      </c>
      <c r="C222" s="1">
        <f t="shared" si="71"/>
        <v>49954</v>
      </c>
      <c r="D222">
        <f t="shared" si="72"/>
        <v>12.688888888888888</v>
      </c>
      <c r="E222">
        <f t="shared" si="75"/>
        <v>0.50833333333333286</v>
      </c>
      <c r="F222">
        <v>0</v>
      </c>
      <c r="G222">
        <f>E222*('Tasas Swap CLP vs Camara'!$C$18/100)</f>
        <v>2.6585833333333312E-2</v>
      </c>
      <c r="H222">
        <f>+(($H$227-$H$221)/($D$227-$D$221))*(D222-$D$221)+$H$221</f>
        <v>0.51720830954914088</v>
      </c>
      <c r="I222">
        <f t="shared" si="73"/>
        <v>1.3750413916288524E-2</v>
      </c>
      <c r="J222" s="4">
        <f t="shared" si="74"/>
        <v>5.3333184891849461E-2</v>
      </c>
    </row>
    <row r="223" spans="1:10" x14ac:dyDescent="0.35">
      <c r="A223">
        <v>13</v>
      </c>
      <c r="B223">
        <f t="shared" si="70"/>
        <v>13</v>
      </c>
      <c r="C223" s="1">
        <f t="shared" si="71"/>
        <v>50136</v>
      </c>
      <c r="D223">
        <f t="shared" si="72"/>
        <v>13.194444444444445</v>
      </c>
      <c r="E223">
        <f t="shared" si="75"/>
        <v>0.50555555555555642</v>
      </c>
      <c r="F223">
        <v>0</v>
      </c>
      <c r="G223">
        <f>E223*('Tasas Swap CLP vs Camara'!$C$18/100)</f>
        <v>2.6440555555555603E-2</v>
      </c>
      <c r="H223">
        <f t="shared" ref="H223:H226" si="76">+(($H$227-$H$221)/($D$227-$D$221))*(D223-$D$221)+$H$221</f>
        <v>0.50438225341322318</v>
      </c>
      <c r="I223">
        <f t="shared" si="73"/>
        <v>1.3336146992608652E-2</v>
      </c>
      <c r="J223" s="4">
        <f t="shared" si="74"/>
        <v>5.3240810234053804E-2</v>
      </c>
    </row>
    <row r="224" spans="1:10" x14ac:dyDescent="0.35">
      <c r="A224">
        <v>13.5</v>
      </c>
      <c r="B224">
        <f t="shared" si="70"/>
        <v>13.5</v>
      </c>
      <c r="C224" s="1">
        <f t="shared" si="71"/>
        <v>50319</v>
      </c>
      <c r="D224">
        <f t="shared" si="72"/>
        <v>13.702777777777778</v>
      </c>
      <c r="E224">
        <f t="shared" si="75"/>
        <v>0.50833333333333286</v>
      </c>
      <c r="F224">
        <v>0</v>
      </c>
      <c r="G224">
        <f>E224*('Tasas Swap CLP vs Camara'!$C$18/100)</f>
        <v>2.6585833333333312E-2</v>
      </c>
      <c r="H224">
        <f t="shared" si="76"/>
        <v>0.49148572444139377</v>
      </c>
      <c r="I224">
        <f t="shared" si="73"/>
        <v>1.3066557555711478E-2</v>
      </c>
      <c r="J224" s="4">
        <f t="shared" si="74"/>
        <v>5.3204939621995573E-2</v>
      </c>
    </row>
    <row r="225" spans="1:10" x14ac:dyDescent="0.35">
      <c r="A225">
        <v>14</v>
      </c>
      <c r="B225">
        <f t="shared" si="70"/>
        <v>14</v>
      </c>
      <c r="C225" s="1">
        <f t="shared" si="71"/>
        <v>50501</v>
      </c>
      <c r="D225">
        <f t="shared" si="72"/>
        <v>14.208333333333334</v>
      </c>
      <c r="E225">
        <f t="shared" si="75"/>
        <v>0.50555555555555642</v>
      </c>
      <c r="F225">
        <v>0</v>
      </c>
      <c r="G225">
        <f>E225*('Tasas Swap CLP vs Camara'!$C$18/100)</f>
        <v>2.6440555555555603E-2</v>
      </c>
      <c r="H225">
        <f t="shared" si="76"/>
        <v>0.47865966830547602</v>
      </c>
      <c r="I225">
        <f t="shared" si="73"/>
        <v>1.2656027552034755E-2</v>
      </c>
      <c r="J225" s="4">
        <f t="shared" si="74"/>
        <v>5.3222444339118491E-2</v>
      </c>
    </row>
    <row r="226" spans="1:10" x14ac:dyDescent="0.35">
      <c r="A226">
        <v>14.5</v>
      </c>
      <c r="B226">
        <f t="shared" si="70"/>
        <v>14.5</v>
      </c>
      <c r="C226" s="1">
        <f t="shared" si="71"/>
        <v>50684</v>
      </c>
      <c r="D226">
        <f t="shared" si="72"/>
        <v>14.716666666666667</v>
      </c>
      <c r="E226">
        <f t="shared" si="75"/>
        <v>0.50833333333333286</v>
      </c>
      <c r="F226">
        <v>0</v>
      </c>
      <c r="G226">
        <f>E226*('Tasas Swap CLP vs Camara'!$C$18/100)</f>
        <v>2.6585833333333312E-2</v>
      </c>
      <c r="H226">
        <f t="shared" si="76"/>
        <v>0.46576313933364666</v>
      </c>
      <c r="I226">
        <f t="shared" si="73"/>
        <v>1.2382701195134431E-2</v>
      </c>
      <c r="J226" s="4">
        <f t="shared" si="74"/>
        <v>5.3290668889345527E-2</v>
      </c>
    </row>
    <row r="227" spans="1:10" x14ac:dyDescent="0.35">
      <c r="A227">
        <v>15</v>
      </c>
      <c r="B227">
        <f t="shared" si="70"/>
        <v>15</v>
      </c>
      <c r="C227" s="1">
        <f t="shared" si="71"/>
        <v>50866</v>
      </c>
      <c r="D227">
        <f t="shared" si="72"/>
        <v>15.222222222222221</v>
      </c>
      <c r="E227">
        <f t="shared" si="75"/>
        <v>0.50555555555555465</v>
      </c>
      <c r="F227">
        <v>1</v>
      </c>
      <c r="G227">
        <f>E227*('Tasas Swap CLP vs Camara'!$C$18/100)</f>
        <v>2.6440555555555512E-2</v>
      </c>
      <c r="H227" s="2">
        <v>0.45293708319772896</v>
      </c>
      <c r="I227">
        <f t="shared" si="73"/>
        <v>0.46491299130918984</v>
      </c>
      <c r="J227" s="8">
        <f t="shared" si="74"/>
        <v>5.3406640483834922E-2</v>
      </c>
    </row>
    <row r="228" spans="1:10" x14ac:dyDescent="0.35">
      <c r="I228">
        <f>SUM(I198:I227)</f>
        <v>0.99999999999999734</v>
      </c>
    </row>
    <row r="231" spans="1:10" x14ac:dyDescent="0.35">
      <c r="B231" t="s">
        <v>55</v>
      </c>
      <c r="C231" t="s">
        <v>35</v>
      </c>
    </row>
    <row r="232" spans="1:10" x14ac:dyDescent="0.35">
      <c r="A232" s="5" t="s">
        <v>36</v>
      </c>
      <c r="B232" t="s">
        <v>38</v>
      </c>
      <c r="C232" t="s">
        <v>37</v>
      </c>
      <c r="D232" t="s">
        <v>25</v>
      </c>
      <c r="E232" t="s">
        <v>41</v>
      </c>
      <c r="F232" t="s">
        <v>40</v>
      </c>
      <c r="G232" s="5" t="s">
        <v>105</v>
      </c>
      <c r="H232" t="s">
        <v>42</v>
      </c>
      <c r="I232" t="s">
        <v>32</v>
      </c>
      <c r="J232" s="4" t="s">
        <v>33</v>
      </c>
    </row>
    <row r="233" spans="1:10" x14ac:dyDescent="0.35">
      <c r="A233">
        <v>0.5</v>
      </c>
      <c r="B233">
        <f>A233</f>
        <v>0.5</v>
      </c>
      <c r="C233" s="1">
        <f>+DATE(YEAR($C$1),MONTH($C$1)+B233*12,DAY($C$1)+2)</f>
        <v>45571</v>
      </c>
      <c r="D233">
        <f>+(C233-$C$1)/360</f>
        <v>0.51388888888888884</v>
      </c>
      <c r="E233" s="6">
        <f>(C233-$C$1)/360</f>
        <v>0.51388888888888884</v>
      </c>
      <c r="F233">
        <v>0</v>
      </c>
      <c r="G233">
        <f>E233*('Tasas Swap CLP vs Camara'!$C$18/100)</f>
        <v>2.6876388888888891E-2</v>
      </c>
      <c r="H233">
        <v>0.97047596454527818</v>
      </c>
      <c r="I233">
        <f>H233*SUM(F233:G233)</f>
        <v>2.6082889430438443E-2</v>
      </c>
      <c r="J233" s="4">
        <f>+(1/H233)^(1/D233)-1</f>
        <v>6.0051358994559045E-2</v>
      </c>
    </row>
    <row r="234" spans="1:10" x14ac:dyDescent="0.35">
      <c r="A234">
        <v>1</v>
      </c>
      <c r="B234">
        <f t="shared" ref="B234:B272" si="77">A234</f>
        <v>1</v>
      </c>
      <c r="C234" s="1">
        <f t="shared" ref="C234:C272" si="78">+DATE(YEAR($C$1),MONTH($C$1)+B234*12,DAY($C$1)+2)</f>
        <v>45753</v>
      </c>
      <c r="D234">
        <f t="shared" ref="D234:D272" si="79">+(C234-$C$1)/360</f>
        <v>1.0194444444444444</v>
      </c>
      <c r="E234">
        <f>D234-D233</f>
        <v>0.50555555555555554</v>
      </c>
      <c r="F234">
        <v>0</v>
      </c>
      <c r="G234">
        <f>E234*('Tasas Swap CLP vs Camara'!$C$18/100)</f>
        <v>2.6440555555555557E-2</v>
      </c>
      <c r="H234">
        <v>0.94690742664755312</v>
      </c>
      <c r="I234">
        <f t="shared" ref="I234:I272" si="80">H234*SUM(F234:G234)</f>
        <v>2.5036758420242777E-2</v>
      </c>
      <c r="J234" s="4">
        <f t="shared" ref="J234:J272" si="81">+(1/H234)^(1/D234)-1</f>
        <v>5.497113508809659E-2</v>
      </c>
    </row>
    <row r="235" spans="1:10" x14ac:dyDescent="0.35">
      <c r="A235">
        <v>1.5</v>
      </c>
      <c r="B235">
        <f t="shared" si="77"/>
        <v>1.5</v>
      </c>
      <c r="C235" s="1">
        <f t="shared" si="78"/>
        <v>45936</v>
      </c>
      <c r="D235">
        <f t="shared" si="79"/>
        <v>1.5277777777777777</v>
      </c>
      <c r="E235">
        <f t="shared" ref="E235:E272" si="82">D235-D234</f>
        <v>0.5083333333333333</v>
      </c>
      <c r="F235">
        <v>0</v>
      </c>
      <c r="G235">
        <f>E235*('Tasas Swap CLP vs Camara'!$C$18/100)</f>
        <v>2.6585833333333336E-2</v>
      </c>
      <c r="H235">
        <v>0.9248317320043159</v>
      </c>
      <c r="I235">
        <f t="shared" si="80"/>
        <v>2.4587422288444745E-2</v>
      </c>
      <c r="J235" s="4">
        <f t="shared" si="81"/>
        <v>5.2479125027685258E-2</v>
      </c>
    </row>
    <row r="236" spans="1:10" x14ac:dyDescent="0.35">
      <c r="A236">
        <v>2</v>
      </c>
      <c r="B236">
        <f t="shared" si="77"/>
        <v>2</v>
      </c>
      <c r="C236" s="1">
        <f t="shared" si="78"/>
        <v>46118</v>
      </c>
      <c r="D236">
        <f t="shared" si="79"/>
        <v>2.0333333333333332</v>
      </c>
      <c r="E236">
        <f t="shared" si="82"/>
        <v>0.50555555555555554</v>
      </c>
      <c r="F236">
        <v>0</v>
      </c>
      <c r="G236">
        <f>E236*('Tasas Swap CLP vs Camara'!$C$18/100)</f>
        <v>2.6440555555555557E-2</v>
      </c>
      <c r="H236">
        <v>0.9026167011601639</v>
      </c>
      <c r="I236">
        <f t="shared" si="80"/>
        <v>2.3865687032397602E-2</v>
      </c>
      <c r="J236" s="4">
        <f t="shared" si="81"/>
        <v>5.1679941960715903E-2</v>
      </c>
    </row>
    <row r="237" spans="1:10" x14ac:dyDescent="0.35">
      <c r="A237">
        <v>2.5</v>
      </c>
      <c r="B237">
        <f t="shared" si="77"/>
        <v>2.5</v>
      </c>
      <c r="C237" s="1">
        <f t="shared" si="78"/>
        <v>46301</v>
      </c>
      <c r="D237">
        <f t="shared" si="79"/>
        <v>2.5416666666666665</v>
      </c>
      <c r="E237">
        <f t="shared" si="82"/>
        <v>0.5083333333333333</v>
      </c>
      <c r="F237">
        <v>0</v>
      </c>
      <c r="G237">
        <f>E237*('Tasas Swap CLP vs Camara'!$C$18/100)</f>
        <v>2.6585833333333336E-2</v>
      </c>
      <c r="H237">
        <v>0.88110197584942485</v>
      </c>
      <c r="I237">
        <f t="shared" si="80"/>
        <v>2.3424830279603504E-2</v>
      </c>
      <c r="J237" s="4">
        <f t="shared" si="81"/>
        <v>5.1063720539427759E-2</v>
      </c>
    </row>
    <row r="238" spans="1:10" x14ac:dyDescent="0.35">
      <c r="A238">
        <v>3</v>
      </c>
      <c r="B238">
        <f t="shared" si="77"/>
        <v>3</v>
      </c>
      <c r="C238" s="1">
        <f t="shared" si="78"/>
        <v>46483</v>
      </c>
      <c r="D238">
        <f t="shared" si="79"/>
        <v>3.0472222222222221</v>
      </c>
      <c r="E238">
        <f t="shared" si="82"/>
        <v>0.50555555555555554</v>
      </c>
      <c r="F238">
        <v>0</v>
      </c>
      <c r="G238">
        <f>E238*('Tasas Swap CLP vs Camara'!$C$18/100)</f>
        <v>2.6440555555555557E-2</v>
      </c>
      <c r="H238">
        <v>0.85970481734366244</v>
      </c>
      <c r="I238">
        <f t="shared" si="80"/>
        <v>2.273107298435385E-2</v>
      </c>
      <c r="J238" s="4">
        <f t="shared" si="81"/>
        <v>5.0858935509587644E-2</v>
      </c>
    </row>
    <row r="239" spans="1:10" x14ac:dyDescent="0.35">
      <c r="A239">
        <v>3.5</v>
      </c>
      <c r="B239">
        <f t="shared" si="77"/>
        <v>3.5</v>
      </c>
      <c r="C239" s="1">
        <f t="shared" si="78"/>
        <v>46666</v>
      </c>
      <c r="D239">
        <f t="shared" si="79"/>
        <v>3.5555555555555554</v>
      </c>
      <c r="E239">
        <f t="shared" si="82"/>
        <v>0.5083333333333333</v>
      </c>
      <c r="F239">
        <v>0</v>
      </c>
      <c r="G239">
        <f>E239*('Tasas Swap CLP vs Camara'!$C$18/100)</f>
        <v>2.6585833333333336E-2</v>
      </c>
      <c r="H239">
        <v>0.83851456430015658</v>
      </c>
      <c r="I239">
        <f t="shared" si="80"/>
        <v>2.2292608454056582E-2</v>
      </c>
      <c r="J239" s="4">
        <f t="shared" si="81"/>
        <v>5.0782039126814116E-2</v>
      </c>
    </row>
    <row r="240" spans="1:10" x14ac:dyDescent="0.35">
      <c r="A240">
        <v>4</v>
      </c>
      <c r="B240">
        <f t="shared" si="77"/>
        <v>4</v>
      </c>
      <c r="C240" s="1">
        <f t="shared" si="78"/>
        <v>46849</v>
      </c>
      <c r="D240">
        <f t="shared" si="79"/>
        <v>4.0638888888888891</v>
      </c>
      <c r="E240">
        <f t="shared" si="82"/>
        <v>0.50833333333333375</v>
      </c>
      <c r="F240">
        <v>0</v>
      </c>
      <c r="G240">
        <f>E240*('Tasas Swap CLP vs Camara'!$C$18/100)</f>
        <v>2.6585833333333357E-2</v>
      </c>
      <c r="H240">
        <v>0.81732431125665073</v>
      </c>
      <c r="I240">
        <f t="shared" si="80"/>
        <v>2.1729247918350791E-2</v>
      </c>
      <c r="J240" s="4">
        <f t="shared" si="81"/>
        <v>5.0889568782717776E-2</v>
      </c>
    </row>
    <row r="241" spans="1:10" x14ac:dyDescent="0.35">
      <c r="A241" s="5">
        <v>4.5</v>
      </c>
      <c r="B241">
        <f t="shared" si="77"/>
        <v>4.5</v>
      </c>
      <c r="C241" s="1">
        <f t="shared" si="78"/>
        <v>47032</v>
      </c>
      <c r="D241">
        <f t="shared" si="79"/>
        <v>4.572222222222222</v>
      </c>
      <c r="E241">
        <f t="shared" si="82"/>
        <v>0.50833333333333286</v>
      </c>
      <c r="F241">
        <v>0</v>
      </c>
      <c r="G241">
        <f>E241*('Tasas Swap CLP vs Camara'!$C$18/100)</f>
        <v>2.6585833333333312E-2</v>
      </c>
      <c r="H241">
        <v>0.79792489545475964</v>
      </c>
      <c r="I241">
        <f t="shared" si="80"/>
        <v>2.1213498283077645E-2</v>
      </c>
      <c r="J241" s="4">
        <f t="shared" si="81"/>
        <v>5.0611345824343124E-2</v>
      </c>
    </row>
    <row r="242" spans="1:10" x14ac:dyDescent="0.35">
      <c r="A242">
        <v>5</v>
      </c>
      <c r="B242">
        <f t="shared" si="77"/>
        <v>5</v>
      </c>
      <c r="C242" s="1">
        <f t="shared" si="78"/>
        <v>47214</v>
      </c>
      <c r="D242">
        <f t="shared" si="79"/>
        <v>5.0777777777777775</v>
      </c>
      <c r="E242">
        <f t="shared" si="82"/>
        <v>0.50555555555555554</v>
      </c>
      <c r="F242">
        <v>0</v>
      </c>
      <c r="G242">
        <f>E242*('Tasas Swap CLP vs Camara'!$C$18/100)</f>
        <v>2.6440555555555557E-2</v>
      </c>
      <c r="H242">
        <v>0.77863148738949084</v>
      </c>
      <c r="I242">
        <f t="shared" si="80"/>
        <v>2.058744909962669E-2</v>
      </c>
      <c r="J242" s="4">
        <f t="shared" si="81"/>
        <v>5.0511249944210412E-2</v>
      </c>
    </row>
    <row r="243" spans="1:10" x14ac:dyDescent="0.35">
      <c r="A243">
        <v>5.5</v>
      </c>
      <c r="B243">
        <f t="shared" si="77"/>
        <v>5.5</v>
      </c>
      <c r="C243" s="1">
        <f t="shared" si="78"/>
        <v>47397</v>
      </c>
      <c r="D243">
        <f t="shared" si="79"/>
        <v>5.5861111111111112</v>
      </c>
      <c r="E243">
        <f t="shared" si="82"/>
        <v>0.50833333333333375</v>
      </c>
      <c r="F243">
        <v>0</v>
      </c>
      <c r="G243">
        <f>E243*('Tasas Swap CLP vs Camara'!$C$18/100)</f>
        <v>2.6585833333333357E-2</v>
      </c>
      <c r="H243">
        <v>0.75919032579226176</v>
      </c>
      <c r="I243">
        <f t="shared" si="80"/>
        <v>2.0183707469792124E-2</v>
      </c>
      <c r="J243" s="4">
        <f t="shared" si="81"/>
        <v>5.0555680339027464E-2</v>
      </c>
    </row>
    <row r="244" spans="1:10" x14ac:dyDescent="0.35">
      <c r="A244">
        <v>6</v>
      </c>
      <c r="B244">
        <f t="shared" si="77"/>
        <v>6</v>
      </c>
      <c r="C244" s="1">
        <f t="shared" si="78"/>
        <v>47579</v>
      </c>
      <c r="D244">
        <f t="shared" si="79"/>
        <v>6.0916666666666668</v>
      </c>
      <c r="E244">
        <f t="shared" si="82"/>
        <v>0.50555555555555554</v>
      </c>
      <c r="F244">
        <v>0</v>
      </c>
      <c r="G244">
        <f>E244*('Tasas Swap CLP vs Camara'!$C$18/100)</f>
        <v>2.6440555555555557E-2</v>
      </c>
      <c r="H244">
        <v>0.73985540005075534</v>
      </c>
      <c r="I244">
        <f t="shared" si="80"/>
        <v>1.9562187808119778E-2</v>
      </c>
      <c r="J244" s="4">
        <f t="shared" si="81"/>
        <v>5.0704716082387691E-2</v>
      </c>
    </row>
    <row r="245" spans="1:10" x14ac:dyDescent="0.35">
      <c r="A245">
        <v>6.5</v>
      </c>
      <c r="B245">
        <f t="shared" si="77"/>
        <v>6.5</v>
      </c>
      <c r="C245" s="1">
        <f t="shared" si="78"/>
        <v>47762</v>
      </c>
      <c r="D245">
        <f t="shared" si="79"/>
        <v>6.6</v>
      </c>
      <c r="E245">
        <f t="shared" si="82"/>
        <v>0.50833333333333286</v>
      </c>
      <c r="F245">
        <v>0</v>
      </c>
      <c r="G245">
        <f>E245*('Tasas Swap CLP vs Camara'!$C$18/100)</f>
        <v>2.6585833333333312E-2</v>
      </c>
      <c r="H245">
        <v>0.72168717316515341</v>
      </c>
      <c r="I245">
        <f t="shared" si="80"/>
        <v>1.9186654904573226E-2</v>
      </c>
      <c r="J245" s="4">
        <f t="shared" si="81"/>
        <v>5.0660184739446334E-2</v>
      </c>
    </row>
    <row r="246" spans="1:10" x14ac:dyDescent="0.35">
      <c r="A246">
        <v>7</v>
      </c>
      <c r="B246">
        <f t="shared" si="77"/>
        <v>7</v>
      </c>
      <c r="C246" s="1">
        <f t="shared" si="78"/>
        <v>47944</v>
      </c>
      <c r="D246">
        <f t="shared" si="79"/>
        <v>7.1055555555555552</v>
      </c>
      <c r="E246">
        <f t="shared" si="82"/>
        <v>0.50555555555555554</v>
      </c>
      <c r="F246">
        <v>0</v>
      </c>
      <c r="G246">
        <f>E246*('Tasas Swap CLP vs Camara'!$C$18/100)</f>
        <v>2.6440555555555557E-2</v>
      </c>
      <c r="H246">
        <v>0.70361822620788816</v>
      </c>
      <c r="I246">
        <f t="shared" si="80"/>
        <v>1.8604056799951123E-2</v>
      </c>
      <c r="J246" s="4">
        <f t="shared" si="81"/>
        <v>5.0715183635827943E-2</v>
      </c>
    </row>
    <row r="247" spans="1:10" x14ac:dyDescent="0.35">
      <c r="A247">
        <v>7.5</v>
      </c>
      <c r="B247">
        <f t="shared" si="77"/>
        <v>7.5</v>
      </c>
      <c r="C247" s="1">
        <f t="shared" si="78"/>
        <v>48127</v>
      </c>
      <c r="D247">
        <f t="shared" si="79"/>
        <v>7.6138888888888889</v>
      </c>
      <c r="E247">
        <f t="shared" si="82"/>
        <v>0.50833333333333375</v>
      </c>
      <c r="F247">
        <v>0</v>
      </c>
      <c r="G247">
        <f>E247*('Tasas Swap CLP vs Camara'!$C$18/100)</f>
        <v>2.6585833333333357E-2</v>
      </c>
      <c r="H247">
        <v>0.68491199702456618</v>
      </c>
      <c r="I247">
        <f t="shared" si="80"/>
        <v>1.8208956200895628E-2</v>
      </c>
      <c r="J247" s="4">
        <f t="shared" si="81"/>
        <v>5.0963304784101826E-2</v>
      </c>
    </row>
    <row r="248" spans="1:10" x14ac:dyDescent="0.35">
      <c r="A248">
        <v>8</v>
      </c>
      <c r="B248">
        <f t="shared" si="77"/>
        <v>8</v>
      </c>
      <c r="C248" s="1">
        <f t="shared" si="78"/>
        <v>48310</v>
      </c>
      <c r="D248">
        <f t="shared" si="79"/>
        <v>8.1222222222222218</v>
      </c>
      <c r="E248">
        <f t="shared" si="82"/>
        <v>0.50833333333333286</v>
      </c>
      <c r="F248">
        <v>0</v>
      </c>
      <c r="G248">
        <f>E248*('Tasas Swap CLP vs Camara'!$C$18/100)</f>
        <v>2.6585833333333312E-2</v>
      </c>
      <c r="H248">
        <v>0.66620576784124419</v>
      </c>
      <c r="I248">
        <f t="shared" si="80"/>
        <v>1.7711635509532662E-2</v>
      </c>
      <c r="J248" s="4">
        <f t="shared" si="81"/>
        <v>5.12769964386115E-2</v>
      </c>
    </row>
    <row r="249" spans="1:10" x14ac:dyDescent="0.35">
      <c r="A249">
        <v>8.5</v>
      </c>
      <c r="B249">
        <f t="shared" si="77"/>
        <v>8.5</v>
      </c>
      <c r="C249" s="1">
        <f t="shared" si="78"/>
        <v>48493</v>
      </c>
      <c r="D249">
        <f t="shared" si="79"/>
        <v>8.6305555555555564</v>
      </c>
      <c r="E249">
        <f t="shared" si="82"/>
        <v>0.50833333333333464</v>
      </c>
      <c r="F249">
        <v>0</v>
      </c>
      <c r="G249">
        <f>E249*('Tasas Swap CLP vs Camara'!$C$18/100)</f>
        <v>2.6585833333333406E-2</v>
      </c>
      <c r="H249">
        <v>0.64883019795306762</v>
      </c>
      <c r="I249">
        <f t="shared" si="80"/>
        <v>1.7249691504413977E-2</v>
      </c>
      <c r="J249" s="4">
        <f t="shared" si="81"/>
        <v>5.1399788990797557E-2</v>
      </c>
    </row>
    <row r="250" spans="1:10" x14ac:dyDescent="0.35">
      <c r="A250">
        <v>9</v>
      </c>
      <c r="B250">
        <f t="shared" si="77"/>
        <v>9</v>
      </c>
      <c r="C250" s="1">
        <f t="shared" si="78"/>
        <v>48675</v>
      </c>
      <c r="D250">
        <f t="shared" si="79"/>
        <v>9.1361111111111111</v>
      </c>
      <c r="E250">
        <f t="shared" si="82"/>
        <v>0.50555555555555465</v>
      </c>
      <c r="F250">
        <v>0</v>
      </c>
      <c r="G250">
        <f>E250*('Tasas Swap CLP vs Camara'!$C$18/100)</f>
        <v>2.6440555555555512E-2</v>
      </c>
      <c r="H250">
        <v>0.6315495765342255</v>
      </c>
      <c r="I250">
        <f t="shared" si="80"/>
        <v>1.6698521664440746E-2</v>
      </c>
      <c r="J250" s="4">
        <f t="shared" si="81"/>
        <v>5.1590259559592955E-2</v>
      </c>
    </row>
    <row r="251" spans="1:10" x14ac:dyDescent="0.35">
      <c r="A251">
        <v>9.5</v>
      </c>
      <c r="B251">
        <f t="shared" si="77"/>
        <v>9.5</v>
      </c>
      <c r="C251" s="1">
        <f t="shared" si="78"/>
        <v>48858</v>
      </c>
      <c r="D251">
        <f t="shared" si="79"/>
        <v>9.6444444444444439</v>
      </c>
      <c r="E251">
        <f t="shared" si="82"/>
        <v>0.50833333333333286</v>
      </c>
      <c r="F251">
        <v>0</v>
      </c>
      <c r="G251">
        <f>E251*('Tasas Swap CLP vs Camara'!$C$18/100)</f>
        <v>2.6585833333333312E-2</v>
      </c>
      <c r="H251">
        <v>0.61336685237681643</v>
      </c>
      <c r="I251">
        <f t="shared" si="80"/>
        <v>1.6306868909481298E-2</v>
      </c>
      <c r="J251" s="4">
        <f t="shared" si="81"/>
        <v>5.19874716847748E-2</v>
      </c>
    </row>
    <row r="252" spans="1:10" x14ac:dyDescent="0.35">
      <c r="A252">
        <v>10</v>
      </c>
      <c r="B252">
        <f t="shared" si="77"/>
        <v>10</v>
      </c>
      <c r="C252" s="1">
        <f t="shared" si="78"/>
        <v>49040</v>
      </c>
      <c r="D252">
        <f t="shared" si="79"/>
        <v>10.15</v>
      </c>
      <c r="E252">
        <f t="shared" si="82"/>
        <v>0.50555555555555642</v>
      </c>
      <c r="F252">
        <v>0</v>
      </c>
      <c r="G252">
        <f>E252*('Tasas Swap CLP vs Camara'!$C$18/100)</f>
        <v>2.6440555555555603E-2</v>
      </c>
      <c r="H252">
        <v>0.59528348736780845</v>
      </c>
      <c r="I252">
        <f t="shared" si="80"/>
        <v>1.573962611905342E-2</v>
      </c>
      <c r="J252" s="4">
        <f t="shared" si="81"/>
        <v>5.2433578335127295E-2</v>
      </c>
    </row>
    <row r="253" spans="1:10" x14ac:dyDescent="0.35">
      <c r="A253">
        <v>10.5</v>
      </c>
      <c r="B253">
        <f t="shared" si="77"/>
        <v>10.5</v>
      </c>
      <c r="C253" s="1">
        <f t="shared" si="78"/>
        <v>49223</v>
      </c>
      <c r="D253">
        <f t="shared" si="79"/>
        <v>10.658333333333333</v>
      </c>
      <c r="E253">
        <f t="shared" si="82"/>
        <v>0.50833333333333286</v>
      </c>
      <c r="F253">
        <v>0</v>
      </c>
      <c r="G253">
        <f>E253*('Tasas Swap CLP vs Camara'!$C$18/100)</f>
        <v>2.6585833333333312E-2</v>
      </c>
      <c r="H253">
        <v>0.57896653423652067</v>
      </c>
      <c r="I253">
        <f t="shared" si="80"/>
        <v>1.5392307784789753E-2</v>
      </c>
      <c r="J253" s="4">
        <f t="shared" si="81"/>
        <v>5.2612772282240927E-2</v>
      </c>
    </row>
    <row r="254" spans="1:10" x14ac:dyDescent="0.35">
      <c r="A254">
        <v>11</v>
      </c>
      <c r="B254">
        <f t="shared" si="77"/>
        <v>11</v>
      </c>
      <c r="C254" s="1">
        <f t="shared" si="78"/>
        <v>49405</v>
      </c>
      <c r="D254">
        <f t="shared" si="79"/>
        <v>11.16388888888889</v>
      </c>
      <c r="E254">
        <f t="shared" si="82"/>
        <v>0.50555555555555642</v>
      </c>
      <c r="F254">
        <v>0</v>
      </c>
      <c r="G254">
        <f>E254*('Tasas Swap CLP vs Camara'!$C$18/100)</f>
        <v>2.6440555555555603E-2</v>
      </c>
      <c r="H254">
        <v>0.5627387447835458</v>
      </c>
      <c r="I254">
        <f t="shared" si="80"/>
        <v>1.4879125044712968E-2</v>
      </c>
      <c r="J254" s="4">
        <f t="shared" si="81"/>
        <v>5.2849141212893747E-2</v>
      </c>
    </row>
    <row r="255" spans="1:10" x14ac:dyDescent="0.35">
      <c r="A255">
        <v>11.5</v>
      </c>
      <c r="B255">
        <f t="shared" si="77"/>
        <v>11.5</v>
      </c>
      <c r="C255" s="1">
        <f t="shared" si="78"/>
        <v>49588</v>
      </c>
      <c r="D255">
        <f t="shared" si="79"/>
        <v>11.672222222222222</v>
      </c>
      <c r="E255">
        <f t="shared" si="82"/>
        <v>0.50833333333333286</v>
      </c>
      <c r="F255">
        <v>0</v>
      </c>
      <c r="G255">
        <f>E255*('Tasas Swap CLP vs Camara'!$C$18/100)</f>
        <v>2.6585833333333312E-2</v>
      </c>
      <c r="H255">
        <v>0.54642179165225802</v>
      </c>
      <c r="I255">
        <f t="shared" si="80"/>
        <v>1.4527078682568311E-2</v>
      </c>
      <c r="J255" s="4">
        <f t="shared" si="81"/>
        <v>5.3141898037049051E-2</v>
      </c>
    </row>
    <row r="256" spans="1:10" x14ac:dyDescent="0.35">
      <c r="A256">
        <v>12</v>
      </c>
      <c r="B256">
        <f t="shared" si="77"/>
        <v>12</v>
      </c>
      <c r="C256" s="1">
        <f t="shared" si="78"/>
        <v>49771</v>
      </c>
      <c r="D256">
        <f t="shared" si="79"/>
        <v>12.180555555555555</v>
      </c>
      <c r="E256">
        <f t="shared" si="82"/>
        <v>0.50833333333333286</v>
      </c>
      <c r="F256">
        <v>0</v>
      </c>
      <c r="G256">
        <f>E256*('Tasas Swap CLP vs Camara'!$C$18/100)</f>
        <v>2.6585833333333312E-2</v>
      </c>
      <c r="H256">
        <v>0.53010483852097023</v>
      </c>
      <c r="I256">
        <f t="shared" si="80"/>
        <v>1.4093278886112084E-2</v>
      </c>
      <c r="J256" s="4">
        <f t="shared" si="81"/>
        <v>5.3487445672407485E-2</v>
      </c>
    </row>
    <row r="257" spans="1:10" x14ac:dyDescent="0.35">
      <c r="A257">
        <v>12.5</v>
      </c>
      <c r="B257">
        <f t="shared" si="77"/>
        <v>12.5</v>
      </c>
      <c r="C257" s="1">
        <f t="shared" si="78"/>
        <v>49954</v>
      </c>
      <c r="D257">
        <f t="shared" si="79"/>
        <v>12.688888888888888</v>
      </c>
      <c r="E257">
        <f t="shared" si="82"/>
        <v>0.50833333333333286</v>
      </c>
      <c r="F257">
        <v>0</v>
      </c>
      <c r="G257">
        <f>E257*('Tasas Swap CLP vs Camara'!$C$18/100)</f>
        <v>2.6585833333333312E-2</v>
      </c>
      <c r="H257">
        <v>0.51720830954914088</v>
      </c>
      <c r="I257">
        <f t="shared" si="80"/>
        <v>1.3750413916288524E-2</v>
      </c>
      <c r="J257" s="4">
        <f t="shared" si="81"/>
        <v>5.3333184891849461E-2</v>
      </c>
    </row>
    <row r="258" spans="1:10" x14ac:dyDescent="0.35">
      <c r="A258">
        <v>13</v>
      </c>
      <c r="B258">
        <f t="shared" si="77"/>
        <v>13</v>
      </c>
      <c r="C258" s="1">
        <f t="shared" si="78"/>
        <v>50136</v>
      </c>
      <c r="D258">
        <f t="shared" si="79"/>
        <v>13.194444444444445</v>
      </c>
      <c r="E258">
        <f t="shared" si="82"/>
        <v>0.50555555555555642</v>
      </c>
      <c r="F258">
        <v>0</v>
      </c>
      <c r="G258">
        <f>E258*('Tasas Swap CLP vs Camara'!$C$18/100)</f>
        <v>2.6440555555555603E-2</v>
      </c>
      <c r="H258">
        <v>0.50438225341322318</v>
      </c>
      <c r="I258">
        <f t="shared" si="80"/>
        <v>1.3336146992608652E-2</v>
      </c>
      <c r="J258" s="4">
        <f t="shared" si="81"/>
        <v>5.3240810234053804E-2</v>
      </c>
    </row>
    <row r="259" spans="1:10" x14ac:dyDescent="0.35">
      <c r="A259">
        <v>13.5</v>
      </c>
      <c r="B259">
        <f t="shared" si="77"/>
        <v>13.5</v>
      </c>
      <c r="C259" s="1">
        <f t="shared" si="78"/>
        <v>50319</v>
      </c>
      <c r="D259">
        <f t="shared" si="79"/>
        <v>13.702777777777778</v>
      </c>
      <c r="E259">
        <f t="shared" si="82"/>
        <v>0.50833333333333286</v>
      </c>
      <c r="F259">
        <v>0</v>
      </c>
      <c r="G259">
        <f>E259*('Tasas Swap CLP vs Camara'!$C$18/100)</f>
        <v>2.6585833333333312E-2</v>
      </c>
      <c r="H259">
        <v>0.49148572444139377</v>
      </c>
      <c r="I259">
        <f t="shared" si="80"/>
        <v>1.3066557555711478E-2</v>
      </c>
      <c r="J259" s="4">
        <f t="shared" si="81"/>
        <v>5.3204939621995573E-2</v>
      </c>
    </row>
    <row r="260" spans="1:10" x14ac:dyDescent="0.35">
      <c r="A260">
        <v>14</v>
      </c>
      <c r="B260">
        <f t="shared" si="77"/>
        <v>14</v>
      </c>
      <c r="C260" s="1">
        <f t="shared" si="78"/>
        <v>50501</v>
      </c>
      <c r="D260">
        <f t="shared" si="79"/>
        <v>14.208333333333334</v>
      </c>
      <c r="E260">
        <f t="shared" si="82"/>
        <v>0.50555555555555642</v>
      </c>
      <c r="F260">
        <v>0</v>
      </c>
      <c r="G260">
        <f>E260*('Tasas Swap CLP vs Camara'!$C$18/100)</f>
        <v>2.6440555555555603E-2</v>
      </c>
      <c r="H260">
        <v>0.47865966830547602</v>
      </c>
      <c r="I260">
        <f t="shared" si="80"/>
        <v>1.2656027552034755E-2</v>
      </c>
      <c r="J260" s="4">
        <f t="shared" si="81"/>
        <v>5.3222444339118491E-2</v>
      </c>
    </row>
    <row r="261" spans="1:10" x14ac:dyDescent="0.35">
      <c r="A261">
        <v>14.5</v>
      </c>
      <c r="B261">
        <f t="shared" si="77"/>
        <v>14.5</v>
      </c>
      <c r="C261" s="1">
        <f t="shared" si="78"/>
        <v>50684</v>
      </c>
      <c r="D261">
        <f t="shared" si="79"/>
        <v>14.716666666666667</v>
      </c>
      <c r="E261">
        <f t="shared" si="82"/>
        <v>0.50833333333333286</v>
      </c>
      <c r="F261">
        <v>0</v>
      </c>
      <c r="G261">
        <f>E261*('Tasas Swap CLP vs Camara'!$C$18/100)</f>
        <v>2.6585833333333312E-2</v>
      </c>
      <c r="H261">
        <v>0.46576313933364666</v>
      </c>
      <c r="I261">
        <f t="shared" si="80"/>
        <v>1.2382701195134431E-2</v>
      </c>
      <c r="J261" s="4">
        <f t="shared" si="81"/>
        <v>5.3290668889345527E-2</v>
      </c>
    </row>
    <row r="262" spans="1:10" x14ac:dyDescent="0.35">
      <c r="A262">
        <v>15</v>
      </c>
      <c r="B262">
        <f t="shared" si="77"/>
        <v>15</v>
      </c>
      <c r="C262" s="1">
        <f t="shared" si="78"/>
        <v>50866</v>
      </c>
      <c r="D262">
        <f t="shared" si="79"/>
        <v>15.222222222222221</v>
      </c>
      <c r="E262">
        <f t="shared" si="82"/>
        <v>0.50555555555555465</v>
      </c>
      <c r="F262">
        <v>0</v>
      </c>
      <c r="G262">
        <f>E262*('Tasas Swap CLP vs Camara'!$C$18/100)</f>
        <v>2.6440555555555512E-2</v>
      </c>
      <c r="H262">
        <v>0.45293708319772896</v>
      </c>
      <c r="I262">
        <f t="shared" si="80"/>
        <v>1.1975908111460822E-2</v>
      </c>
      <c r="J262" s="4">
        <f t="shared" si="81"/>
        <v>5.3406640483834922E-2</v>
      </c>
    </row>
    <row r="263" spans="1:10" x14ac:dyDescent="0.35">
      <c r="A263">
        <v>15.5</v>
      </c>
      <c r="B263">
        <f t="shared" si="77"/>
        <v>15.5</v>
      </c>
      <c r="C263" s="1">
        <f t="shared" si="78"/>
        <v>51049</v>
      </c>
      <c r="D263">
        <f t="shared" si="79"/>
        <v>15.730555555555556</v>
      </c>
      <c r="E263">
        <f t="shared" si="82"/>
        <v>0.50833333333333464</v>
      </c>
      <c r="F263">
        <v>0</v>
      </c>
      <c r="G263">
        <f>E263*('Tasas Swap CLP vs Camara'!$C$18/100)</f>
        <v>2.6585833333333406E-2</v>
      </c>
      <c r="H263">
        <f>+(($H$272-$H$262)/($D$272-$D$262))*(D263-$D$262)+$H$262</f>
        <v>0.44242932217997644</v>
      </c>
      <c r="I263">
        <f t="shared" si="80"/>
        <v>1.1762352221256522E-2</v>
      </c>
      <c r="J263" s="4">
        <f t="shared" si="81"/>
        <v>5.3207386686007663E-2</v>
      </c>
    </row>
    <row r="264" spans="1:10" x14ac:dyDescent="0.35">
      <c r="A264">
        <v>16</v>
      </c>
      <c r="B264">
        <f t="shared" si="77"/>
        <v>16</v>
      </c>
      <c r="C264" s="1">
        <f t="shared" si="78"/>
        <v>51232</v>
      </c>
      <c r="D264">
        <f t="shared" si="79"/>
        <v>16.238888888888887</v>
      </c>
      <c r="E264">
        <f t="shared" si="82"/>
        <v>0.50833333333333108</v>
      </c>
      <c r="F264">
        <v>0</v>
      </c>
      <c r="G264">
        <f>E264*('Tasas Swap CLP vs Camara'!$C$18/100)</f>
        <v>2.6585833333333218E-2</v>
      </c>
      <c r="H264">
        <f>+(($H$272-$H$262)/($D$272-$D$262))*(D264-$D$262)+$H$262</f>
        <v>0.43192156116222397</v>
      </c>
      <c r="I264">
        <f t="shared" si="80"/>
        <v>1.1482994638131976E-2</v>
      </c>
      <c r="J264" s="4">
        <f t="shared" si="81"/>
        <v>5.3057230158603419E-2</v>
      </c>
    </row>
    <row r="265" spans="1:10" x14ac:dyDescent="0.35">
      <c r="A265">
        <v>16.5</v>
      </c>
      <c r="B265">
        <f t="shared" si="77"/>
        <v>16.5</v>
      </c>
      <c r="C265" s="1">
        <f t="shared" si="78"/>
        <v>51415</v>
      </c>
      <c r="D265">
        <f t="shared" si="79"/>
        <v>16.747222222222224</v>
      </c>
      <c r="E265">
        <f t="shared" si="82"/>
        <v>0.50833333333333641</v>
      </c>
      <c r="F265">
        <v>0</v>
      </c>
      <c r="G265">
        <f>E265*('Tasas Swap CLP vs Camara'!$C$18/100)</f>
        <v>2.6585833333333496E-2</v>
      </c>
      <c r="H265">
        <f t="shared" ref="H265:H271" si="83">+(($H$272-$H$262)/($D$272-$D$262))*(D265-$D$262)+$H$262</f>
        <v>0.42141380014447138</v>
      </c>
      <c r="I265">
        <f t="shared" si="80"/>
        <v>1.1203637055007628E-2</v>
      </c>
      <c r="J265" s="4">
        <f t="shared" si="81"/>
        <v>5.2953430461069262E-2</v>
      </c>
    </row>
    <row r="266" spans="1:10" x14ac:dyDescent="0.35">
      <c r="A266">
        <v>17</v>
      </c>
      <c r="B266">
        <f t="shared" si="77"/>
        <v>17</v>
      </c>
      <c r="C266" s="1">
        <f t="shared" si="78"/>
        <v>51597</v>
      </c>
      <c r="D266">
        <f t="shared" si="79"/>
        <v>17.252777777777776</v>
      </c>
      <c r="E266">
        <f t="shared" si="82"/>
        <v>0.50555555555555287</v>
      </c>
      <c r="F266">
        <v>0</v>
      </c>
      <c r="G266">
        <f>E266*('Tasas Swap CLP vs Camara'!$C$18/100)</f>
        <v>2.6440555555555419E-2</v>
      </c>
      <c r="H266">
        <f t="shared" si="83"/>
        <v>0.41096345858583233</v>
      </c>
      <c r="I266">
        <f t="shared" si="80"/>
        <v>1.0866102158041898E-2</v>
      </c>
      <c r="J266" s="4">
        <f t="shared" si="81"/>
        <v>5.2893913705611695E-2</v>
      </c>
    </row>
    <row r="267" spans="1:10" x14ac:dyDescent="0.35">
      <c r="A267">
        <v>17.5</v>
      </c>
      <c r="B267">
        <f t="shared" si="77"/>
        <v>17.5</v>
      </c>
      <c r="C267" s="1">
        <f t="shared" si="78"/>
        <v>51780</v>
      </c>
      <c r="D267">
        <f t="shared" si="79"/>
        <v>17.761111111111113</v>
      </c>
      <c r="E267">
        <f t="shared" si="82"/>
        <v>0.50833333333333641</v>
      </c>
      <c r="F267">
        <v>0</v>
      </c>
      <c r="G267">
        <f>E267*('Tasas Swap CLP vs Camara'!$C$18/100)</f>
        <v>2.6585833333333496E-2</v>
      </c>
      <c r="H267">
        <f t="shared" si="83"/>
        <v>0.40045569756807975</v>
      </c>
      <c r="I267">
        <f t="shared" si="80"/>
        <v>1.0646448432928772E-2</v>
      </c>
      <c r="J267" s="4">
        <f t="shared" si="81"/>
        <v>5.2876153194854281E-2</v>
      </c>
    </row>
    <row r="268" spans="1:10" x14ac:dyDescent="0.35">
      <c r="A268">
        <v>18</v>
      </c>
      <c r="B268">
        <f t="shared" si="77"/>
        <v>18</v>
      </c>
      <c r="C268" s="1">
        <f t="shared" si="78"/>
        <v>51962</v>
      </c>
      <c r="D268">
        <f t="shared" si="79"/>
        <v>18.266666666666666</v>
      </c>
      <c r="E268">
        <f t="shared" si="82"/>
        <v>0.50555555555555287</v>
      </c>
      <c r="F268">
        <v>0</v>
      </c>
      <c r="G268">
        <f>E268*('Tasas Swap CLP vs Camara'!$C$18/100)</f>
        <v>2.6440555555555419E-2</v>
      </c>
      <c r="H268">
        <f t="shared" si="83"/>
        <v>0.39000535600944064</v>
      </c>
      <c r="I268">
        <f t="shared" si="80"/>
        <v>1.0311958282531784E-2</v>
      </c>
      <c r="J268" s="4">
        <f t="shared" si="81"/>
        <v>5.2898840825562177E-2</v>
      </c>
    </row>
    <row r="269" spans="1:10" x14ac:dyDescent="0.35">
      <c r="A269">
        <v>18.5</v>
      </c>
      <c r="B269">
        <f t="shared" si="77"/>
        <v>18.5</v>
      </c>
      <c r="C269" s="1">
        <f t="shared" si="78"/>
        <v>52145</v>
      </c>
      <c r="D269">
        <f t="shared" si="79"/>
        <v>18.774999999999999</v>
      </c>
      <c r="E269">
        <f t="shared" si="82"/>
        <v>0.50833333333333286</v>
      </c>
      <c r="F269">
        <v>0</v>
      </c>
      <c r="G269">
        <f>E269*('Tasas Swap CLP vs Camara'!$C$18/100)</f>
        <v>2.6585833333333312E-2</v>
      </c>
      <c r="H269">
        <f t="shared" si="83"/>
        <v>0.37949759499168817</v>
      </c>
      <c r="I269">
        <f t="shared" si="80"/>
        <v>1.0089259810849849E-2</v>
      </c>
      <c r="J269" s="4">
        <f t="shared" si="81"/>
        <v>5.2961039274828536E-2</v>
      </c>
    </row>
    <row r="270" spans="1:10" x14ac:dyDescent="0.35">
      <c r="A270">
        <v>19</v>
      </c>
      <c r="B270">
        <f t="shared" si="77"/>
        <v>19</v>
      </c>
      <c r="C270" s="1">
        <f t="shared" si="78"/>
        <v>52327</v>
      </c>
      <c r="D270">
        <f t="shared" si="79"/>
        <v>19.280555555555555</v>
      </c>
      <c r="E270">
        <f t="shared" si="82"/>
        <v>0.50555555555555642</v>
      </c>
      <c r="F270">
        <v>0</v>
      </c>
      <c r="G270">
        <f>E270*('Tasas Swap CLP vs Camara'!$C$18/100)</f>
        <v>2.6440555555555603E-2</v>
      </c>
      <c r="H270">
        <f t="shared" si="83"/>
        <v>0.36904725343304901</v>
      </c>
      <c r="I270">
        <f t="shared" si="80"/>
        <v>9.757814407021741E-3</v>
      </c>
      <c r="J270" s="4">
        <f t="shared" si="81"/>
        <v>5.3061189757473093E-2</v>
      </c>
    </row>
    <row r="271" spans="1:10" x14ac:dyDescent="0.35">
      <c r="A271">
        <v>19.5</v>
      </c>
      <c r="B271">
        <f t="shared" si="77"/>
        <v>19.5</v>
      </c>
      <c r="C271" s="1">
        <f t="shared" si="78"/>
        <v>52510</v>
      </c>
      <c r="D271">
        <f t="shared" si="79"/>
        <v>19.788888888888888</v>
      </c>
      <c r="E271">
        <f t="shared" si="82"/>
        <v>0.50833333333333286</v>
      </c>
      <c r="F271">
        <v>0</v>
      </c>
      <c r="G271">
        <f>E271*('Tasas Swap CLP vs Camara'!$C$18/100)</f>
        <v>2.6585833333333312E-2</v>
      </c>
      <c r="H271">
        <f t="shared" si="83"/>
        <v>0.35853949241529653</v>
      </c>
      <c r="I271">
        <f t="shared" si="80"/>
        <v>9.5320711887709967E-3</v>
      </c>
      <c r="J271" s="4">
        <f t="shared" si="81"/>
        <v>5.3199789542817344E-2</v>
      </c>
    </row>
    <row r="272" spans="1:10" x14ac:dyDescent="0.35">
      <c r="A272">
        <v>20</v>
      </c>
      <c r="B272">
        <f t="shared" si="77"/>
        <v>20</v>
      </c>
      <c r="C272" s="1">
        <f t="shared" si="78"/>
        <v>52693</v>
      </c>
      <c r="D272">
        <f t="shared" si="79"/>
        <v>20.297222222222221</v>
      </c>
      <c r="E272">
        <f t="shared" si="82"/>
        <v>0.50833333333333286</v>
      </c>
      <c r="F272">
        <v>1</v>
      </c>
      <c r="G272">
        <f>E272*('Tasas Swap CLP vs Camara'!$C$18/100)</f>
        <v>2.6585833333333312E-2</v>
      </c>
      <c r="H272" s="2">
        <v>0.34803173139754401</v>
      </c>
      <c r="I272">
        <f t="shared" si="80"/>
        <v>0.35728444500319056</v>
      </c>
      <c r="J272" s="8">
        <f t="shared" si="81"/>
        <v>5.3376057304748592E-2</v>
      </c>
    </row>
    <row r="273" spans="1:10" x14ac:dyDescent="0.35">
      <c r="I273">
        <f>SUM(I233:I272)</f>
        <v>0.99999999999999989</v>
      </c>
    </row>
    <row r="276" spans="1:10" x14ac:dyDescent="0.35">
      <c r="B276" t="s">
        <v>56</v>
      </c>
      <c r="C276" t="s">
        <v>35</v>
      </c>
    </row>
    <row r="277" spans="1:10" x14ac:dyDescent="0.35">
      <c r="A277" s="5" t="s">
        <v>36</v>
      </c>
      <c r="B277" t="s">
        <v>38</v>
      </c>
      <c r="C277" t="s">
        <v>37</v>
      </c>
      <c r="D277" t="s">
        <v>25</v>
      </c>
      <c r="E277" t="s">
        <v>41</v>
      </c>
      <c r="F277" t="s">
        <v>40</v>
      </c>
      <c r="G277" s="5" t="s">
        <v>105</v>
      </c>
      <c r="H277" t="s">
        <v>42</v>
      </c>
      <c r="I277" t="s">
        <v>32</v>
      </c>
      <c r="J277" s="4" t="s">
        <v>33</v>
      </c>
    </row>
    <row r="278" spans="1:10" x14ac:dyDescent="0.35">
      <c r="A278">
        <v>0.5</v>
      </c>
      <c r="B278">
        <f>A278</f>
        <v>0.5</v>
      </c>
      <c r="C278" s="1">
        <f>+DATE(YEAR($C$1),MONTH($C$1)+B278*12,DAY($C$1)+2)</f>
        <v>45571</v>
      </c>
      <c r="D278">
        <f>+(C278-$C$1)/360</f>
        <v>0.51388888888888884</v>
      </c>
      <c r="E278" s="6">
        <f>(C278-$C$1)/360</f>
        <v>0.51388888888888884</v>
      </c>
      <c r="F278">
        <v>0</v>
      </c>
      <c r="G278">
        <f>E278*('Tasas Swap CLP vs Camara'!$C$18/100)</f>
        <v>2.6876388888888891E-2</v>
      </c>
      <c r="H278">
        <v>0.97047596454527818</v>
      </c>
      <c r="I278">
        <f>H278*SUM(F278:G278)</f>
        <v>2.6082889430438443E-2</v>
      </c>
      <c r="J278" s="4">
        <f>+(1/H278)^(1/D278)-1</f>
        <v>6.0051358994559045E-2</v>
      </c>
    </row>
    <row r="279" spans="1:10" x14ac:dyDescent="0.35">
      <c r="A279">
        <v>1</v>
      </c>
      <c r="B279">
        <f t="shared" ref="B279:B327" si="84">A279</f>
        <v>1</v>
      </c>
      <c r="C279" s="1">
        <f t="shared" ref="C279:C327" si="85">+DATE(YEAR($C$1),MONTH($C$1)+B279*12,DAY($C$1)+2)</f>
        <v>45753</v>
      </c>
      <c r="D279">
        <f t="shared" ref="D279:D327" si="86">+(C279-$C$1)/360</f>
        <v>1.0194444444444444</v>
      </c>
      <c r="E279">
        <f>D279-D278</f>
        <v>0.50555555555555554</v>
      </c>
      <c r="F279">
        <v>0</v>
      </c>
      <c r="G279">
        <f>E279*('Tasas Swap CLP vs Camara'!$C$18/100)</f>
        <v>2.6440555555555557E-2</v>
      </c>
      <c r="H279">
        <v>0.94690742664755312</v>
      </c>
      <c r="I279">
        <f t="shared" ref="I279" si="87">H279*SUM(F279:G279)</f>
        <v>2.5036758420242777E-2</v>
      </c>
      <c r="J279" s="4">
        <f t="shared" ref="J279" si="88">+(1/H279)^(1/D279)-1</f>
        <v>5.497113508809659E-2</v>
      </c>
    </row>
    <row r="280" spans="1:10" x14ac:dyDescent="0.35">
      <c r="A280">
        <v>1.5</v>
      </c>
      <c r="B280">
        <f t="shared" si="84"/>
        <v>1.5</v>
      </c>
      <c r="C280" s="1">
        <f t="shared" si="85"/>
        <v>45936</v>
      </c>
      <c r="D280">
        <f t="shared" si="86"/>
        <v>1.5277777777777777</v>
      </c>
      <c r="E280">
        <f t="shared" ref="E280:E327" si="89">D280-D279</f>
        <v>0.5083333333333333</v>
      </c>
      <c r="F280">
        <v>0</v>
      </c>
      <c r="G280">
        <f>E280*('Tasas Swap CLP vs Camara'!$C$18/100)</f>
        <v>2.6585833333333336E-2</v>
      </c>
      <c r="H280">
        <v>0.9248317320043159</v>
      </c>
      <c r="I280">
        <f t="shared" ref="I280:I327" si="90">H280*SUM(F280:G280)</f>
        <v>2.4587422288444745E-2</v>
      </c>
      <c r="J280" s="4">
        <f t="shared" ref="J280:J327" si="91">+(1/H280)^(1/D280)-1</f>
        <v>5.2479125027685258E-2</v>
      </c>
    </row>
    <row r="281" spans="1:10" x14ac:dyDescent="0.35">
      <c r="A281">
        <v>2</v>
      </c>
      <c r="B281">
        <f t="shared" si="84"/>
        <v>2</v>
      </c>
      <c r="C281" s="1">
        <f t="shared" si="85"/>
        <v>46118</v>
      </c>
      <c r="D281">
        <f t="shared" si="86"/>
        <v>2.0333333333333332</v>
      </c>
      <c r="E281">
        <f t="shared" si="89"/>
        <v>0.50555555555555554</v>
      </c>
      <c r="F281">
        <v>0</v>
      </c>
      <c r="G281">
        <f>E281*('Tasas Swap CLP vs Camara'!$C$18/100)</f>
        <v>2.6440555555555557E-2</v>
      </c>
      <c r="H281">
        <v>0.9026167011601639</v>
      </c>
      <c r="I281">
        <f t="shared" si="90"/>
        <v>2.3865687032397602E-2</v>
      </c>
      <c r="J281" s="4">
        <f t="shared" si="91"/>
        <v>5.1679941960715903E-2</v>
      </c>
    </row>
    <row r="282" spans="1:10" x14ac:dyDescent="0.35">
      <c r="A282">
        <v>2.5</v>
      </c>
      <c r="B282">
        <f t="shared" si="84"/>
        <v>2.5</v>
      </c>
      <c r="C282" s="1">
        <f t="shared" si="85"/>
        <v>46301</v>
      </c>
      <c r="D282">
        <f t="shared" si="86"/>
        <v>2.5416666666666665</v>
      </c>
      <c r="E282">
        <f t="shared" si="89"/>
        <v>0.5083333333333333</v>
      </c>
      <c r="F282">
        <v>0</v>
      </c>
      <c r="G282">
        <f>E282*('Tasas Swap CLP vs Camara'!$C$18/100)</f>
        <v>2.6585833333333336E-2</v>
      </c>
      <c r="H282">
        <v>0.88110197584942485</v>
      </c>
      <c r="I282">
        <f t="shared" si="90"/>
        <v>2.3424830279603504E-2</v>
      </c>
      <c r="J282" s="4">
        <f t="shared" si="91"/>
        <v>5.1063720539427759E-2</v>
      </c>
    </row>
    <row r="283" spans="1:10" x14ac:dyDescent="0.35">
      <c r="A283">
        <v>3</v>
      </c>
      <c r="B283">
        <f t="shared" si="84"/>
        <v>3</v>
      </c>
      <c r="C283" s="1">
        <f t="shared" si="85"/>
        <v>46483</v>
      </c>
      <c r="D283">
        <f t="shared" si="86"/>
        <v>3.0472222222222221</v>
      </c>
      <c r="E283">
        <f t="shared" si="89"/>
        <v>0.50555555555555554</v>
      </c>
      <c r="F283">
        <v>0</v>
      </c>
      <c r="G283">
        <f>E283*('Tasas Swap CLP vs Camara'!$C$18/100)</f>
        <v>2.6440555555555557E-2</v>
      </c>
      <c r="H283">
        <v>0.85970481734366244</v>
      </c>
      <c r="I283">
        <f t="shared" si="90"/>
        <v>2.273107298435385E-2</v>
      </c>
      <c r="J283" s="4">
        <f t="shared" si="91"/>
        <v>5.0858935509587644E-2</v>
      </c>
    </row>
    <row r="284" spans="1:10" x14ac:dyDescent="0.35">
      <c r="A284">
        <v>3.5</v>
      </c>
      <c r="B284">
        <f t="shared" si="84"/>
        <v>3.5</v>
      </c>
      <c r="C284" s="1">
        <f t="shared" si="85"/>
        <v>46666</v>
      </c>
      <c r="D284">
        <f t="shared" si="86"/>
        <v>3.5555555555555554</v>
      </c>
      <c r="E284">
        <f t="shared" si="89"/>
        <v>0.5083333333333333</v>
      </c>
      <c r="F284">
        <v>0</v>
      </c>
      <c r="G284">
        <f>E284*('Tasas Swap CLP vs Camara'!$C$18/100)</f>
        <v>2.6585833333333336E-2</v>
      </c>
      <c r="H284">
        <v>0.83851456430015658</v>
      </c>
      <c r="I284">
        <f t="shared" si="90"/>
        <v>2.2292608454056582E-2</v>
      </c>
      <c r="J284" s="4">
        <f t="shared" si="91"/>
        <v>5.0782039126814116E-2</v>
      </c>
    </row>
    <row r="285" spans="1:10" x14ac:dyDescent="0.35">
      <c r="A285">
        <v>4</v>
      </c>
      <c r="B285">
        <f t="shared" si="84"/>
        <v>4</v>
      </c>
      <c r="C285" s="1">
        <f t="shared" si="85"/>
        <v>46849</v>
      </c>
      <c r="D285">
        <f t="shared" si="86"/>
        <v>4.0638888888888891</v>
      </c>
      <c r="E285">
        <f t="shared" si="89"/>
        <v>0.50833333333333375</v>
      </c>
      <c r="F285">
        <v>0</v>
      </c>
      <c r="G285">
        <f>E285*('Tasas Swap CLP vs Camara'!$C$18/100)</f>
        <v>2.6585833333333357E-2</v>
      </c>
      <c r="H285">
        <v>0.81732431125665073</v>
      </c>
      <c r="I285">
        <f t="shared" si="90"/>
        <v>2.1729247918350791E-2</v>
      </c>
      <c r="J285" s="4">
        <f t="shared" si="91"/>
        <v>5.0889568782717776E-2</v>
      </c>
    </row>
    <row r="286" spans="1:10" x14ac:dyDescent="0.35">
      <c r="A286" s="5">
        <v>4.5</v>
      </c>
      <c r="B286">
        <f t="shared" si="84"/>
        <v>4.5</v>
      </c>
      <c r="C286" s="1">
        <f t="shared" si="85"/>
        <v>47032</v>
      </c>
      <c r="D286">
        <f t="shared" si="86"/>
        <v>4.572222222222222</v>
      </c>
      <c r="E286">
        <f t="shared" si="89"/>
        <v>0.50833333333333286</v>
      </c>
      <c r="F286">
        <v>0</v>
      </c>
      <c r="G286">
        <f>E286*('Tasas Swap CLP vs Camara'!$C$18/100)</f>
        <v>2.6585833333333312E-2</v>
      </c>
      <c r="H286">
        <v>0.79792489545475964</v>
      </c>
      <c r="I286">
        <f t="shared" si="90"/>
        <v>2.1213498283077645E-2</v>
      </c>
      <c r="J286" s="4">
        <f t="shared" si="91"/>
        <v>5.0611345824343124E-2</v>
      </c>
    </row>
    <row r="287" spans="1:10" x14ac:dyDescent="0.35">
      <c r="A287">
        <v>5</v>
      </c>
      <c r="B287">
        <f t="shared" si="84"/>
        <v>5</v>
      </c>
      <c r="C287" s="1">
        <f t="shared" si="85"/>
        <v>47214</v>
      </c>
      <c r="D287">
        <f t="shared" si="86"/>
        <v>5.0777777777777775</v>
      </c>
      <c r="E287">
        <f t="shared" si="89"/>
        <v>0.50555555555555554</v>
      </c>
      <c r="F287">
        <v>0</v>
      </c>
      <c r="G287">
        <f>E287*('Tasas Swap CLP vs Camara'!$C$18/100)</f>
        <v>2.6440555555555557E-2</v>
      </c>
      <c r="H287">
        <v>0.77863148738949084</v>
      </c>
      <c r="I287">
        <f t="shared" si="90"/>
        <v>2.058744909962669E-2</v>
      </c>
      <c r="J287" s="4">
        <f t="shared" si="91"/>
        <v>5.0511249944210412E-2</v>
      </c>
    </row>
    <row r="288" spans="1:10" x14ac:dyDescent="0.35">
      <c r="A288">
        <v>5.5</v>
      </c>
      <c r="B288">
        <f t="shared" si="84"/>
        <v>5.5</v>
      </c>
      <c r="C288" s="1">
        <f t="shared" si="85"/>
        <v>47397</v>
      </c>
      <c r="D288">
        <f t="shared" si="86"/>
        <v>5.5861111111111112</v>
      </c>
      <c r="E288">
        <f t="shared" si="89"/>
        <v>0.50833333333333375</v>
      </c>
      <c r="F288">
        <v>0</v>
      </c>
      <c r="G288">
        <f>E288*('Tasas Swap CLP vs Camara'!$C$18/100)</f>
        <v>2.6585833333333357E-2</v>
      </c>
      <c r="H288">
        <v>0.75919032579226176</v>
      </c>
      <c r="I288">
        <f t="shared" si="90"/>
        <v>2.0183707469792124E-2</v>
      </c>
      <c r="J288" s="4">
        <f t="shared" si="91"/>
        <v>5.0555680339027464E-2</v>
      </c>
    </row>
    <row r="289" spans="1:10" x14ac:dyDescent="0.35">
      <c r="A289">
        <v>6</v>
      </c>
      <c r="B289">
        <f t="shared" si="84"/>
        <v>6</v>
      </c>
      <c r="C289" s="1">
        <f t="shared" si="85"/>
        <v>47579</v>
      </c>
      <c r="D289">
        <f t="shared" si="86"/>
        <v>6.0916666666666668</v>
      </c>
      <c r="E289">
        <f t="shared" si="89"/>
        <v>0.50555555555555554</v>
      </c>
      <c r="F289">
        <v>0</v>
      </c>
      <c r="G289">
        <f>E289*('Tasas Swap CLP vs Camara'!$C$18/100)</f>
        <v>2.6440555555555557E-2</v>
      </c>
      <c r="H289">
        <v>0.73985540005075534</v>
      </c>
      <c r="I289">
        <f t="shared" si="90"/>
        <v>1.9562187808119778E-2</v>
      </c>
      <c r="J289" s="4">
        <f t="shared" si="91"/>
        <v>5.0704716082387691E-2</v>
      </c>
    </row>
    <row r="290" spans="1:10" x14ac:dyDescent="0.35">
      <c r="A290">
        <v>6.5</v>
      </c>
      <c r="B290">
        <f t="shared" si="84"/>
        <v>6.5</v>
      </c>
      <c r="C290" s="1">
        <f t="shared" si="85"/>
        <v>47762</v>
      </c>
      <c r="D290">
        <f t="shared" si="86"/>
        <v>6.6</v>
      </c>
      <c r="E290">
        <f t="shared" si="89"/>
        <v>0.50833333333333286</v>
      </c>
      <c r="F290">
        <v>0</v>
      </c>
      <c r="G290">
        <f>E290*('Tasas Swap CLP vs Camara'!$C$18/100)</f>
        <v>2.6585833333333312E-2</v>
      </c>
      <c r="H290">
        <v>0.72168717316515341</v>
      </c>
      <c r="I290">
        <f t="shared" si="90"/>
        <v>1.9186654904573226E-2</v>
      </c>
      <c r="J290" s="4">
        <f t="shared" si="91"/>
        <v>5.0660184739446334E-2</v>
      </c>
    </row>
    <row r="291" spans="1:10" x14ac:dyDescent="0.35">
      <c r="A291">
        <v>7</v>
      </c>
      <c r="B291">
        <f t="shared" si="84"/>
        <v>7</v>
      </c>
      <c r="C291" s="1">
        <f t="shared" si="85"/>
        <v>47944</v>
      </c>
      <c r="D291">
        <f t="shared" si="86"/>
        <v>7.1055555555555552</v>
      </c>
      <c r="E291">
        <f t="shared" si="89"/>
        <v>0.50555555555555554</v>
      </c>
      <c r="F291">
        <v>0</v>
      </c>
      <c r="G291">
        <f>E291*('Tasas Swap CLP vs Camara'!$C$18/100)</f>
        <v>2.6440555555555557E-2</v>
      </c>
      <c r="H291">
        <v>0.70361822620788816</v>
      </c>
      <c r="I291">
        <f t="shared" si="90"/>
        <v>1.8604056799951123E-2</v>
      </c>
      <c r="J291" s="4">
        <f t="shared" si="91"/>
        <v>5.0715183635827943E-2</v>
      </c>
    </row>
    <row r="292" spans="1:10" x14ac:dyDescent="0.35">
      <c r="A292">
        <v>7.5</v>
      </c>
      <c r="B292">
        <f t="shared" si="84"/>
        <v>7.5</v>
      </c>
      <c r="C292" s="1">
        <f t="shared" si="85"/>
        <v>48127</v>
      </c>
      <c r="D292">
        <f t="shared" si="86"/>
        <v>7.6138888888888889</v>
      </c>
      <c r="E292">
        <f t="shared" si="89"/>
        <v>0.50833333333333375</v>
      </c>
      <c r="F292">
        <v>0</v>
      </c>
      <c r="G292">
        <f>E292*('Tasas Swap CLP vs Camara'!$C$18/100)</f>
        <v>2.6585833333333357E-2</v>
      </c>
      <c r="H292">
        <v>0.68491199702456618</v>
      </c>
      <c r="I292">
        <f t="shared" si="90"/>
        <v>1.8208956200895628E-2</v>
      </c>
      <c r="J292" s="4">
        <f t="shared" si="91"/>
        <v>5.0963304784101826E-2</v>
      </c>
    </row>
    <row r="293" spans="1:10" x14ac:dyDescent="0.35">
      <c r="A293">
        <v>8</v>
      </c>
      <c r="B293">
        <f t="shared" si="84"/>
        <v>8</v>
      </c>
      <c r="C293" s="1">
        <f t="shared" si="85"/>
        <v>48310</v>
      </c>
      <c r="D293">
        <f t="shared" si="86"/>
        <v>8.1222222222222218</v>
      </c>
      <c r="E293">
        <f t="shared" si="89"/>
        <v>0.50833333333333286</v>
      </c>
      <c r="F293">
        <v>0</v>
      </c>
      <c r="G293">
        <f>E293*('Tasas Swap CLP vs Camara'!$C$18/100)</f>
        <v>2.6585833333333312E-2</v>
      </c>
      <c r="H293">
        <v>0.66620576784124419</v>
      </c>
      <c r="I293">
        <f t="shared" si="90"/>
        <v>1.7711635509532662E-2</v>
      </c>
      <c r="J293" s="4">
        <f t="shared" si="91"/>
        <v>5.12769964386115E-2</v>
      </c>
    </row>
    <row r="294" spans="1:10" x14ac:dyDescent="0.35">
      <c r="A294">
        <v>8.5</v>
      </c>
      <c r="B294">
        <f t="shared" si="84"/>
        <v>8.5</v>
      </c>
      <c r="C294" s="1">
        <f t="shared" si="85"/>
        <v>48493</v>
      </c>
      <c r="D294">
        <f t="shared" si="86"/>
        <v>8.6305555555555564</v>
      </c>
      <c r="E294">
        <f t="shared" si="89"/>
        <v>0.50833333333333464</v>
      </c>
      <c r="F294">
        <v>0</v>
      </c>
      <c r="G294">
        <f>E294*('Tasas Swap CLP vs Camara'!$C$18/100)</f>
        <v>2.6585833333333406E-2</v>
      </c>
      <c r="H294">
        <v>0.64883019795306762</v>
      </c>
      <c r="I294">
        <f t="shared" si="90"/>
        <v>1.7249691504413977E-2</v>
      </c>
      <c r="J294" s="4">
        <f t="shared" si="91"/>
        <v>5.1399788990797557E-2</v>
      </c>
    </row>
    <row r="295" spans="1:10" x14ac:dyDescent="0.35">
      <c r="A295">
        <v>9</v>
      </c>
      <c r="B295">
        <f t="shared" si="84"/>
        <v>9</v>
      </c>
      <c r="C295" s="1">
        <f t="shared" si="85"/>
        <v>48675</v>
      </c>
      <c r="D295">
        <f t="shared" si="86"/>
        <v>9.1361111111111111</v>
      </c>
      <c r="E295">
        <f t="shared" si="89"/>
        <v>0.50555555555555465</v>
      </c>
      <c r="F295">
        <v>0</v>
      </c>
      <c r="G295">
        <f>E295*('Tasas Swap CLP vs Camara'!$C$18/100)</f>
        <v>2.6440555555555512E-2</v>
      </c>
      <c r="H295">
        <v>0.6315495765342255</v>
      </c>
      <c r="I295">
        <f t="shared" si="90"/>
        <v>1.6698521664440746E-2</v>
      </c>
      <c r="J295" s="4">
        <f t="shared" si="91"/>
        <v>5.1590259559592955E-2</v>
      </c>
    </row>
    <row r="296" spans="1:10" x14ac:dyDescent="0.35">
      <c r="A296">
        <v>9.5</v>
      </c>
      <c r="B296">
        <f t="shared" si="84"/>
        <v>9.5</v>
      </c>
      <c r="C296" s="1">
        <f t="shared" si="85"/>
        <v>48858</v>
      </c>
      <c r="D296">
        <f t="shared" si="86"/>
        <v>9.6444444444444439</v>
      </c>
      <c r="E296">
        <f t="shared" si="89"/>
        <v>0.50833333333333286</v>
      </c>
      <c r="F296">
        <v>0</v>
      </c>
      <c r="G296">
        <f>E296*('Tasas Swap CLP vs Camara'!$C$18/100)</f>
        <v>2.6585833333333312E-2</v>
      </c>
      <c r="H296">
        <v>0.61336685237681643</v>
      </c>
      <c r="I296">
        <f t="shared" si="90"/>
        <v>1.6306868909481298E-2</v>
      </c>
      <c r="J296" s="4">
        <f t="shared" si="91"/>
        <v>5.19874716847748E-2</v>
      </c>
    </row>
    <row r="297" spans="1:10" x14ac:dyDescent="0.35">
      <c r="A297">
        <v>10</v>
      </c>
      <c r="B297">
        <f t="shared" si="84"/>
        <v>10</v>
      </c>
      <c r="C297" s="1">
        <f t="shared" si="85"/>
        <v>49040</v>
      </c>
      <c r="D297">
        <f t="shared" si="86"/>
        <v>10.15</v>
      </c>
      <c r="E297">
        <f t="shared" si="89"/>
        <v>0.50555555555555642</v>
      </c>
      <c r="F297">
        <v>0</v>
      </c>
      <c r="G297">
        <f>E297*('Tasas Swap CLP vs Camara'!$C$18/100)</f>
        <v>2.6440555555555603E-2</v>
      </c>
      <c r="H297">
        <v>0.59528348736780845</v>
      </c>
      <c r="I297">
        <f t="shared" si="90"/>
        <v>1.573962611905342E-2</v>
      </c>
      <c r="J297" s="4">
        <f t="shared" si="91"/>
        <v>5.2433578335127295E-2</v>
      </c>
    </row>
    <row r="298" spans="1:10" x14ac:dyDescent="0.35">
      <c r="A298">
        <v>10.5</v>
      </c>
      <c r="B298">
        <f t="shared" si="84"/>
        <v>10.5</v>
      </c>
      <c r="C298" s="1">
        <f t="shared" si="85"/>
        <v>49223</v>
      </c>
      <c r="D298">
        <f t="shared" si="86"/>
        <v>10.658333333333333</v>
      </c>
      <c r="E298">
        <f t="shared" si="89"/>
        <v>0.50833333333333286</v>
      </c>
      <c r="F298">
        <v>0</v>
      </c>
      <c r="G298">
        <f>E298*('Tasas Swap CLP vs Camara'!$C$18/100)</f>
        <v>2.6585833333333312E-2</v>
      </c>
      <c r="H298">
        <v>0.57896653423652067</v>
      </c>
      <c r="I298">
        <f t="shared" si="90"/>
        <v>1.5392307784789753E-2</v>
      </c>
      <c r="J298" s="4">
        <f t="shared" si="91"/>
        <v>5.2612772282240927E-2</v>
      </c>
    </row>
    <row r="299" spans="1:10" x14ac:dyDescent="0.35">
      <c r="A299">
        <v>11</v>
      </c>
      <c r="B299">
        <f t="shared" si="84"/>
        <v>11</v>
      </c>
      <c r="C299" s="1">
        <f t="shared" si="85"/>
        <v>49405</v>
      </c>
      <c r="D299">
        <f t="shared" si="86"/>
        <v>11.16388888888889</v>
      </c>
      <c r="E299">
        <f t="shared" si="89"/>
        <v>0.50555555555555642</v>
      </c>
      <c r="F299">
        <v>0</v>
      </c>
      <c r="G299">
        <f>E299*('Tasas Swap CLP vs Camara'!$C$18/100)</f>
        <v>2.6440555555555603E-2</v>
      </c>
      <c r="H299">
        <v>0.5627387447835458</v>
      </c>
      <c r="I299">
        <f t="shared" si="90"/>
        <v>1.4879125044712968E-2</v>
      </c>
      <c r="J299" s="4">
        <f t="shared" si="91"/>
        <v>5.2849141212893747E-2</v>
      </c>
    </row>
    <row r="300" spans="1:10" x14ac:dyDescent="0.35">
      <c r="A300">
        <v>11.5</v>
      </c>
      <c r="B300">
        <f t="shared" si="84"/>
        <v>11.5</v>
      </c>
      <c r="C300" s="1">
        <f t="shared" si="85"/>
        <v>49588</v>
      </c>
      <c r="D300">
        <f t="shared" si="86"/>
        <v>11.672222222222222</v>
      </c>
      <c r="E300">
        <f t="shared" si="89"/>
        <v>0.50833333333333286</v>
      </c>
      <c r="F300">
        <v>0</v>
      </c>
      <c r="G300">
        <f>E300*('Tasas Swap CLP vs Camara'!$C$18/100)</f>
        <v>2.6585833333333312E-2</v>
      </c>
      <c r="H300">
        <v>0.54642179165225802</v>
      </c>
      <c r="I300">
        <f t="shared" si="90"/>
        <v>1.4527078682568311E-2</v>
      </c>
      <c r="J300" s="4">
        <f t="shared" si="91"/>
        <v>5.3141898037049051E-2</v>
      </c>
    </row>
    <row r="301" spans="1:10" x14ac:dyDescent="0.35">
      <c r="A301">
        <v>12</v>
      </c>
      <c r="B301">
        <f t="shared" si="84"/>
        <v>12</v>
      </c>
      <c r="C301" s="1">
        <f t="shared" si="85"/>
        <v>49771</v>
      </c>
      <c r="D301">
        <f t="shared" si="86"/>
        <v>12.180555555555555</v>
      </c>
      <c r="E301">
        <f t="shared" si="89"/>
        <v>0.50833333333333286</v>
      </c>
      <c r="F301">
        <v>0</v>
      </c>
      <c r="G301">
        <f>E301*('Tasas Swap CLP vs Camara'!$C$18/100)</f>
        <v>2.6585833333333312E-2</v>
      </c>
      <c r="H301">
        <v>0.53010483852097023</v>
      </c>
      <c r="I301">
        <f t="shared" si="90"/>
        <v>1.4093278886112084E-2</v>
      </c>
      <c r="J301" s="4">
        <f t="shared" si="91"/>
        <v>5.3487445672407485E-2</v>
      </c>
    </row>
    <row r="302" spans="1:10" x14ac:dyDescent="0.35">
      <c r="A302">
        <v>12.5</v>
      </c>
      <c r="B302">
        <f t="shared" si="84"/>
        <v>12.5</v>
      </c>
      <c r="C302" s="1">
        <f t="shared" si="85"/>
        <v>49954</v>
      </c>
      <c r="D302">
        <f t="shared" si="86"/>
        <v>12.688888888888888</v>
      </c>
      <c r="E302">
        <f t="shared" si="89"/>
        <v>0.50833333333333286</v>
      </c>
      <c r="F302">
        <v>0</v>
      </c>
      <c r="G302">
        <f>E302*('Tasas Swap CLP vs Camara'!$C$18/100)</f>
        <v>2.6585833333333312E-2</v>
      </c>
      <c r="H302">
        <v>0.51720830954914088</v>
      </c>
      <c r="I302">
        <f t="shared" si="90"/>
        <v>1.3750413916288524E-2</v>
      </c>
      <c r="J302" s="4">
        <f t="shared" si="91"/>
        <v>5.3333184891849461E-2</v>
      </c>
    </row>
    <row r="303" spans="1:10" x14ac:dyDescent="0.35">
      <c r="A303">
        <v>13</v>
      </c>
      <c r="B303">
        <f t="shared" si="84"/>
        <v>13</v>
      </c>
      <c r="C303" s="1">
        <f t="shared" si="85"/>
        <v>50136</v>
      </c>
      <c r="D303">
        <f t="shared" si="86"/>
        <v>13.194444444444445</v>
      </c>
      <c r="E303">
        <f t="shared" si="89"/>
        <v>0.50555555555555642</v>
      </c>
      <c r="F303">
        <v>0</v>
      </c>
      <c r="G303">
        <f>E303*('Tasas Swap CLP vs Camara'!$C$18/100)</f>
        <v>2.6440555555555603E-2</v>
      </c>
      <c r="H303">
        <v>0.50438225341322318</v>
      </c>
      <c r="I303">
        <f t="shared" si="90"/>
        <v>1.3336146992608652E-2</v>
      </c>
      <c r="J303" s="4">
        <f t="shared" si="91"/>
        <v>5.3240810234053804E-2</v>
      </c>
    </row>
    <row r="304" spans="1:10" x14ac:dyDescent="0.35">
      <c r="A304">
        <v>13.5</v>
      </c>
      <c r="B304">
        <f t="shared" si="84"/>
        <v>13.5</v>
      </c>
      <c r="C304" s="1">
        <f t="shared" si="85"/>
        <v>50319</v>
      </c>
      <c r="D304">
        <f t="shared" si="86"/>
        <v>13.702777777777778</v>
      </c>
      <c r="E304">
        <f t="shared" si="89"/>
        <v>0.50833333333333286</v>
      </c>
      <c r="F304">
        <v>0</v>
      </c>
      <c r="G304">
        <f>E304*('Tasas Swap CLP vs Camara'!$C$18/100)</f>
        <v>2.6585833333333312E-2</v>
      </c>
      <c r="H304">
        <v>0.49148572444139377</v>
      </c>
      <c r="I304">
        <f t="shared" si="90"/>
        <v>1.3066557555711478E-2</v>
      </c>
      <c r="J304" s="4">
        <f t="shared" si="91"/>
        <v>5.3204939621995573E-2</v>
      </c>
    </row>
    <row r="305" spans="1:10" x14ac:dyDescent="0.35">
      <c r="A305">
        <v>14</v>
      </c>
      <c r="B305">
        <f t="shared" si="84"/>
        <v>14</v>
      </c>
      <c r="C305" s="1">
        <f t="shared" si="85"/>
        <v>50501</v>
      </c>
      <c r="D305">
        <f t="shared" si="86"/>
        <v>14.208333333333334</v>
      </c>
      <c r="E305">
        <f t="shared" si="89"/>
        <v>0.50555555555555642</v>
      </c>
      <c r="F305">
        <v>0</v>
      </c>
      <c r="G305">
        <f>E305*('Tasas Swap CLP vs Camara'!$C$18/100)</f>
        <v>2.6440555555555603E-2</v>
      </c>
      <c r="H305">
        <v>0.47865966830547602</v>
      </c>
      <c r="I305">
        <f t="shared" si="90"/>
        <v>1.2656027552034755E-2</v>
      </c>
      <c r="J305" s="4">
        <f t="shared" si="91"/>
        <v>5.3222444339118491E-2</v>
      </c>
    </row>
    <row r="306" spans="1:10" x14ac:dyDescent="0.35">
      <c r="A306">
        <v>14.5</v>
      </c>
      <c r="B306">
        <f t="shared" si="84"/>
        <v>14.5</v>
      </c>
      <c r="C306" s="1">
        <f t="shared" si="85"/>
        <v>50684</v>
      </c>
      <c r="D306">
        <f t="shared" si="86"/>
        <v>14.716666666666667</v>
      </c>
      <c r="E306">
        <f t="shared" si="89"/>
        <v>0.50833333333333286</v>
      </c>
      <c r="F306">
        <v>0</v>
      </c>
      <c r="G306">
        <f>E306*('Tasas Swap CLP vs Camara'!$C$18/100)</f>
        <v>2.6585833333333312E-2</v>
      </c>
      <c r="H306">
        <v>0.46576313933364666</v>
      </c>
      <c r="I306">
        <f t="shared" si="90"/>
        <v>1.2382701195134431E-2</v>
      </c>
      <c r="J306" s="4">
        <f t="shared" si="91"/>
        <v>5.3290668889345527E-2</v>
      </c>
    </row>
    <row r="307" spans="1:10" x14ac:dyDescent="0.35">
      <c r="A307">
        <v>15</v>
      </c>
      <c r="B307">
        <f t="shared" si="84"/>
        <v>15</v>
      </c>
      <c r="C307" s="1">
        <f t="shared" si="85"/>
        <v>50866</v>
      </c>
      <c r="D307">
        <f t="shared" si="86"/>
        <v>15.222222222222221</v>
      </c>
      <c r="E307">
        <f t="shared" si="89"/>
        <v>0.50555555555555465</v>
      </c>
      <c r="F307">
        <v>0</v>
      </c>
      <c r="G307">
        <f>E307*('Tasas Swap CLP vs Camara'!$C$18/100)</f>
        <v>2.6440555555555512E-2</v>
      </c>
      <c r="H307">
        <v>0.45293708319772896</v>
      </c>
      <c r="I307">
        <f t="shared" si="90"/>
        <v>1.1975908111460822E-2</v>
      </c>
      <c r="J307" s="4">
        <f t="shared" si="91"/>
        <v>5.3406640483834922E-2</v>
      </c>
    </row>
    <row r="308" spans="1:10" x14ac:dyDescent="0.35">
      <c r="A308">
        <v>15.5</v>
      </c>
      <c r="B308">
        <f t="shared" si="84"/>
        <v>15.5</v>
      </c>
      <c r="C308" s="1">
        <f t="shared" si="85"/>
        <v>51049</v>
      </c>
      <c r="D308">
        <f t="shared" si="86"/>
        <v>15.730555555555556</v>
      </c>
      <c r="E308">
        <f t="shared" si="89"/>
        <v>0.50833333333333464</v>
      </c>
      <c r="F308">
        <v>0</v>
      </c>
      <c r="G308">
        <f>E308*('Tasas Swap CLP vs Camara'!$C$18/100)</f>
        <v>2.6585833333333406E-2</v>
      </c>
      <c r="H308">
        <v>0.44242932217997644</v>
      </c>
      <c r="I308">
        <f t="shared" si="90"/>
        <v>1.1762352221256522E-2</v>
      </c>
      <c r="J308" s="4">
        <f t="shared" si="91"/>
        <v>5.3207386686007663E-2</v>
      </c>
    </row>
    <row r="309" spans="1:10" x14ac:dyDescent="0.35">
      <c r="A309">
        <v>16</v>
      </c>
      <c r="B309">
        <f t="shared" si="84"/>
        <v>16</v>
      </c>
      <c r="C309" s="1">
        <f t="shared" si="85"/>
        <v>51232</v>
      </c>
      <c r="D309">
        <f t="shared" si="86"/>
        <v>16.238888888888887</v>
      </c>
      <c r="E309">
        <f t="shared" si="89"/>
        <v>0.50833333333333108</v>
      </c>
      <c r="F309">
        <v>0</v>
      </c>
      <c r="G309">
        <f>E309*('Tasas Swap CLP vs Camara'!$C$18/100)</f>
        <v>2.6585833333333218E-2</v>
      </c>
      <c r="H309">
        <v>0.43192156116222397</v>
      </c>
      <c r="I309">
        <f t="shared" si="90"/>
        <v>1.1482994638131976E-2</v>
      </c>
      <c r="J309" s="4">
        <f t="shared" si="91"/>
        <v>5.3057230158603419E-2</v>
      </c>
    </row>
    <row r="310" spans="1:10" x14ac:dyDescent="0.35">
      <c r="A310">
        <v>16.5</v>
      </c>
      <c r="B310">
        <f t="shared" si="84"/>
        <v>16.5</v>
      </c>
      <c r="C310" s="1">
        <f t="shared" si="85"/>
        <v>51415</v>
      </c>
      <c r="D310">
        <f t="shared" si="86"/>
        <v>16.747222222222224</v>
      </c>
      <c r="E310">
        <f t="shared" si="89"/>
        <v>0.50833333333333641</v>
      </c>
      <c r="F310">
        <v>0</v>
      </c>
      <c r="G310">
        <f>E310*('Tasas Swap CLP vs Camara'!$C$18/100)</f>
        <v>2.6585833333333496E-2</v>
      </c>
      <c r="H310">
        <v>0.42141380014447138</v>
      </c>
      <c r="I310">
        <f t="shared" si="90"/>
        <v>1.1203637055007628E-2</v>
      </c>
      <c r="J310" s="4">
        <f t="shared" si="91"/>
        <v>5.2953430461069262E-2</v>
      </c>
    </row>
    <row r="311" spans="1:10" x14ac:dyDescent="0.35">
      <c r="A311">
        <v>17</v>
      </c>
      <c r="B311">
        <f t="shared" si="84"/>
        <v>17</v>
      </c>
      <c r="C311" s="1">
        <f t="shared" si="85"/>
        <v>51597</v>
      </c>
      <c r="D311">
        <f t="shared" si="86"/>
        <v>17.252777777777776</v>
      </c>
      <c r="E311">
        <f t="shared" si="89"/>
        <v>0.50555555555555287</v>
      </c>
      <c r="F311">
        <v>0</v>
      </c>
      <c r="G311">
        <f>E311*('Tasas Swap CLP vs Camara'!$C$18/100)</f>
        <v>2.6440555555555419E-2</v>
      </c>
      <c r="H311">
        <v>0.41096345858583233</v>
      </c>
      <c r="I311">
        <f t="shared" si="90"/>
        <v>1.0866102158041898E-2</v>
      </c>
      <c r="J311" s="4">
        <f t="shared" si="91"/>
        <v>5.2893913705611695E-2</v>
      </c>
    </row>
    <row r="312" spans="1:10" x14ac:dyDescent="0.35">
      <c r="A312">
        <v>17.5</v>
      </c>
      <c r="B312">
        <f t="shared" si="84"/>
        <v>17.5</v>
      </c>
      <c r="C312" s="1">
        <f t="shared" si="85"/>
        <v>51780</v>
      </c>
      <c r="D312">
        <f t="shared" si="86"/>
        <v>17.761111111111113</v>
      </c>
      <c r="E312">
        <f t="shared" si="89"/>
        <v>0.50833333333333641</v>
      </c>
      <c r="F312">
        <v>0</v>
      </c>
      <c r="G312">
        <f>E312*('Tasas Swap CLP vs Camara'!$C$18/100)</f>
        <v>2.6585833333333496E-2</v>
      </c>
      <c r="H312">
        <v>0.40045569756807975</v>
      </c>
      <c r="I312">
        <f t="shared" si="90"/>
        <v>1.0646448432928772E-2</v>
      </c>
      <c r="J312" s="4">
        <f t="shared" si="91"/>
        <v>5.2876153194854281E-2</v>
      </c>
    </row>
    <row r="313" spans="1:10" x14ac:dyDescent="0.35">
      <c r="A313">
        <v>18</v>
      </c>
      <c r="B313">
        <f t="shared" si="84"/>
        <v>18</v>
      </c>
      <c r="C313" s="1">
        <f t="shared" si="85"/>
        <v>51962</v>
      </c>
      <c r="D313">
        <f t="shared" si="86"/>
        <v>18.266666666666666</v>
      </c>
      <c r="E313">
        <f t="shared" si="89"/>
        <v>0.50555555555555287</v>
      </c>
      <c r="F313">
        <v>0</v>
      </c>
      <c r="G313">
        <f>E313*('Tasas Swap CLP vs Camara'!$C$18/100)</f>
        <v>2.6440555555555419E-2</v>
      </c>
      <c r="H313">
        <v>0.39000535600944064</v>
      </c>
      <c r="I313">
        <f t="shared" si="90"/>
        <v>1.0311958282531784E-2</v>
      </c>
      <c r="J313" s="4">
        <f t="shared" si="91"/>
        <v>5.2898840825562177E-2</v>
      </c>
    </row>
    <row r="314" spans="1:10" x14ac:dyDescent="0.35">
      <c r="A314">
        <v>18.5</v>
      </c>
      <c r="B314">
        <f t="shared" si="84"/>
        <v>18.5</v>
      </c>
      <c r="C314" s="1">
        <f t="shared" si="85"/>
        <v>52145</v>
      </c>
      <c r="D314">
        <f t="shared" si="86"/>
        <v>18.774999999999999</v>
      </c>
      <c r="E314">
        <f t="shared" si="89"/>
        <v>0.50833333333333286</v>
      </c>
      <c r="F314">
        <v>0</v>
      </c>
      <c r="G314">
        <f>E314*('Tasas Swap CLP vs Camara'!$C$18/100)</f>
        <v>2.6585833333333312E-2</v>
      </c>
      <c r="H314">
        <v>0.37949759499168817</v>
      </c>
      <c r="I314">
        <f t="shared" si="90"/>
        <v>1.0089259810849849E-2</v>
      </c>
      <c r="J314" s="4">
        <f t="shared" si="91"/>
        <v>5.2961039274828536E-2</v>
      </c>
    </row>
    <row r="315" spans="1:10" x14ac:dyDescent="0.35">
      <c r="A315">
        <v>19</v>
      </c>
      <c r="B315">
        <f t="shared" si="84"/>
        <v>19</v>
      </c>
      <c r="C315" s="1">
        <f t="shared" si="85"/>
        <v>52327</v>
      </c>
      <c r="D315">
        <f t="shared" si="86"/>
        <v>19.280555555555555</v>
      </c>
      <c r="E315">
        <f t="shared" si="89"/>
        <v>0.50555555555555642</v>
      </c>
      <c r="F315">
        <v>0</v>
      </c>
      <c r="G315">
        <f>E315*('Tasas Swap CLP vs Camara'!$C$18/100)</f>
        <v>2.6440555555555603E-2</v>
      </c>
      <c r="H315">
        <v>0.36904725343304901</v>
      </c>
      <c r="I315">
        <f t="shared" si="90"/>
        <v>9.757814407021741E-3</v>
      </c>
      <c r="J315" s="4">
        <f t="shared" si="91"/>
        <v>5.3061189757473093E-2</v>
      </c>
    </row>
    <row r="316" spans="1:10" x14ac:dyDescent="0.35">
      <c r="A316">
        <v>19.5</v>
      </c>
      <c r="B316">
        <f t="shared" si="84"/>
        <v>19.5</v>
      </c>
      <c r="C316" s="1">
        <f t="shared" si="85"/>
        <v>52510</v>
      </c>
      <c r="D316">
        <f t="shared" si="86"/>
        <v>19.788888888888888</v>
      </c>
      <c r="E316">
        <f t="shared" si="89"/>
        <v>0.50833333333333286</v>
      </c>
      <c r="F316">
        <v>0</v>
      </c>
      <c r="G316">
        <f>E316*('Tasas Swap CLP vs Camara'!$C$18/100)</f>
        <v>2.6585833333333312E-2</v>
      </c>
      <c r="H316">
        <v>0.35853949241529653</v>
      </c>
      <c r="I316">
        <f t="shared" si="90"/>
        <v>9.5320711887709967E-3</v>
      </c>
      <c r="J316" s="4">
        <f t="shared" si="91"/>
        <v>5.3199789542817344E-2</v>
      </c>
    </row>
    <row r="317" spans="1:10" x14ac:dyDescent="0.35">
      <c r="A317">
        <v>20</v>
      </c>
      <c r="B317">
        <f t="shared" si="84"/>
        <v>20</v>
      </c>
      <c r="C317" s="1">
        <f t="shared" si="85"/>
        <v>52693</v>
      </c>
      <c r="D317">
        <f t="shared" si="86"/>
        <v>20.297222222222221</v>
      </c>
      <c r="E317">
        <f t="shared" si="89"/>
        <v>0.50833333333333286</v>
      </c>
      <c r="F317">
        <v>0</v>
      </c>
      <c r="G317">
        <f>E317*('Tasas Swap CLP vs Camara'!$C$18/100)</f>
        <v>2.6585833333333312E-2</v>
      </c>
      <c r="H317">
        <v>0.34803173139754401</v>
      </c>
      <c r="I317">
        <f t="shared" si="90"/>
        <v>9.2527136056465321E-3</v>
      </c>
      <c r="J317" s="4">
        <f t="shared" si="91"/>
        <v>5.3376057304748592E-2</v>
      </c>
    </row>
    <row r="318" spans="1:10" x14ac:dyDescent="0.35">
      <c r="A318">
        <v>20.5</v>
      </c>
      <c r="B318">
        <f t="shared" si="84"/>
        <v>20.5</v>
      </c>
      <c r="C318" s="1">
        <f t="shared" si="85"/>
        <v>52876</v>
      </c>
      <c r="D318">
        <f t="shared" si="86"/>
        <v>20.805555555555557</v>
      </c>
      <c r="E318">
        <f t="shared" si="89"/>
        <v>0.50833333333333641</v>
      </c>
      <c r="F318">
        <v>0</v>
      </c>
      <c r="G318">
        <f>E318*('Tasas Swap CLP vs Camara'!$C$18/100)</f>
        <v>2.6585833333333496E-2</v>
      </c>
      <c r="H318">
        <f>+(($H$327-$H$317)/($D$327-$D$317))*(D318-$D$317)+$H$317</f>
        <v>0.33995712377688186</v>
      </c>
      <c r="I318">
        <f t="shared" si="90"/>
        <v>9.0380434332116063E-3</v>
      </c>
      <c r="J318" s="4">
        <f t="shared" si="91"/>
        <v>5.3226238364728617E-2</v>
      </c>
    </row>
    <row r="319" spans="1:10" x14ac:dyDescent="0.35">
      <c r="A319">
        <v>21</v>
      </c>
      <c r="B319">
        <f t="shared" si="84"/>
        <v>21</v>
      </c>
      <c r="C319" s="1">
        <f t="shared" si="85"/>
        <v>53058</v>
      </c>
      <c r="D319">
        <f t="shared" si="86"/>
        <v>21.31111111111111</v>
      </c>
      <c r="E319">
        <f t="shared" si="89"/>
        <v>0.50555555555555287</v>
      </c>
      <c r="F319">
        <v>0</v>
      </c>
      <c r="G319">
        <f>E319*('Tasas Swap CLP vs Camara'!$C$18/100)</f>
        <v>2.6440555555555419E-2</v>
      </c>
      <c r="H319">
        <f t="shared" ref="H319:H326" si="92">+(($H$327-$H$317)/($D$327-$D$317))*(D319-$D$317)+$H$317</f>
        <v>0.33192663969513048</v>
      </c>
      <c r="I319">
        <f t="shared" si="90"/>
        <v>8.776324757227923E-3</v>
      </c>
      <c r="J319" s="4">
        <f t="shared" si="91"/>
        <v>5.3112001536044007E-2</v>
      </c>
    </row>
    <row r="320" spans="1:10" x14ac:dyDescent="0.35">
      <c r="A320">
        <v>21.5</v>
      </c>
      <c r="B320">
        <f t="shared" si="84"/>
        <v>21.5</v>
      </c>
      <c r="C320" s="1">
        <f t="shared" si="85"/>
        <v>53241</v>
      </c>
      <c r="D320">
        <f t="shared" si="86"/>
        <v>21.819444444444443</v>
      </c>
      <c r="E320">
        <f t="shared" si="89"/>
        <v>0.50833333333333286</v>
      </c>
      <c r="F320">
        <v>0</v>
      </c>
      <c r="G320">
        <f>E320*('Tasas Swap CLP vs Camara'!$C$18/100)</f>
        <v>2.6585833333333312E-2</v>
      </c>
      <c r="H320">
        <f t="shared" si="92"/>
        <v>0.32385203207446839</v>
      </c>
      <c r="I320">
        <f t="shared" si="90"/>
        <v>8.6098761493931305E-3</v>
      </c>
      <c r="J320" s="4">
        <f t="shared" si="91"/>
        <v>5.3030978455590017E-2</v>
      </c>
    </row>
    <row r="321" spans="1:10" x14ac:dyDescent="0.35">
      <c r="A321">
        <v>22</v>
      </c>
      <c r="B321">
        <f t="shared" si="84"/>
        <v>22</v>
      </c>
      <c r="C321" s="1">
        <f t="shared" si="85"/>
        <v>53423</v>
      </c>
      <c r="D321">
        <f t="shared" si="86"/>
        <v>22.324999999999999</v>
      </c>
      <c r="E321">
        <f t="shared" si="89"/>
        <v>0.50555555555555642</v>
      </c>
      <c r="F321">
        <v>0</v>
      </c>
      <c r="G321">
        <f>E321*('Tasas Swap CLP vs Camara'!$C$18/100)</f>
        <v>2.6440555555555603E-2</v>
      </c>
      <c r="H321">
        <f t="shared" si="92"/>
        <v>0.31582154799271694</v>
      </c>
      <c r="I321">
        <f t="shared" si="90"/>
        <v>8.3504971853430015E-3</v>
      </c>
      <c r="J321" s="4">
        <f t="shared" si="91"/>
        <v>5.2983150547065483E-2</v>
      </c>
    </row>
    <row r="322" spans="1:10" x14ac:dyDescent="0.35">
      <c r="A322">
        <v>22.5</v>
      </c>
      <c r="B322">
        <f t="shared" si="84"/>
        <v>22.5</v>
      </c>
      <c r="C322" s="1">
        <f t="shared" si="85"/>
        <v>53606</v>
      </c>
      <c r="D322">
        <f t="shared" si="86"/>
        <v>22.833333333333332</v>
      </c>
      <c r="E322">
        <f t="shared" si="89"/>
        <v>0.50833333333333286</v>
      </c>
      <c r="F322">
        <v>0</v>
      </c>
      <c r="G322">
        <f>E322*('Tasas Swap CLP vs Camara'!$C$18/100)</f>
        <v>2.6585833333333312E-2</v>
      </c>
      <c r="H322">
        <f t="shared" si="92"/>
        <v>0.30774694037205486</v>
      </c>
      <c r="I322">
        <f t="shared" si="90"/>
        <v>8.1817088655747154E-3</v>
      </c>
      <c r="J322" s="4">
        <f t="shared" si="91"/>
        <v>5.2967271374467551E-2</v>
      </c>
    </row>
    <row r="323" spans="1:10" x14ac:dyDescent="0.35">
      <c r="A323">
        <v>23</v>
      </c>
      <c r="B323">
        <f t="shared" si="84"/>
        <v>23</v>
      </c>
      <c r="C323" s="1">
        <f t="shared" si="85"/>
        <v>53788</v>
      </c>
      <c r="D323">
        <f t="shared" si="86"/>
        <v>23.338888888888889</v>
      </c>
      <c r="E323">
        <f t="shared" si="89"/>
        <v>0.50555555555555642</v>
      </c>
      <c r="F323">
        <v>0</v>
      </c>
      <c r="G323">
        <f>E323*('Tasas Swap CLP vs Camara'!$C$18/100)</f>
        <v>2.6440555555555603E-2</v>
      </c>
      <c r="H323">
        <f t="shared" si="92"/>
        <v>0.29971645629030341</v>
      </c>
      <c r="I323">
        <f t="shared" si="90"/>
        <v>7.9246696134580193E-3</v>
      </c>
      <c r="J323" s="4">
        <f t="shared" si="91"/>
        <v>5.2982977927957142E-2</v>
      </c>
    </row>
    <row r="324" spans="1:10" x14ac:dyDescent="0.35">
      <c r="A324">
        <v>23.5</v>
      </c>
      <c r="B324">
        <f t="shared" si="84"/>
        <v>23.5</v>
      </c>
      <c r="C324" s="1">
        <f t="shared" si="85"/>
        <v>53971</v>
      </c>
      <c r="D324">
        <f t="shared" si="86"/>
        <v>23.847222222222221</v>
      </c>
      <c r="E324">
        <f t="shared" si="89"/>
        <v>0.50833333333333286</v>
      </c>
      <c r="F324">
        <v>0</v>
      </c>
      <c r="G324">
        <f>E324*('Tasas Swap CLP vs Camara'!$C$18/100)</f>
        <v>2.6585833333333312E-2</v>
      </c>
      <c r="H324">
        <f t="shared" si="92"/>
        <v>0.29164184866964132</v>
      </c>
      <c r="I324">
        <f t="shared" si="90"/>
        <v>7.7535415817562995E-3</v>
      </c>
      <c r="J324" s="4">
        <f t="shared" si="91"/>
        <v>5.3030075932092302E-2</v>
      </c>
    </row>
    <row r="325" spans="1:10" x14ac:dyDescent="0.35">
      <c r="A325">
        <v>24</v>
      </c>
      <c r="B325">
        <f t="shared" si="84"/>
        <v>24</v>
      </c>
      <c r="C325" s="1">
        <f t="shared" si="85"/>
        <v>54154</v>
      </c>
      <c r="D325">
        <f t="shared" si="86"/>
        <v>24.355555555555554</v>
      </c>
      <c r="E325">
        <f t="shared" si="89"/>
        <v>0.50833333333333286</v>
      </c>
      <c r="F325">
        <v>0</v>
      </c>
      <c r="G325">
        <f>E325*('Tasas Swap CLP vs Camara'!$C$18/100)</f>
        <v>2.6585833333333312E-2</v>
      </c>
      <c r="H325">
        <f t="shared" si="92"/>
        <v>0.28356724104897923</v>
      </c>
      <c r="I325">
        <f t="shared" si="90"/>
        <v>7.5388714093213146E-3</v>
      </c>
      <c r="J325" s="4">
        <f t="shared" si="91"/>
        <v>5.3108367116029065E-2</v>
      </c>
    </row>
    <row r="326" spans="1:10" x14ac:dyDescent="0.35">
      <c r="A326">
        <v>24.5</v>
      </c>
      <c r="B326">
        <f t="shared" si="84"/>
        <v>24.5</v>
      </c>
      <c r="C326" s="1">
        <f t="shared" si="85"/>
        <v>54337</v>
      </c>
      <c r="D326">
        <f t="shared" si="86"/>
        <v>24.863888888888887</v>
      </c>
      <c r="E326">
        <f t="shared" si="89"/>
        <v>0.50833333333333286</v>
      </c>
      <c r="F326">
        <v>0</v>
      </c>
      <c r="G326">
        <f>E326*('Tasas Swap CLP vs Camara'!$C$18/100)</f>
        <v>2.6585833333333312E-2</v>
      </c>
      <c r="H326">
        <f t="shared" si="92"/>
        <v>0.27549263342831709</v>
      </c>
      <c r="I326">
        <f t="shared" si="90"/>
        <v>7.3242012368863272E-3</v>
      </c>
      <c r="J326" s="4">
        <f t="shared" si="91"/>
        <v>5.321782216353399E-2</v>
      </c>
    </row>
    <row r="327" spans="1:10" x14ac:dyDescent="0.35">
      <c r="A327">
        <v>25</v>
      </c>
      <c r="B327">
        <f t="shared" si="84"/>
        <v>25</v>
      </c>
      <c r="C327" s="1">
        <f t="shared" si="85"/>
        <v>54519</v>
      </c>
      <c r="D327">
        <f t="shared" si="86"/>
        <v>25.369444444444444</v>
      </c>
      <c r="E327">
        <f t="shared" si="89"/>
        <v>0.50555555555555642</v>
      </c>
      <c r="F327">
        <v>1</v>
      </c>
      <c r="G327">
        <f>E327*('Tasas Swap CLP vs Camara'!$C$18/100)</f>
        <v>2.6440555555555603E-2</v>
      </c>
      <c r="H327" s="2">
        <v>0.2674621493465657</v>
      </c>
      <c r="I327">
        <f t="shared" si="90"/>
        <v>0.27453399716537186</v>
      </c>
      <c r="J327" s="8">
        <f t="shared" si="91"/>
        <v>5.3357726903546565E-2</v>
      </c>
    </row>
    <row r="328" spans="1:10" x14ac:dyDescent="0.35">
      <c r="I328">
        <f>SUM(I278:I327)</f>
        <v>1</v>
      </c>
    </row>
    <row r="331" spans="1:10" x14ac:dyDescent="0.35">
      <c r="B331" t="s">
        <v>57</v>
      </c>
      <c r="C331" t="s">
        <v>35</v>
      </c>
    </row>
    <row r="332" spans="1:10" x14ac:dyDescent="0.35">
      <c r="A332" s="5" t="s">
        <v>36</v>
      </c>
      <c r="B332" t="s">
        <v>38</v>
      </c>
      <c r="C332" t="s">
        <v>37</v>
      </c>
      <c r="D332" t="s">
        <v>25</v>
      </c>
      <c r="E332" t="s">
        <v>41</v>
      </c>
      <c r="F332" t="s">
        <v>40</v>
      </c>
      <c r="G332" s="5" t="s">
        <v>105</v>
      </c>
      <c r="H332" t="s">
        <v>42</v>
      </c>
      <c r="I332" t="s">
        <v>32</v>
      </c>
      <c r="J332" s="4" t="s">
        <v>33</v>
      </c>
    </row>
    <row r="333" spans="1:10" x14ac:dyDescent="0.35">
      <c r="A333">
        <v>0.5</v>
      </c>
      <c r="B333">
        <f>A333</f>
        <v>0.5</v>
      </c>
      <c r="C333" s="1">
        <f>+DATE(YEAR($C$1),MONTH($C$1)+B333*12,DAY($C$1)+2)</f>
        <v>45571</v>
      </c>
      <c r="D333">
        <f>+(C333-$C$1)/360</f>
        <v>0.51388888888888884</v>
      </c>
      <c r="E333" s="6">
        <f>(C333-$C$1)/360</f>
        <v>0.51388888888888884</v>
      </c>
      <c r="F333">
        <v>0</v>
      </c>
      <c r="G333">
        <f>E333*('Tasas Swap CLP vs Camara'!$C$18/100)</f>
        <v>2.6876388888888891E-2</v>
      </c>
      <c r="H333">
        <v>0.97047596454527818</v>
      </c>
      <c r="I333">
        <f>H333*SUM(F333:G333)</f>
        <v>2.6082889430438443E-2</v>
      </c>
      <c r="J333" s="4">
        <f>+(1/H333)^(1/D333)-1</f>
        <v>6.0051358994559045E-2</v>
      </c>
    </row>
    <row r="334" spans="1:10" x14ac:dyDescent="0.35">
      <c r="A334">
        <v>1</v>
      </c>
      <c r="B334">
        <f t="shared" ref="B334:B392" si="93">A334</f>
        <v>1</v>
      </c>
      <c r="C334" s="1">
        <f t="shared" ref="C334:C392" si="94">+DATE(YEAR($C$1),MONTH($C$1)+B334*12,DAY($C$1)+2)</f>
        <v>45753</v>
      </c>
      <c r="D334">
        <f t="shared" ref="D334:D392" si="95">+(C334-$C$1)/360</f>
        <v>1.0194444444444444</v>
      </c>
      <c r="E334">
        <f>D334-D333</f>
        <v>0.50555555555555554</v>
      </c>
      <c r="F334">
        <v>0</v>
      </c>
      <c r="G334">
        <f>E334*('Tasas Swap CLP vs Camara'!$C$18/100)</f>
        <v>2.6440555555555557E-2</v>
      </c>
      <c r="H334">
        <v>0.94690742664755312</v>
      </c>
      <c r="I334">
        <f t="shared" ref="I334:I392" si="96">H334*SUM(F334:G334)</f>
        <v>2.5036758420242777E-2</v>
      </c>
      <c r="J334" s="4">
        <f t="shared" ref="J334:J392" si="97">+(1/H334)^(1/D334)-1</f>
        <v>5.497113508809659E-2</v>
      </c>
    </row>
    <row r="335" spans="1:10" x14ac:dyDescent="0.35">
      <c r="A335">
        <v>1.5</v>
      </c>
      <c r="B335">
        <f t="shared" si="93"/>
        <v>1.5</v>
      </c>
      <c r="C335" s="1">
        <f t="shared" si="94"/>
        <v>45936</v>
      </c>
      <c r="D335">
        <f t="shared" si="95"/>
        <v>1.5277777777777777</v>
      </c>
      <c r="E335">
        <f t="shared" ref="E335:E392" si="98">D335-D334</f>
        <v>0.5083333333333333</v>
      </c>
      <c r="F335">
        <v>0</v>
      </c>
      <c r="G335">
        <f>E335*('Tasas Swap CLP vs Camara'!$C$18/100)</f>
        <v>2.6585833333333336E-2</v>
      </c>
      <c r="H335">
        <v>0.9248317320043159</v>
      </c>
      <c r="I335">
        <f t="shared" si="96"/>
        <v>2.4587422288444745E-2</v>
      </c>
      <c r="J335" s="4">
        <f t="shared" si="97"/>
        <v>5.2479125027685258E-2</v>
      </c>
    </row>
    <row r="336" spans="1:10" x14ac:dyDescent="0.35">
      <c r="A336">
        <v>2</v>
      </c>
      <c r="B336">
        <f t="shared" si="93"/>
        <v>2</v>
      </c>
      <c r="C336" s="1">
        <f t="shared" si="94"/>
        <v>46118</v>
      </c>
      <c r="D336">
        <f t="shared" si="95"/>
        <v>2.0333333333333332</v>
      </c>
      <c r="E336">
        <f t="shared" si="98"/>
        <v>0.50555555555555554</v>
      </c>
      <c r="F336">
        <v>0</v>
      </c>
      <c r="G336">
        <f>E336*('Tasas Swap CLP vs Camara'!$C$18/100)</f>
        <v>2.6440555555555557E-2</v>
      </c>
      <c r="H336">
        <v>0.9026167011601639</v>
      </c>
      <c r="I336">
        <f t="shared" si="96"/>
        <v>2.3865687032397602E-2</v>
      </c>
      <c r="J336" s="4">
        <f t="shared" si="97"/>
        <v>5.1679941960715903E-2</v>
      </c>
    </row>
    <row r="337" spans="1:10" x14ac:dyDescent="0.35">
      <c r="A337">
        <v>2.5</v>
      </c>
      <c r="B337">
        <f t="shared" si="93"/>
        <v>2.5</v>
      </c>
      <c r="C337" s="1">
        <f t="shared" si="94"/>
        <v>46301</v>
      </c>
      <c r="D337">
        <f t="shared" si="95"/>
        <v>2.5416666666666665</v>
      </c>
      <c r="E337">
        <f t="shared" si="98"/>
        <v>0.5083333333333333</v>
      </c>
      <c r="F337">
        <v>0</v>
      </c>
      <c r="G337">
        <f>E337*('Tasas Swap CLP vs Camara'!$C$18/100)</f>
        <v>2.6585833333333336E-2</v>
      </c>
      <c r="H337">
        <v>0.88110197584942485</v>
      </c>
      <c r="I337">
        <f t="shared" si="96"/>
        <v>2.3424830279603504E-2</v>
      </c>
      <c r="J337" s="4">
        <f t="shared" si="97"/>
        <v>5.1063720539427759E-2</v>
      </c>
    </row>
    <row r="338" spans="1:10" x14ac:dyDescent="0.35">
      <c r="A338">
        <v>3</v>
      </c>
      <c r="B338">
        <f t="shared" si="93"/>
        <v>3</v>
      </c>
      <c r="C338" s="1">
        <f t="shared" si="94"/>
        <v>46483</v>
      </c>
      <c r="D338">
        <f t="shared" si="95"/>
        <v>3.0472222222222221</v>
      </c>
      <c r="E338">
        <f t="shared" si="98"/>
        <v>0.50555555555555554</v>
      </c>
      <c r="F338">
        <v>0</v>
      </c>
      <c r="G338">
        <f>E338*('Tasas Swap CLP vs Camara'!$C$18/100)</f>
        <v>2.6440555555555557E-2</v>
      </c>
      <c r="H338">
        <v>0.85970481734366244</v>
      </c>
      <c r="I338">
        <f t="shared" si="96"/>
        <v>2.273107298435385E-2</v>
      </c>
      <c r="J338" s="4">
        <f t="shared" si="97"/>
        <v>5.0858935509587644E-2</v>
      </c>
    </row>
    <row r="339" spans="1:10" x14ac:dyDescent="0.35">
      <c r="A339">
        <v>3.5</v>
      </c>
      <c r="B339">
        <f t="shared" si="93"/>
        <v>3.5</v>
      </c>
      <c r="C339" s="1">
        <f t="shared" si="94"/>
        <v>46666</v>
      </c>
      <c r="D339">
        <f t="shared" si="95"/>
        <v>3.5555555555555554</v>
      </c>
      <c r="E339">
        <f t="shared" si="98"/>
        <v>0.5083333333333333</v>
      </c>
      <c r="F339">
        <v>0</v>
      </c>
      <c r="G339">
        <f>E339*('Tasas Swap CLP vs Camara'!$C$18/100)</f>
        <v>2.6585833333333336E-2</v>
      </c>
      <c r="H339">
        <v>0.83851456430015658</v>
      </c>
      <c r="I339">
        <f t="shared" si="96"/>
        <v>2.2292608454056582E-2</v>
      </c>
      <c r="J339" s="4">
        <f t="shared" si="97"/>
        <v>5.0782039126814116E-2</v>
      </c>
    </row>
    <row r="340" spans="1:10" x14ac:dyDescent="0.35">
      <c r="A340">
        <v>4</v>
      </c>
      <c r="B340">
        <f t="shared" si="93"/>
        <v>4</v>
      </c>
      <c r="C340" s="1">
        <f t="shared" si="94"/>
        <v>46849</v>
      </c>
      <c r="D340">
        <f t="shared" si="95"/>
        <v>4.0638888888888891</v>
      </c>
      <c r="E340">
        <f t="shared" si="98"/>
        <v>0.50833333333333375</v>
      </c>
      <c r="F340">
        <v>0</v>
      </c>
      <c r="G340">
        <f>E340*('Tasas Swap CLP vs Camara'!$C$18/100)</f>
        <v>2.6585833333333357E-2</v>
      </c>
      <c r="H340">
        <v>0.81732431125665073</v>
      </c>
      <c r="I340">
        <f t="shared" si="96"/>
        <v>2.1729247918350791E-2</v>
      </c>
      <c r="J340" s="4">
        <f t="shared" si="97"/>
        <v>5.0889568782717776E-2</v>
      </c>
    </row>
    <row r="341" spans="1:10" x14ac:dyDescent="0.35">
      <c r="A341" s="5">
        <v>4.5</v>
      </c>
      <c r="B341">
        <f t="shared" si="93"/>
        <v>4.5</v>
      </c>
      <c r="C341" s="1">
        <f t="shared" si="94"/>
        <v>47032</v>
      </c>
      <c r="D341">
        <f t="shared" si="95"/>
        <v>4.572222222222222</v>
      </c>
      <c r="E341">
        <f t="shared" si="98"/>
        <v>0.50833333333333286</v>
      </c>
      <c r="F341">
        <v>0</v>
      </c>
      <c r="G341">
        <f>E341*('Tasas Swap CLP vs Camara'!$C$18/100)</f>
        <v>2.6585833333333312E-2</v>
      </c>
      <c r="H341">
        <v>0.79792489545475964</v>
      </c>
      <c r="I341">
        <f t="shared" si="96"/>
        <v>2.1213498283077645E-2</v>
      </c>
      <c r="J341" s="4">
        <f t="shared" si="97"/>
        <v>5.0611345824343124E-2</v>
      </c>
    </row>
    <row r="342" spans="1:10" x14ac:dyDescent="0.35">
      <c r="A342">
        <v>5</v>
      </c>
      <c r="B342">
        <f t="shared" si="93"/>
        <v>5</v>
      </c>
      <c r="C342" s="1">
        <f t="shared" si="94"/>
        <v>47214</v>
      </c>
      <c r="D342">
        <f t="shared" si="95"/>
        <v>5.0777777777777775</v>
      </c>
      <c r="E342">
        <f t="shared" si="98"/>
        <v>0.50555555555555554</v>
      </c>
      <c r="F342">
        <v>0</v>
      </c>
      <c r="G342">
        <f>E342*('Tasas Swap CLP vs Camara'!$C$18/100)</f>
        <v>2.6440555555555557E-2</v>
      </c>
      <c r="H342">
        <v>0.77863148738949084</v>
      </c>
      <c r="I342">
        <f t="shared" si="96"/>
        <v>2.058744909962669E-2</v>
      </c>
      <c r="J342" s="4">
        <f t="shared" si="97"/>
        <v>5.0511249944210412E-2</v>
      </c>
    </row>
    <row r="343" spans="1:10" x14ac:dyDescent="0.35">
      <c r="A343">
        <v>5.5</v>
      </c>
      <c r="B343">
        <f t="shared" si="93"/>
        <v>5.5</v>
      </c>
      <c r="C343" s="1">
        <f t="shared" si="94"/>
        <v>47397</v>
      </c>
      <c r="D343">
        <f t="shared" si="95"/>
        <v>5.5861111111111112</v>
      </c>
      <c r="E343">
        <f t="shared" si="98"/>
        <v>0.50833333333333375</v>
      </c>
      <c r="F343">
        <v>0</v>
      </c>
      <c r="G343">
        <f>E343*('Tasas Swap CLP vs Camara'!$C$18/100)</f>
        <v>2.6585833333333357E-2</v>
      </c>
      <c r="H343">
        <v>0.75919032579226176</v>
      </c>
      <c r="I343">
        <f t="shared" si="96"/>
        <v>2.0183707469792124E-2</v>
      </c>
      <c r="J343" s="4">
        <f t="shared" si="97"/>
        <v>5.0555680339027464E-2</v>
      </c>
    </row>
    <row r="344" spans="1:10" x14ac:dyDescent="0.35">
      <c r="A344">
        <v>6</v>
      </c>
      <c r="B344">
        <f t="shared" si="93"/>
        <v>6</v>
      </c>
      <c r="C344" s="1">
        <f t="shared" si="94"/>
        <v>47579</v>
      </c>
      <c r="D344">
        <f t="shared" si="95"/>
        <v>6.0916666666666668</v>
      </c>
      <c r="E344">
        <f t="shared" si="98"/>
        <v>0.50555555555555554</v>
      </c>
      <c r="F344">
        <v>0</v>
      </c>
      <c r="G344">
        <f>E344*('Tasas Swap CLP vs Camara'!$C$18/100)</f>
        <v>2.6440555555555557E-2</v>
      </c>
      <c r="H344">
        <v>0.73985540005075534</v>
      </c>
      <c r="I344">
        <f t="shared" si="96"/>
        <v>1.9562187808119778E-2</v>
      </c>
      <c r="J344" s="4">
        <f t="shared" si="97"/>
        <v>5.0704716082387691E-2</v>
      </c>
    </row>
    <row r="345" spans="1:10" x14ac:dyDescent="0.35">
      <c r="A345">
        <v>6.5</v>
      </c>
      <c r="B345">
        <f t="shared" si="93"/>
        <v>6.5</v>
      </c>
      <c r="C345" s="1">
        <f t="shared" si="94"/>
        <v>47762</v>
      </c>
      <c r="D345">
        <f t="shared" si="95"/>
        <v>6.6</v>
      </c>
      <c r="E345">
        <f t="shared" si="98"/>
        <v>0.50833333333333286</v>
      </c>
      <c r="F345">
        <v>0</v>
      </c>
      <c r="G345">
        <f>E345*('Tasas Swap CLP vs Camara'!$C$18/100)</f>
        <v>2.6585833333333312E-2</v>
      </c>
      <c r="H345">
        <v>0.72168717316515341</v>
      </c>
      <c r="I345">
        <f t="shared" si="96"/>
        <v>1.9186654904573226E-2</v>
      </c>
      <c r="J345" s="4">
        <f t="shared" si="97"/>
        <v>5.0660184739446334E-2</v>
      </c>
    </row>
    <row r="346" spans="1:10" x14ac:dyDescent="0.35">
      <c r="A346">
        <v>7</v>
      </c>
      <c r="B346">
        <f t="shared" si="93"/>
        <v>7</v>
      </c>
      <c r="C346" s="1">
        <f t="shared" si="94"/>
        <v>47944</v>
      </c>
      <c r="D346">
        <f t="shared" si="95"/>
        <v>7.1055555555555552</v>
      </c>
      <c r="E346">
        <f t="shared" si="98"/>
        <v>0.50555555555555554</v>
      </c>
      <c r="F346">
        <v>0</v>
      </c>
      <c r="G346">
        <f>E346*('Tasas Swap CLP vs Camara'!$C$18/100)</f>
        <v>2.6440555555555557E-2</v>
      </c>
      <c r="H346">
        <v>0.70361822620788816</v>
      </c>
      <c r="I346">
        <f t="shared" si="96"/>
        <v>1.8604056799951123E-2</v>
      </c>
      <c r="J346" s="4">
        <f t="shared" si="97"/>
        <v>5.0715183635827943E-2</v>
      </c>
    </row>
    <row r="347" spans="1:10" x14ac:dyDescent="0.35">
      <c r="A347">
        <v>7.5</v>
      </c>
      <c r="B347">
        <f t="shared" si="93"/>
        <v>7.5</v>
      </c>
      <c r="C347" s="1">
        <f t="shared" si="94"/>
        <v>48127</v>
      </c>
      <c r="D347">
        <f t="shared" si="95"/>
        <v>7.6138888888888889</v>
      </c>
      <c r="E347">
        <f t="shared" si="98"/>
        <v>0.50833333333333375</v>
      </c>
      <c r="F347">
        <v>0</v>
      </c>
      <c r="G347">
        <f>E347*('Tasas Swap CLP vs Camara'!$C$18/100)</f>
        <v>2.6585833333333357E-2</v>
      </c>
      <c r="H347">
        <v>0.68491199702456618</v>
      </c>
      <c r="I347">
        <f t="shared" si="96"/>
        <v>1.8208956200895628E-2</v>
      </c>
      <c r="J347" s="4">
        <f t="shared" si="97"/>
        <v>5.0963304784101826E-2</v>
      </c>
    </row>
    <row r="348" spans="1:10" x14ac:dyDescent="0.35">
      <c r="A348">
        <v>8</v>
      </c>
      <c r="B348">
        <f t="shared" si="93"/>
        <v>8</v>
      </c>
      <c r="C348" s="1">
        <f t="shared" si="94"/>
        <v>48310</v>
      </c>
      <c r="D348">
        <f t="shared" si="95"/>
        <v>8.1222222222222218</v>
      </c>
      <c r="E348">
        <f t="shared" si="98"/>
        <v>0.50833333333333286</v>
      </c>
      <c r="F348">
        <v>0</v>
      </c>
      <c r="G348">
        <f>E348*('Tasas Swap CLP vs Camara'!$C$18/100)</f>
        <v>2.6585833333333312E-2</v>
      </c>
      <c r="H348">
        <v>0.66620576784124419</v>
      </c>
      <c r="I348">
        <f t="shared" si="96"/>
        <v>1.7711635509532662E-2</v>
      </c>
      <c r="J348" s="4">
        <f t="shared" si="97"/>
        <v>5.12769964386115E-2</v>
      </c>
    </row>
    <row r="349" spans="1:10" x14ac:dyDescent="0.35">
      <c r="A349">
        <v>8.5</v>
      </c>
      <c r="B349">
        <f t="shared" si="93"/>
        <v>8.5</v>
      </c>
      <c r="C349" s="1">
        <f t="shared" si="94"/>
        <v>48493</v>
      </c>
      <c r="D349">
        <f t="shared" si="95"/>
        <v>8.6305555555555564</v>
      </c>
      <c r="E349">
        <f t="shared" si="98"/>
        <v>0.50833333333333464</v>
      </c>
      <c r="F349">
        <v>0</v>
      </c>
      <c r="G349">
        <f>E349*('Tasas Swap CLP vs Camara'!$C$18/100)</f>
        <v>2.6585833333333406E-2</v>
      </c>
      <c r="H349">
        <v>0.64883019795306762</v>
      </c>
      <c r="I349">
        <f t="shared" si="96"/>
        <v>1.7249691504413977E-2</v>
      </c>
      <c r="J349" s="4">
        <f t="shared" si="97"/>
        <v>5.1399788990797557E-2</v>
      </c>
    </row>
    <row r="350" spans="1:10" x14ac:dyDescent="0.35">
      <c r="A350">
        <v>9</v>
      </c>
      <c r="B350">
        <f t="shared" si="93"/>
        <v>9</v>
      </c>
      <c r="C350" s="1">
        <f t="shared" si="94"/>
        <v>48675</v>
      </c>
      <c r="D350">
        <f t="shared" si="95"/>
        <v>9.1361111111111111</v>
      </c>
      <c r="E350">
        <f t="shared" si="98"/>
        <v>0.50555555555555465</v>
      </c>
      <c r="F350">
        <v>0</v>
      </c>
      <c r="G350">
        <f>E350*('Tasas Swap CLP vs Camara'!$C$18/100)</f>
        <v>2.6440555555555512E-2</v>
      </c>
      <c r="H350">
        <v>0.6315495765342255</v>
      </c>
      <c r="I350">
        <f t="shared" si="96"/>
        <v>1.6698521664440746E-2</v>
      </c>
      <c r="J350" s="4">
        <f t="shared" si="97"/>
        <v>5.1590259559592955E-2</v>
      </c>
    </row>
    <row r="351" spans="1:10" x14ac:dyDescent="0.35">
      <c r="A351">
        <v>9.5</v>
      </c>
      <c r="B351">
        <f t="shared" si="93"/>
        <v>9.5</v>
      </c>
      <c r="C351" s="1">
        <f t="shared" si="94"/>
        <v>48858</v>
      </c>
      <c r="D351">
        <f t="shared" si="95"/>
        <v>9.6444444444444439</v>
      </c>
      <c r="E351">
        <f t="shared" si="98"/>
        <v>0.50833333333333286</v>
      </c>
      <c r="F351">
        <v>0</v>
      </c>
      <c r="G351">
        <f>E351*('Tasas Swap CLP vs Camara'!$C$18/100)</f>
        <v>2.6585833333333312E-2</v>
      </c>
      <c r="H351">
        <v>0.61336685237681643</v>
      </c>
      <c r="I351">
        <f t="shared" si="96"/>
        <v>1.6306868909481298E-2</v>
      </c>
      <c r="J351" s="4">
        <f t="shared" si="97"/>
        <v>5.19874716847748E-2</v>
      </c>
    </row>
    <row r="352" spans="1:10" x14ac:dyDescent="0.35">
      <c r="A352">
        <v>10</v>
      </c>
      <c r="B352">
        <f t="shared" si="93"/>
        <v>10</v>
      </c>
      <c r="C352" s="1">
        <f t="shared" si="94"/>
        <v>49040</v>
      </c>
      <c r="D352">
        <f t="shared" si="95"/>
        <v>10.15</v>
      </c>
      <c r="E352">
        <f t="shared" si="98"/>
        <v>0.50555555555555642</v>
      </c>
      <c r="F352">
        <v>0</v>
      </c>
      <c r="G352">
        <f>E352*('Tasas Swap CLP vs Camara'!$C$18/100)</f>
        <v>2.6440555555555603E-2</v>
      </c>
      <c r="H352">
        <v>0.59528348736780845</v>
      </c>
      <c r="I352">
        <f t="shared" si="96"/>
        <v>1.573962611905342E-2</v>
      </c>
      <c r="J352" s="4">
        <f t="shared" si="97"/>
        <v>5.2433578335127295E-2</v>
      </c>
    </row>
    <row r="353" spans="1:10" x14ac:dyDescent="0.35">
      <c r="A353">
        <v>10.5</v>
      </c>
      <c r="B353">
        <f t="shared" si="93"/>
        <v>10.5</v>
      </c>
      <c r="C353" s="1">
        <f t="shared" si="94"/>
        <v>49223</v>
      </c>
      <c r="D353">
        <f t="shared" si="95"/>
        <v>10.658333333333333</v>
      </c>
      <c r="E353">
        <f t="shared" si="98"/>
        <v>0.50833333333333286</v>
      </c>
      <c r="F353">
        <v>0</v>
      </c>
      <c r="G353">
        <f>E353*('Tasas Swap CLP vs Camara'!$C$18/100)</f>
        <v>2.6585833333333312E-2</v>
      </c>
      <c r="H353">
        <v>0.57896653423652067</v>
      </c>
      <c r="I353">
        <f t="shared" si="96"/>
        <v>1.5392307784789753E-2</v>
      </c>
      <c r="J353" s="4">
        <f t="shared" si="97"/>
        <v>5.2612772282240927E-2</v>
      </c>
    </row>
    <row r="354" spans="1:10" x14ac:dyDescent="0.35">
      <c r="A354">
        <v>11</v>
      </c>
      <c r="B354">
        <f t="shared" si="93"/>
        <v>11</v>
      </c>
      <c r="C354" s="1">
        <f t="shared" si="94"/>
        <v>49405</v>
      </c>
      <c r="D354">
        <f t="shared" si="95"/>
        <v>11.16388888888889</v>
      </c>
      <c r="E354">
        <f t="shared" si="98"/>
        <v>0.50555555555555642</v>
      </c>
      <c r="F354">
        <v>0</v>
      </c>
      <c r="G354">
        <f>E354*('Tasas Swap CLP vs Camara'!$C$18/100)</f>
        <v>2.6440555555555603E-2</v>
      </c>
      <c r="H354">
        <v>0.5627387447835458</v>
      </c>
      <c r="I354">
        <f t="shared" si="96"/>
        <v>1.4879125044712968E-2</v>
      </c>
      <c r="J354" s="4">
        <f t="shared" si="97"/>
        <v>5.2849141212893747E-2</v>
      </c>
    </row>
    <row r="355" spans="1:10" x14ac:dyDescent="0.35">
      <c r="A355">
        <v>11.5</v>
      </c>
      <c r="B355">
        <f t="shared" si="93"/>
        <v>11.5</v>
      </c>
      <c r="C355" s="1">
        <f t="shared" si="94"/>
        <v>49588</v>
      </c>
      <c r="D355">
        <f t="shared" si="95"/>
        <v>11.672222222222222</v>
      </c>
      <c r="E355">
        <f t="shared" si="98"/>
        <v>0.50833333333333286</v>
      </c>
      <c r="F355">
        <v>0</v>
      </c>
      <c r="G355">
        <f>E355*('Tasas Swap CLP vs Camara'!$C$18/100)</f>
        <v>2.6585833333333312E-2</v>
      </c>
      <c r="H355">
        <v>0.54642179165225802</v>
      </c>
      <c r="I355">
        <f t="shared" si="96"/>
        <v>1.4527078682568311E-2</v>
      </c>
      <c r="J355" s="4">
        <f t="shared" si="97"/>
        <v>5.3141898037049051E-2</v>
      </c>
    </row>
    <row r="356" spans="1:10" x14ac:dyDescent="0.35">
      <c r="A356">
        <v>12</v>
      </c>
      <c r="B356">
        <f t="shared" si="93"/>
        <v>12</v>
      </c>
      <c r="C356" s="1">
        <f t="shared" si="94"/>
        <v>49771</v>
      </c>
      <c r="D356">
        <f t="shared" si="95"/>
        <v>12.180555555555555</v>
      </c>
      <c r="E356">
        <f t="shared" si="98"/>
        <v>0.50833333333333286</v>
      </c>
      <c r="F356">
        <v>0</v>
      </c>
      <c r="G356">
        <f>E356*('Tasas Swap CLP vs Camara'!$C$18/100)</f>
        <v>2.6585833333333312E-2</v>
      </c>
      <c r="H356">
        <v>0.53010483852097023</v>
      </c>
      <c r="I356">
        <f t="shared" si="96"/>
        <v>1.4093278886112084E-2</v>
      </c>
      <c r="J356" s="4">
        <f t="shared" si="97"/>
        <v>5.3487445672407485E-2</v>
      </c>
    </row>
    <row r="357" spans="1:10" x14ac:dyDescent="0.35">
      <c r="A357">
        <v>12.5</v>
      </c>
      <c r="B357">
        <f t="shared" si="93"/>
        <v>12.5</v>
      </c>
      <c r="C357" s="1">
        <f t="shared" si="94"/>
        <v>49954</v>
      </c>
      <c r="D357">
        <f t="shared" si="95"/>
        <v>12.688888888888888</v>
      </c>
      <c r="E357">
        <f t="shared" si="98"/>
        <v>0.50833333333333286</v>
      </c>
      <c r="F357">
        <v>0</v>
      </c>
      <c r="G357">
        <f>E357*('Tasas Swap CLP vs Camara'!$C$18/100)</f>
        <v>2.6585833333333312E-2</v>
      </c>
      <c r="H357">
        <v>0.51720830954914088</v>
      </c>
      <c r="I357">
        <f t="shared" si="96"/>
        <v>1.3750413916288524E-2</v>
      </c>
      <c r="J357" s="4">
        <f t="shared" si="97"/>
        <v>5.3333184891849461E-2</v>
      </c>
    </row>
    <row r="358" spans="1:10" x14ac:dyDescent="0.35">
      <c r="A358">
        <v>13</v>
      </c>
      <c r="B358">
        <f t="shared" si="93"/>
        <v>13</v>
      </c>
      <c r="C358" s="1">
        <f t="shared" si="94"/>
        <v>50136</v>
      </c>
      <c r="D358">
        <f t="shared" si="95"/>
        <v>13.194444444444445</v>
      </c>
      <c r="E358">
        <f t="shared" si="98"/>
        <v>0.50555555555555642</v>
      </c>
      <c r="F358">
        <v>0</v>
      </c>
      <c r="G358">
        <f>E358*('Tasas Swap CLP vs Camara'!$C$18/100)</f>
        <v>2.6440555555555603E-2</v>
      </c>
      <c r="H358">
        <v>0.50438225341322318</v>
      </c>
      <c r="I358">
        <f t="shared" si="96"/>
        <v>1.3336146992608652E-2</v>
      </c>
      <c r="J358" s="4">
        <f t="shared" si="97"/>
        <v>5.3240810234053804E-2</v>
      </c>
    </row>
    <row r="359" spans="1:10" x14ac:dyDescent="0.35">
      <c r="A359">
        <v>13.5</v>
      </c>
      <c r="B359">
        <f t="shared" si="93"/>
        <v>13.5</v>
      </c>
      <c r="C359" s="1">
        <f t="shared" si="94"/>
        <v>50319</v>
      </c>
      <c r="D359">
        <f t="shared" si="95"/>
        <v>13.702777777777778</v>
      </c>
      <c r="E359">
        <f t="shared" si="98"/>
        <v>0.50833333333333286</v>
      </c>
      <c r="F359">
        <v>0</v>
      </c>
      <c r="G359">
        <f>E359*('Tasas Swap CLP vs Camara'!$C$18/100)</f>
        <v>2.6585833333333312E-2</v>
      </c>
      <c r="H359">
        <v>0.49148572444139377</v>
      </c>
      <c r="I359">
        <f t="shared" si="96"/>
        <v>1.3066557555711478E-2</v>
      </c>
      <c r="J359" s="4">
        <f t="shared" si="97"/>
        <v>5.3204939621995573E-2</v>
      </c>
    </row>
    <row r="360" spans="1:10" x14ac:dyDescent="0.35">
      <c r="A360">
        <v>14</v>
      </c>
      <c r="B360">
        <f t="shared" si="93"/>
        <v>14</v>
      </c>
      <c r="C360" s="1">
        <f t="shared" si="94"/>
        <v>50501</v>
      </c>
      <c r="D360">
        <f t="shared" si="95"/>
        <v>14.208333333333334</v>
      </c>
      <c r="E360">
        <f t="shared" si="98"/>
        <v>0.50555555555555642</v>
      </c>
      <c r="F360">
        <v>0</v>
      </c>
      <c r="G360">
        <f>E360*('Tasas Swap CLP vs Camara'!$C$18/100)</f>
        <v>2.6440555555555603E-2</v>
      </c>
      <c r="H360">
        <v>0.47865966830547602</v>
      </c>
      <c r="I360">
        <f t="shared" si="96"/>
        <v>1.2656027552034755E-2</v>
      </c>
      <c r="J360" s="4">
        <f t="shared" si="97"/>
        <v>5.3222444339118491E-2</v>
      </c>
    </row>
    <row r="361" spans="1:10" x14ac:dyDescent="0.35">
      <c r="A361">
        <v>14.5</v>
      </c>
      <c r="B361">
        <f t="shared" si="93"/>
        <v>14.5</v>
      </c>
      <c r="C361" s="1">
        <f t="shared" si="94"/>
        <v>50684</v>
      </c>
      <c r="D361">
        <f t="shared" si="95"/>
        <v>14.716666666666667</v>
      </c>
      <c r="E361">
        <f t="shared" si="98"/>
        <v>0.50833333333333286</v>
      </c>
      <c r="F361">
        <v>0</v>
      </c>
      <c r="G361">
        <f>E361*('Tasas Swap CLP vs Camara'!$C$18/100)</f>
        <v>2.6585833333333312E-2</v>
      </c>
      <c r="H361">
        <v>0.46576313933364666</v>
      </c>
      <c r="I361">
        <f t="shared" si="96"/>
        <v>1.2382701195134431E-2</v>
      </c>
      <c r="J361" s="4">
        <f t="shared" si="97"/>
        <v>5.3290668889345527E-2</v>
      </c>
    </row>
    <row r="362" spans="1:10" x14ac:dyDescent="0.35">
      <c r="A362">
        <v>15</v>
      </c>
      <c r="B362">
        <f t="shared" si="93"/>
        <v>15</v>
      </c>
      <c r="C362" s="1">
        <f t="shared" si="94"/>
        <v>50866</v>
      </c>
      <c r="D362">
        <f t="shared" si="95"/>
        <v>15.222222222222221</v>
      </c>
      <c r="E362">
        <f t="shared" si="98"/>
        <v>0.50555555555555465</v>
      </c>
      <c r="F362">
        <v>0</v>
      </c>
      <c r="G362">
        <f>E362*('Tasas Swap CLP vs Camara'!$C$18/100)</f>
        <v>2.6440555555555512E-2</v>
      </c>
      <c r="H362">
        <v>0.45293708319772896</v>
      </c>
      <c r="I362">
        <f t="shared" si="96"/>
        <v>1.1975908111460822E-2</v>
      </c>
      <c r="J362" s="4">
        <f t="shared" si="97"/>
        <v>5.3406640483834922E-2</v>
      </c>
    </row>
    <row r="363" spans="1:10" x14ac:dyDescent="0.35">
      <c r="A363">
        <v>15.5</v>
      </c>
      <c r="B363">
        <f t="shared" si="93"/>
        <v>15.5</v>
      </c>
      <c r="C363" s="1">
        <f t="shared" si="94"/>
        <v>51049</v>
      </c>
      <c r="D363">
        <f t="shared" si="95"/>
        <v>15.730555555555556</v>
      </c>
      <c r="E363">
        <f t="shared" si="98"/>
        <v>0.50833333333333464</v>
      </c>
      <c r="F363">
        <v>0</v>
      </c>
      <c r="G363">
        <f>E363*('Tasas Swap CLP vs Camara'!$C$18/100)</f>
        <v>2.6585833333333406E-2</v>
      </c>
      <c r="H363">
        <v>0.44242932217997644</v>
      </c>
      <c r="I363">
        <f t="shared" si="96"/>
        <v>1.1762352221256522E-2</v>
      </c>
      <c r="J363" s="4">
        <f t="shared" si="97"/>
        <v>5.3207386686007663E-2</v>
      </c>
    </row>
    <row r="364" spans="1:10" x14ac:dyDescent="0.35">
      <c r="A364">
        <v>16</v>
      </c>
      <c r="B364">
        <f t="shared" si="93"/>
        <v>16</v>
      </c>
      <c r="C364" s="1">
        <f t="shared" si="94"/>
        <v>51232</v>
      </c>
      <c r="D364">
        <f t="shared" si="95"/>
        <v>16.238888888888887</v>
      </c>
      <c r="E364">
        <f t="shared" si="98"/>
        <v>0.50833333333333108</v>
      </c>
      <c r="F364">
        <v>0</v>
      </c>
      <c r="G364">
        <f>E364*('Tasas Swap CLP vs Camara'!$C$18/100)</f>
        <v>2.6585833333333218E-2</v>
      </c>
      <c r="H364">
        <v>0.43192156116222397</v>
      </c>
      <c r="I364">
        <f t="shared" si="96"/>
        <v>1.1482994638131976E-2</v>
      </c>
      <c r="J364" s="4">
        <f t="shared" si="97"/>
        <v>5.3057230158603419E-2</v>
      </c>
    </row>
    <row r="365" spans="1:10" x14ac:dyDescent="0.35">
      <c r="A365">
        <v>16.5</v>
      </c>
      <c r="B365">
        <f t="shared" si="93"/>
        <v>16.5</v>
      </c>
      <c r="C365" s="1">
        <f t="shared" si="94"/>
        <v>51415</v>
      </c>
      <c r="D365">
        <f t="shared" si="95"/>
        <v>16.747222222222224</v>
      </c>
      <c r="E365">
        <f t="shared" si="98"/>
        <v>0.50833333333333641</v>
      </c>
      <c r="F365">
        <v>0</v>
      </c>
      <c r="G365">
        <f>E365*('Tasas Swap CLP vs Camara'!$C$18/100)</f>
        <v>2.6585833333333496E-2</v>
      </c>
      <c r="H365">
        <v>0.42141380014447138</v>
      </c>
      <c r="I365">
        <f t="shared" si="96"/>
        <v>1.1203637055007628E-2</v>
      </c>
      <c r="J365" s="4">
        <f t="shared" si="97"/>
        <v>5.2953430461069262E-2</v>
      </c>
    </row>
    <row r="366" spans="1:10" x14ac:dyDescent="0.35">
      <c r="A366">
        <v>17</v>
      </c>
      <c r="B366">
        <f t="shared" si="93"/>
        <v>17</v>
      </c>
      <c r="C366" s="1">
        <f t="shared" si="94"/>
        <v>51597</v>
      </c>
      <c r="D366">
        <f t="shared" si="95"/>
        <v>17.252777777777776</v>
      </c>
      <c r="E366">
        <f t="shared" si="98"/>
        <v>0.50555555555555287</v>
      </c>
      <c r="F366">
        <v>0</v>
      </c>
      <c r="G366">
        <f>E366*('Tasas Swap CLP vs Camara'!$C$18/100)</f>
        <v>2.6440555555555419E-2</v>
      </c>
      <c r="H366">
        <v>0.41096345858583233</v>
      </c>
      <c r="I366">
        <f t="shared" si="96"/>
        <v>1.0866102158041898E-2</v>
      </c>
      <c r="J366" s="4">
        <f t="shared" si="97"/>
        <v>5.2893913705611695E-2</v>
      </c>
    </row>
    <row r="367" spans="1:10" x14ac:dyDescent="0.35">
      <c r="A367">
        <v>17.5</v>
      </c>
      <c r="B367">
        <f t="shared" si="93"/>
        <v>17.5</v>
      </c>
      <c r="C367" s="1">
        <f t="shared" si="94"/>
        <v>51780</v>
      </c>
      <c r="D367">
        <f t="shared" si="95"/>
        <v>17.761111111111113</v>
      </c>
      <c r="E367">
        <f t="shared" si="98"/>
        <v>0.50833333333333641</v>
      </c>
      <c r="F367">
        <v>0</v>
      </c>
      <c r="G367">
        <f>E367*('Tasas Swap CLP vs Camara'!$C$18/100)</f>
        <v>2.6585833333333496E-2</v>
      </c>
      <c r="H367">
        <v>0.40045569756807975</v>
      </c>
      <c r="I367">
        <f t="shared" si="96"/>
        <v>1.0646448432928772E-2</v>
      </c>
      <c r="J367" s="4">
        <f t="shared" si="97"/>
        <v>5.2876153194854281E-2</v>
      </c>
    </row>
    <row r="368" spans="1:10" x14ac:dyDescent="0.35">
      <c r="A368">
        <v>18</v>
      </c>
      <c r="B368">
        <f t="shared" si="93"/>
        <v>18</v>
      </c>
      <c r="C368" s="1">
        <f t="shared" si="94"/>
        <v>51962</v>
      </c>
      <c r="D368">
        <f t="shared" si="95"/>
        <v>18.266666666666666</v>
      </c>
      <c r="E368">
        <f t="shared" si="98"/>
        <v>0.50555555555555287</v>
      </c>
      <c r="F368">
        <v>0</v>
      </c>
      <c r="G368">
        <f>E368*('Tasas Swap CLP vs Camara'!$C$18/100)</f>
        <v>2.6440555555555419E-2</v>
      </c>
      <c r="H368">
        <v>0.39000535600944064</v>
      </c>
      <c r="I368">
        <f t="shared" si="96"/>
        <v>1.0311958282531784E-2</v>
      </c>
      <c r="J368" s="4">
        <f t="shared" si="97"/>
        <v>5.2898840825562177E-2</v>
      </c>
    </row>
    <row r="369" spans="1:10" x14ac:dyDescent="0.35">
      <c r="A369">
        <v>18.5</v>
      </c>
      <c r="B369">
        <f t="shared" si="93"/>
        <v>18.5</v>
      </c>
      <c r="C369" s="1">
        <f t="shared" si="94"/>
        <v>52145</v>
      </c>
      <c r="D369">
        <f t="shared" si="95"/>
        <v>18.774999999999999</v>
      </c>
      <c r="E369">
        <f t="shared" si="98"/>
        <v>0.50833333333333286</v>
      </c>
      <c r="F369">
        <v>0</v>
      </c>
      <c r="G369">
        <f>E369*('Tasas Swap CLP vs Camara'!$C$18/100)</f>
        <v>2.6585833333333312E-2</v>
      </c>
      <c r="H369">
        <v>0.37949759499168817</v>
      </c>
      <c r="I369">
        <f t="shared" si="96"/>
        <v>1.0089259810849849E-2</v>
      </c>
      <c r="J369" s="4">
        <f t="shared" si="97"/>
        <v>5.2961039274828536E-2</v>
      </c>
    </row>
    <row r="370" spans="1:10" x14ac:dyDescent="0.35">
      <c r="A370">
        <v>19</v>
      </c>
      <c r="B370">
        <f t="shared" si="93"/>
        <v>19</v>
      </c>
      <c r="C370" s="1">
        <f t="shared" si="94"/>
        <v>52327</v>
      </c>
      <c r="D370">
        <f t="shared" si="95"/>
        <v>19.280555555555555</v>
      </c>
      <c r="E370">
        <f t="shared" si="98"/>
        <v>0.50555555555555642</v>
      </c>
      <c r="F370">
        <v>0</v>
      </c>
      <c r="G370">
        <f>E370*('Tasas Swap CLP vs Camara'!$C$18/100)</f>
        <v>2.6440555555555603E-2</v>
      </c>
      <c r="H370">
        <v>0.36904725343304901</v>
      </c>
      <c r="I370">
        <f t="shared" si="96"/>
        <v>9.757814407021741E-3</v>
      </c>
      <c r="J370" s="4">
        <f t="shared" si="97"/>
        <v>5.3061189757473093E-2</v>
      </c>
    </row>
    <row r="371" spans="1:10" x14ac:dyDescent="0.35">
      <c r="A371">
        <v>19.5</v>
      </c>
      <c r="B371">
        <f t="shared" si="93"/>
        <v>19.5</v>
      </c>
      <c r="C371" s="1">
        <f t="shared" si="94"/>
        <v>52510</v>
      </c>
      <c r="D371">
        <f t="shared" si="95"/>
        <v>19.788888888888888</v>
      </c>
      <c r="E371">
        <f t="shared" si="98"/>
        <v>0.50833333333333286</v>
      </c>
      <c r="F371">
        <v>0</v>
      </c>
      <c r="G371">
        <f>E371*('Tasas Swap CLP vs Camara'!$C$18/100)</f>
        <v>2.6585833333333312E-2</v>
      </c>
      <c r="H371">
        <v>0.35853949241529653</v>
      </c>
      <c r="I371">
        <f t="shared" si="96"/>
        <v>9.5320711887709967E-3</v>
      </c>
      <c r="J371" s="4">
        <f t="shared" si="97"/>
        <v>5.3199789542817344E-2</v>
      </c>
    </row>
    <row r="372" spans="1:10" x14ac:dyDescent="0.35">
      <c r="A372">
        <v>20</v>
      </c>
      <c r="B372">
        <f t="shared" si="93"/>
        <v>20</v>
      </c>
      <c r="C372" s="1">
        <f t="shared" si="94"/>
        <v>52693</v>
      </c>
      <c r="D372">
        <f t="shared" si="95"/>
        <v>20.297222222222221</v>
      </c>
      <c r="E372">
        <f t="shared" si="98"/>
        <v>0.50833333333333286</v>
      </c>
      <c r="F372">
        <v>0</v>
      </c>
      <c r="G372">
        <f>E372*('Tasas Swap CLP vs Camara'!$C$18/100)</f>
        <v>2.6585833333333312E-2</v>
      </c>
      <c r="H372">
        <v>0.34803173139754401</v>
      </c>
      <c r="I372">
        <f t="shared" si="96"/>
        <v>9.2527136056465321E-3</v>
      </c>
      <c r="J372" s="4">
        <f t="shared" si="97"/>
        <v>5.3376057304748592E-2</v>
      </c>
    </row>
    <row r="373" spans="1:10" x14ac:dyDescent="0.35">
      <c r="A373">
        <v>20.5</v>
      </c>
      <c r="B373">
        <f t="shared" si="93"/>
        <v>20.5</v>
      </c>
      <c r="C373" s="1">
        <f t="shared" si="94"/>
        <v>52876</v>
      </c>
      <c r="D373">
        <f t="shared" si="95"/>
        <v>20.805555555555557</v>
      </c>
      <c r="E373">
        <f t="shared" si="98"/>
        <v>0.50833333333333641</v>
      </c>
      <c r="F373">
        <v>0</v>
      </c>
      <c r="G373">
        <f>E373*('Tasas Swap CLP vs Camara'!$C$18/100)</f>
        <v>2.6585833333333496E-2</v>
      </c>
      <c r="H373">
        <v>0.33995712377688186</v>
      </c>
      <c r="I373">
        <f t="shared" si="96"/>
        <v>9.0380434332116063E-3</v>
      </c>
      <c r="J373" s="4">
        <f t="shared" si="97"/>
        <v>5.3226238364728617E-2</v>
      </c>
    </row>
    <row r="374" spans="1:10" x14ac:dyDescent="0.35">
      <c r="A374">
        <v>21</v>
      </c>
      <c r="B374">
        <f t="shared" si="93"/>
        <v>21</v>
      </c>
      <c r="C374" s="1">
        <f t="shared" si="94"/>
        <v>53058</v>
      </c>
      <c r="D374">
        <f t="shared" si="95"/>
        <v>21.31111111111111</v>
      </c>
      <c r="E374">
        <f t="shared" si="98"/>
        <v>0.50555555555555287</v>
      </c>
      <c r="F374">
        <v>0</v>
      </c>
      <c r="G374">
        <f>E374*('Tasas Swap CLP vs Camara'!$C$18/100)</f>
        <v>2.6440555555555419E-2</v>
      </c>
      <c r="H374">
        <v>0.33192663969513048</v>
      </c>
      <c r="I374">
        <f t="shared" si="96"/>
        <v>8.776324757227923E-3</v>
      </c>
      <c r="J374" s="4">
        <f t="shared" si="97"/>
        <v>5.3112001536044007E-2</v>
      </c>
    </row>
    <row r="375" spans="1:10" x14ac:dyDescent="0.35">
      <c r="A375">
        <v>21.5</v>
      </c>
      <c r="B375">
        <f t="shared" si="93"/>
        <v>21.5</v>
      </c>
      <c r="C375" s="1">
        <f t="shared" si="94"/>
        <v>53241</v>
      </c>
      <c r="D375">
        <f t="shared" si="95"/>
        <v>21.819444444444443</v>
      </c>
      <c r="E375">
        <f t="shared" si="98"/>
        <v>0.50833333333333286</v>
      </c>
      <c r="F375">
        <v>0</v>
      </c>
      <c r="G375">
        <f>E375*('Tasas Swap CLP vs Camara'!$C$18/100)</f>
        <v>2.6585833333333312E-2</v>
      </c>
      <c r="H375">
        <v>0.32385203207446839</v>
      </c>
      <c r="I375">
        <f t="shared" si="96"/>
        <v>8.6098761493931305E-3</v>
      </c>
      <c r="J375" s="4">
        <f t="shared" si="97"/>
        <v>5.3030978455590017E-2</v>
      </c>
    </row>
    <row r="376" spans="1:10" x14ac:dyDescent="0.35">
      <c r="A376">
        <v>22</v>
      </c>
      <c r="B376">
        <f t="shared" si="93"/>
        <v>22</v>
      </c>
      <c r="C376" s="1">
        <f t="shared" si="94"/>
        <v>53423</v>
      </c>
      <c r="D376">
        <f t="shared" si="95"/>
        <v>22.324999999999999</v>
      </c>
      <c r="E376">
        <f t="shared" si="98"/>
        <v>0.50555555555555642</v>
      </c>
      <c r="F376">
        <v>0</v>
      </c>
      <c r="G376">
        <f>E376*('Tasas Swap CLP vs Camara'!$C$18/100)</f>
        <v>2.6440555555555603E-2</v>
      </c>
      <c r="H376">
        <v>0.31582154799271694</v>
      </c>
      <c r="I376">
        <f t="shared" si="96"/>
        <v>8.3504971853430015E-3</v>
      </c>
      <c r="J376" s="4">
        <f t="shared" si="97"/>
        <v>5.2983150547065483E-2</v>
      </c>
    </row>
    <row r="377" spans="1:10" x14ac:dyDescent="0.35">
      <c r="A377">
        <v>22.5</v>
      </c>
      <c r="B377">
        <f t="shared" si="93"/>
        <v>22.5</v>
      </c>
      <c r="C377" s="1">
        <f t="shared" si="94"/>
        <v>53606</v>
      </c>
      <c r="D377">
        <f t="shared" si="95"/>
        <v>22.833333333333332</v>
      </c>
      <c r="E377">
        <f t="shared" si="98"/>
        <v>0.50833333333333286</v>
      </c>
      <c r="F377">
        <v>0</v>
      </c>
      <c r="G377">
        <f>E377*('Tasas Swap CLP vs Camara'!$C$18/100)</f>
        <v>2.6585833333333312E-2</v>
      </c>
      <c r="H377">
        <v>0.30774694037205486</v>
      </c>
      <c r="I377">
        <f t="shared" si="96"/>
        <v>8.1817088655747154E-3</v>
      </c>
      <c r="J377" s="4">
        <f t="shared" si="97"/>
        <v>5.2967271374467551E-2</v>
      </c>
    </row>
    <row r="378" spans="1:10" x14ac:dyDescent="0.35">
      <c r="A378">
        <v>23</v>
      </c>
      <c r="B378">
        <f t="shared" si="93"/>
        <v>23</v>
      </c>
      <c r="C378" s="1">
        <f t="shared" si="94"/>
        <v>53788</v>
      </c>
      <c r="D378">
        <f t="shared" si="95"/>
        <v>23.338888888888889</v>
      </c>
      <c r="E378">
        <f t="shared" si="98"/>
        <v>0.50555555555555642</v>
      </c>
      <c r="F378">
        <v>0</v>
      </c>
      <c r="G378">
        <f>E378*('Tasas Swap CLP vs Camara'!$C$18/100)</f>
        <v>2.6440555555555603E-2</v>
      </c>
      <c r="H378">
        <v>0.29971645629030341</v>
      </c>
      <c r="I378">
        <f t="shared" si="96"/>
        <v>7.9246696134580193E-3</v>
      </c>
      <c r="J378" s="4">
        <f t="shared" si="97"/>
        <v>5.2982977927957142E-2</v>
      </c>
    </row>
    <row r="379" spans="1:10" x14ac:dyDescent="0.35">
      <c r="A379">
        <v>23.5</v>
      </c>
      <c r="B379">
        <f t="shared" si="93"/>
        <v>23.5</v>
      </c>
      <c r="C379" s="1">
        <f t="shared" si="94"/>
        <v>53971</v>
      </c>
      <c r="D379">
        <f t="shared" si="95"/>
        <v>23.847222222222221</v>
      </c>
      <c r="E379">
        <f t="shared" si="98"/>
        <v>0.50833333333333286</v>
      </c>
      <c r="F379">
        <v>0</v>
      </c>
      <c r="G379">
        <f>E379*('Tasas Swap CLP vs Camara'!$C$18/100)</f>
        <v>2.6585833333333312E-2</v>
      </c>
      <c r="H379">
        <v>0.29164184866964132</v>
      </c>
      <c r="I379">
        <f t="shared" si="96"/>
        <v>7.7535415817562995E-3</v>
      </c>
      <c r="J379" s="4">
        <f t="shared" si="97"/>
        <v>5.3030075932092302E-2</v>
      </c>
    </row>
    <row r="380" spans="1:10" x14ac:dyDescent="0.35">
      <c r="A380">
        <v>24</v>
      </c>
      <c r="B380">
        <f t="shared" si="93"/>
        <v>24</v>
      </c>
      <c r="C380" s="1">
        <f t="shared" si="94"/>
        <v>54154</v>
      </c>
      <c r="D380">
        <f t="shared" si="95"/>
        <v>24.355555555555554</v>
      </c>
      <c r="E380">
        <f t="shared" si="98"/>
        <v>0.50833333333333286</v>
      </c>
      <c r="F380">
        <v>0</v>
      </c>
      <c r="G380">
        <f>E380*('Tasas Swap CLP vs Camara'!$C$18/100)</f>
        <v>2.6585833333333312E-2</v>
      </c>
      <c r="H380">
        <v>0.28356724104897923</v>
      </c>
      <c r="I380">
        <f t="shared" si="96"/>
        <v>7.5388714093213146E-3</v>
      </c>
      <c r="J380" s="4">
        <f t="shared" si="97"/>
        <v>5.3108367116029065E-2</v>
      </c>
    </row>
    <row r="381" spans="1:10" x14ac:dyDescent="0.35">
      <c r="A381">
        <v>24.5</v>
      </c>
      <c r="B381">
        <f t="shared" si="93"/>
        <v>24.5</v>
      </c>
      <c r="C381" s="1">
        <f t="shared" si="94"/>
        <v>54337</v>
      </c>
      <c r="D381">
        <f t="shared" si="95"/>
        <v>24.863888888888887</v>
      </c>
      <c r="E381">
        <f t="shared" si="98"/>
        <v>0.50833333333333286</v>
      </c>
      <c r="F381">
        <v>0</v>
      </c>
      <c r="G381">
        <f>E381*('Tasas Swap CLP vs Camara'!$C$18/100)</f>
        <v>2.6585833333333312E-2</v>
      </c>
      <c r="H381">
        <v>0.27549263342831709</v>
      </c>
      <c r="I381">
        <f t="shared" si="96"/>
        <v>7.3242012368863272E-3</v>
      </c>
      <c r="J381" s="4">
        <f t="shared" si="97"/>
        <v>5.321782216353399E-2</v>
      </c>
    </row>
    <row r="382" spans="1:10" x14ac:dyDescent="0.35">
      <c r="A382">
        <v>25</v>
      </c>
      <c r="B382">
        <f t="shared" si="93"/>
        <v>25</v>
      </c>
      <c r="C382" s="1">
        <f t="shared" si="94"/>
        <v>54519</v>
      </c>
      <c r="D382">
        <f t="shared" si="95"/>
        <v>25.369444444444444</v>
      </c>
      <c r="E382">
        <f t="shared" si="98"/>
        <v>0.50555555555555642</v>
      </c>
      <c r="F382">
        <v>0</v>
      </c>
      <c r="G382">
        <f>E382*('Tasas Swap CLP vs Camara'!$C$18/100)</f>
        <v>2.6440555555555603E-2</v>
      </c>
      <c r="H382">
        <v>0.2674621493465657</v>
      </c>
      <c r="I382">
        <f t="shared" si="96"/>
        <v>7.07184781880618E-3</v>
      </c>
      <c r="J382" s="4">
        <f t="shared" si="97"/>
        <v>5.3357726903546565E-2</v>
      </c>
    </row>
    <row r="383" spans="1:10" x14ac:dyDescent="0.35">
      <c r="A383">
        <v>25.5</v>
      </c>
      <c r="B383">
        <f t="shared" si="93"/>
        <v>25.5</v>
      </c>
      <c r="C383" s="1">
        <f t="shared" si="94"/>
        <v>54702</v>
      </c>
      <c r="D383">
        <f t="shared" si="95"/>
        <v>25.877777777777776</v>
      </c>
      <c r="E383">
        <f t="shared" si="98"/>
        <v>0.50833333333333286</v>
      </c>
      <c r="F383">
        <v>0</v>
      </c>
      <c r="G383">
        <f>E383*('Tasas Swap CLP vs Camara'!$C$18/100)</f>
        <v>2.6585833333333312E-2</v>
      </c>
      <c r="H383">
        <f>+(($H$392-$H$382)/($D$392-$D$382))*(D383-$D$392)+$H$392</f>
        <v>0.26125681887086388</v>
      </c>
      <c r="I383">
        <f t="shared" si="96"/>
        <v>6.9457302436976365E-3</v>
      </c>
      <c r="J383" s="4">
        <f t="shared" si="97"/>
        <v>5.3237633953312269E-2</v>
      </c>
    </row>
    <row r="384" spans="1:10" x14ac:dyDescent="0.35">
      <c r="A384">
        <v>26</v>
      </c>
      <c r="B384">
        <f t="shared" si="93"/>
        <v>26</v>
      </c>
      <c r="C384" s="1">
        <f t="shared" si="94"/>
        <v>54884</v>
      </c>
      <c r="D384">
        <f t="shared" si="95"/>
        <v>26.383333333333333</v>
      </c>
      <c r="E384">
        <f t="shared" si="98"/>
        <v>0.50555555555555642</v>
      </c>
      <c r="F384">
        <v>0</v>
      </c>
      <c r="G384">
        <f>E384*('Tasas Swap CLP vs Camara'!$C$18/100)</f>
        <v>2.6440555555555603E-2</v>
      </c>
      <c r="H384">
        <f t="shared" ref="H384:H391" si="99">+(($H$392-$H$382)/($D$392-$D$382))*(D384-$D$392)+$H$392</f>
        <v>0.25508539730486535</v>
      </c>
      <c r="I384">
        <f t="shared" si="96"/>
        <v>6.7445996188502657E-3</v>
      </c>
      <c r="J384" s="4">
        <f t="shared" si="97"/>
        <v>5.3145138965214445E-2</v>
      </c>
    </row>
    <row r="385" spans="1:10" x14ac:dyDescent="0.35">
      <c r="A385">
        <v>26.5</v>
      </c>
      <c r="B385">
        <f t="shared" si="93"/>
        <v>26.5</v>
      </c>
      <c r="C385" s="1">
        <f t="shared" si="94"/>
        <v>55067</v>
      </c>
      <c r="D385">
        <f t="shared" si="95"/>
        <v>26.891666666666666</v>
      </c>
      <c r="E385">
        <f t="shared" si="98"/>
        <v>0.50833333333333286</v>
      </c>
      <c r="F385">
        <v>0</v>
      </c>
      <c r="G385">
        <f>E385*('Tasas Swap CLP vs Camara'!$C$18/100)</f>
        <v>2.6585833333333312E-2</v>
      </c>
      <c r="H385">
        <f t="shared" si="99"/>
        <v>0.2488800668291635</v>
      </c>
      <c r="I385">
        <f t="shared" si="96"/>
        <v>6.6166839767089975E-3</v>
      </c>
      <c r="J385" s="4">
        <f t="shared" si="97"/>
        <v>5.3078769292050021E-2</v>
      </c>
    </row>
    <row r="386" spans="1:10" x14ac:dyDescent="0.35">
      <c r="A386">
        <v>27</v>
      </c>
      <c r="B386">
        <f t="shared" si="93"/>
        <v>27</v>
      </c>
      <c r="C386" s="1">
        <f t="shared" si="94"/>
        <v>55249</v>
      </c>
      <c r="D386">
        <f t="shared" si="95"/>
        <v>27.397222222222222</v>
      </c>
      <c r="E386">
        <f t="shared" si="98"/>
        <v>0.50555555555555642</v>
      </c>
      <c r="F386">
        <v>0</v>
      </c>
      <c r="G386">
        <f>E386*('Tasas Swap CLP vs Camara'!$C$18/100)</f>
        <v>2.6440555555555603E-2</v>
      </c>
      <c r="H386">
        <f t="shared" si="99"/>
        <v>0.24270864526316493</v>
      </c>
      <c r="I386">
        <f t="shared" si="96"/>
        <v>6.4173514188943497E-3</v>
      </c>
      <c r="J386" s="4">
        <f t="shared" si="97"/>
        <v>5.3038912274265826E-2</v>
      </c>
    </row>
    <row r="387" spans="1:10" x14ac:dyDescent="0.35">
      <c r="A387">
        <v>27.5</v>
      </c>
      <c r="B387">
        <f t="shared" si="93"/>
        <v>27.5</v>
      </c>
      <c r="C387" s="1">
        <f t="shared" si="94"/>
        <v>55432</v>
      </c>
      <c r="D387">
        <f t="shared" si="95"/>
        <v>27.905555555555555</v>
      </c>
      <c r="E387">
        <f t="shared" si="98"/>
        <v>0.50833333333333286</v>
      </c>
      <c r="F387">
        <v>0</v>
      </c>
      <c r="G387">
        <f>E387*('Tasas Swap CLP vs Camara'!$C$18/100)</f>
        <v>2.6585833333333312E-2</v>
      </c>
      <c r="H387">
        <f t="shared" si="99"/>
        <v>0.23650331478746311</v>
      </c>
      <c r="I387">
        <f t="shared" si="96"/>
        <v>6.2876377097203584E-3</v>
      </c>
      <c r="J387" s="4">
        <f t="shared" si="97"/>
        <v>5.3024902874977409E-2</v>
      </c>
    </row>
    <row r="388" spans="1:10" x14ac:dyDescent="0.35">
      <c r="A388">
        <v>28</v>
      </c>
      <c r="B388">
        <f t="shared" si="93"/>
        <v>28</v>
      </c>
      <c r="C388" s="1">
        <f t="shared" si="94"/>
        <v>55615</v>
      </c>
      <c r="D388">
        <f t="shared" si="95"/>
        <v>28.413888888888888</v>
      </c>
      <c r="E388">
        <f t="shared" si="98"/>
        <v>0.50833333333333286</v>
      </c>
      <c r="F388">
        <v>0</v>
      </c>
      <c r="G388">
        <f>E388*('Tasas Swap CLP vs Camara'!$C$18/100)</f>
        <v>2.6585833333333312E-2</v>
      </c>
      <c r="H388">
        <f t="shared" si="99"/>
        <v>0.23029798431176129</v>
      </c>
      <c r="I388">
        <f t="shared" si="96"/>
        <v>6.1226638279150954E-3</v>
      </c>
      <c r="J388" s="4">
        <f t="shared" si="97"/>
        <v>5.3036916790912603E-2</v>
      </c>
    </row>
    <row r="389" spans="1:10" x14ac:dyDescent="0.35">
      <c r="A389">
        <v>28.5</v>
      </c>
      <c r="B389">
        <f t="shared" si="93"/>
        <v>28.5</v>
      </c>
      <c r="C389" s="1">
        <f t="shared" si="94"/>
        <v>55798</v>
      </c>
      <c r="D389">
        <f t="shared" si="95"/>
        <v>28.922222222222221</v>
      </c>
      <c r="E389">
        <f t="shared" si="98"/>
        <v>0.50833333333333286</v>
      </c>
      <c r="F389">
        <v>0</v>
      </c>
      <c r="G389">
        <f>E389*('Tasas Swap CLP vs Camara'!$C$18/100)</f>
        <v>2.6585833333333312E-2</v>
      </c>
      <c r="H389">
        <f t="shared" si="99"/>
        <v>0.22409265383605947</v>
      </c>
      <c r="I389">
        <f t="shared" si="96"/>
        <v>5.9576899461098332E-3</v>
      </c>
      <c r="J389" s="4">
        <f t="shared" si="97"/>
        <v>5.3074952665573827E-2</v>
      </c>
    </row>
    <row r="390" spans="1:10" x14ac:dyDescent="0.35">
      <c r="A390">
        <v>29</v>
      </c>
      <c r="B390">
        <f t="shared" si="93"/>
        <v>29</v>
      </c>
      <c r="C390" s="1">
        <f t="shared" si="94"/>
        <v>55980</v>
      </c>
      <c r="D390">
        <f t="shared" si="95"/>
        <v>29.427777777777777</v>
      </c>
      <c r="E390">
        <f t="shared" si="98"/>
        <v>0.50555555555555642</v>
      </c>
      <c r="F390">
        <v>0</v>
      </c>
      <c r="G390">
        <f>E390*('Tasas Swap CLP vs Camara'!$C$18/100)</f>
        <v>2.6440555555555603E-2</v>
      </c>
      <c r="H390">
        <f t="shared" si="99"/>
        <v>0.21792123227006091</v>
      </c>
      <c r="I390">
        <f t="shared" si="96"/>
        <v>5.7619584485716817E-3</v>
      </c>
      <c r="J390" s="4">
        <f t="shared" si="97"/>
        <v>5.3138702620320721E-2</v>
      </c>
    </row>
    <row r="391" spans="1:10" x14ac:dyDescent="0.35">
      <c r="A391">
        <v>29.5</v>
      </c>
      <c r="B391">
        <f t="shared" si="93"/>
        <v>29.5</v>
      </c>
      <c r="C391" s="1">
        <f t="shared" si="94"/>
        <v>56163</v>
      </c>
      <c r="D391">
        <f t="shared" si="95"/>
        <v>29.93611111111111</v>
      </c>
      <c r="E391">
        <f t="shared" si="98"/>
        <v>0.50833333333333286</v>
      </c>
      <c r="F391">
        <v>0</v>
      </c>
      <c r="G391">
        <f>E391*('Tasas Swap CLP vs Camara'!$C$18/100)</f>
        <v>2.6585833333333312E-2</v>
      </c>
      <c r="H391">
        <f t="shared" si="99"/>
        <v>0.21171590179435909</v>
      </c>
      <c r="I391">
        <f t="shared" si="96"/>
        <v>5.6286436791211942E-3</v>
      </c>
      <c r="J391" s="4">
        <f t="shared" si="97"/>
        <v>5.3229098813175169E-2</v>
      </c>
    </row>
    <row r="392" spans="1:10" x14ac:dyDescent="0.35">
      <c r="A392">
        <v>30</v>
      </c>
      <c r="B392">
        <f t="shared" si="93"/>
        <v>30</v>
      </c>
      <c r="C392" s="1">
        <f t="shared" si="94"/>
        <v>56345</v>
      </c>
      <c r="D392">
        <f t="shared" si="95"/>
        <v>30.441666666666666</v>
      </c>
      <c r="E392">
        <f t="shared" si="98"/>
        <v>0.50555555555555642</v>
      </c>
      <c r="F392">
        <v>1</v>
      </c>
      <c r="G392">
        <f>E392*('Tasas Swap CLP vs Camara'!$C$18/100)</f>
        <v>2.6440555555555603E-2</v>
      </c>
      <c r="H392" s="2">
        <v>0.20554448022836053</v>
      </c>
      <c r="I392">
        <f t="shared" si="96"/>
        <v>0.21097919047697627</v>
      </c>
      <c r="J392" s="8">
        <f t="shared" si="97"/>
        <v>5.3345505140688143E-2</v>
      </c>
    </row>
    <row r="393" spans="1:10" x14ac:dyDescent="0.35">
      <c r="I393">
        <f>SUM(I333:I392)</f>
        <v>0.99999999999999978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7907-C771-40BF-BF2D-89DDD30E235C}">
  <dimension ref="A1:D20"/>
  <sheetViews>
    <sheetView workbookViewId="0"/>
  </sheetViews>
  <sheetFormatPr defaultRowHeight="14.5" x14ac:dyDescent="0.35"/>
  <sheetData>
    <row r="1" spans="1:4" x14ac:dyDescent="0.35">
      <c r="A1" t="s">
        <v>27</v>
      </c>
      <c r="B1" t="s">
        <v>28</v>
      </c>
      <c r="C1" t="s">
        <v>29</v>
      </c>
      <c r="D1" t="s">
        <v>30</v>
      </c>
    </row>
    <row r="2" spans="1:4" x14ac:dyDescent="0.35">
      <c r="A2" t="s">
        <v>58</v>
      </c>
      <c r="B2">
        <v>1.8</v>
      </c>
      <c r="C2">
        <v>1.81</v>
      </c>
      <c r="D2">
        <v>1.82</v>
      </c>
    </row>
    <row r="3" spans="1:4" x14ac:dyDescent="0.35">
      <c r="A3" t="s">
        <v>59</v>
      </c>
      <c r="B3">
        <v>2.4</v>
      </c>
      <c r="C3">
        <v>2.41</v>
      </c>
      <c r="D3">
        <v>2.42</v>
      </c>
    </row>
    <row r="4" spans="1:4" x14ac:dyDescent="0.35">
      <c r="A4" t="s">
        <v>60</v>
      </c>
      <c r="B4">
        <v>2.0499999999999998</v>
      </c>
      <c r="C4">
        <v>2.06</v>
      </c>
      <c r="D4">
        <v>2.0699999999999998</v>
      </c>
    </row>
    <row r="5" spans="1:4" x14ac:dyDescent="0.35">
      <c r="A5" t="s">
        <v>61</v>
      </c>
      <c r="B5">
        <v>2.27</v>
      </c>
      <c r="C5">
        <v>2.2799999999999998</v>
      </c>
      <c r="D5">
        <v>2.29</v>
      </c>
    </row>
    <row r="6" spans="1:4" x14ac:dyDescent="0.35">
      <c r="A6" t="s">
        <v>62</v>
      </c>
      <c r="B6">
        <v>2.36</v>
      </c>
      <c r="C6">
        <v>2.37</v>
      </c>
      <c r="D6">
        <v>2.38</v>
      </c>
    </row>
    <row r="7" spans="1:4" x14ac:dyDescent="0.35">
      <c r="A7" t="s">
        <v>9</v>
      </c>
      <c r="B7">
        <v>2.1349999999999998</v>
      </c>
      <c r="C7">
        <v>2.145</v>
      </c>
      <c r="D7">
        <v>2.1549999999999998</v>
      </c>
    </row>
    <row r="8" spans="1:4" x14ac:dyDescent="0.35">
      <c r="A8" t="s">
        <v>10</v>
      </c>
      <c r="B8">
        <v>2.0299999999999998</v>
      </c>
      <c r="C8">
        <v>2.04</v>
      </c>
      <c r="D8">
        <v>2.0499999999999998</v>
      </c>
    </row>
    <row r="9" spans="1:4" x14ac:dyDescent="0.35">
      <c r="A9" t="s">
        <v>11</v>
      </c>
      <c r="B9">
        <v>2.0150000000000001</v>
      </c>
      <c r="C9">
        <v>2.0249999999999999</v>
      </c>
      <c r="D9">
        <v>2.0350000000000001</v>
      </c>
    </row>
    <row r="10" spans="1:4" x14ac:dyDescent="0.35">
      <c r="A10" t="s">
        <v>12</v>
      </c>
      <c r="B10">
        <v>2.02</v>
      </c>
      <c r="C10">
        <v>2.0299999999999998</v>
      </c>
      <c r="D10">
        <v>2.04</v>
      </c>
    </row>
    <row r="11" spans="1:4" x14ac:dyDescent="0.35">
      <c r="A11" t="s">
        <v>13</v>
      </c>
      <c r="B11">
        <v>2.04</v>
      </c>
      <c r="C11">
        <v>2.0499999999999998</v>
      </c>
      <c r="D11">
        <v>2.06</v>
      </c>
    </row>
    <row r="12" spans="1:4" x14ac:dyDescent="0.35">
      <c r="A12" t="s">
        <v>14</v>
      </c>
      <c r="B12">
        <v>2.0299999999999998</v>
      </c>
      <c r="C12">
        <v>2.04</v>
      </c>
      <c r="D12">
        <v>2.0499999999999998</v>
      </c>
    </row>
    <row r="13" spans="1:4" x14ac:dyDescent="0.35">
      <c r="A13" t="s">
        <v>15</v>
      </c>
      <c r="B13">
        <v>2.06</v>
      </c>
      <c r="C13">
        <v>2.0699999999999998</v>
      </c>
      <c r="D13">
        <v>2.08</v>
      </c>
    </row>
    <row r="14" spans="1:4" x14ac:dyDescent="0.35">
      <c r="A14" t="s">
        <v>16</v>
      </c>
      <c r="B14">
        <v>2.08</v>
      </c>
      <c r="C14">
        <v>2.09</v>
      </c>
      <c r="D14">
        <v>2.1</v>
      </c>
    </row>
    <row r="15" spans="1:4" x14ac:dyDescent="0.35">
      <c r="A15" t="s">
        <v>17</v>
      </c>
      <c r="B15">
        <v>2.0649999999999999</v>
      </c>
      <c r="C15">
        <v>2.0750000000000002</v>
      </c>
      <c r="D15">
        <v>2.085</v>
      </c>
    </row>
    <row r="16" spans="1:4" x14ac:dyDescent="0.35">
      <c r="A16" t="s">
        <v>18</v>
      </c>
      <c r="B16">
        <v>2.0449999999999999</v>
      </c>
      <c r="C16">
        <v>2.0550000000000002</v>
      </c>
      <c r="D16">
        <v>2.0649999999999999</v>
      </c>
    </row>
    <row r="17" spans="1:4" x14ac:dyDescent="0.35">
      <c r="A17" t="s">
        <v>19</v>
      </c>
      <c r="B17">
        <v>2.02</v>
      </c>
      <c r="C17">
        <v>2.0299999999999998</v>
      </c>
      <c r="D17">
        <v>2.04</v>
      </c>
    </row>
    <row r="18" spans="1:4" x14ac:dyDescent="0.35">
      <c r="A18" t="s">
        <v>20</v>
      </c>
      <c r="B18">
        <v>1.84</v>
      </c>
      <c r="C18">
        <v>1.85</v>
      </c>
      <c r="D18">
        <v>1.86</v>
      </c>
    </row>
    <row r="19" spans="1:4" x14ac:dyDescent="0.35">
      <c r="A19" t="s">
        <v>21</v>
      </c>
      <c r="B19">
        <v>1.67</v>
      </c>
      <c r="C19">
        <v>1.68</v>
      </c>
      <c r="D19">
        <v>1.69</v>
      </c>
    </row>
    <row r="20" spans="1:4" x14ac:dyDescent="0.35">
      <c r="A20" t="s">
        <v>22</v>
      </c>
      <c r="B20">
        <v>1.57</v>
      </c>
      <c r="C20">
        <v>1.58</v>
      </c>
      <c r="D20">
        <v>1.59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8210-6CF8-4B60-973B-4B418617285D}">
  <dimension ref="A1:O393"/>
  <sheetViews>
    <sheetView zoomScale="37" workbookViewId="0">
      <selection activeCell="M3" sqref="M3"/>
    </sheetView>
  </sheetViews>
  <sheetFormatPr defaultRowHeight="14.5" x14ac:dyDescent="0.35"/>
  <cols>
    <col min="1" max="1" width="9.54296875" customWidth="1"/>
    <col min="2" max="2" width="14.36328125" bestFit="1" customWidth="1"/>
    <col min="3" max="3" width="11.1796875" bestFit="1" customWidth="1"/>
    <col min="4" max="4" width="12.54296875" bestFit="1" customWidth="1"/>
    <col min="5" max="5" width="31.26953125" bestFit="1" customWidth="1"/>
    <col min="6" max="6" width="11.54296875" bestFit="1" customWidth="1"/>
    <col min="7" max="7" width="41.453125" style="5" bestFit="1" customWidth="1"/>
    <col min="8" max="8" width="41.453125" bestFit="1" customWidth="1"/>
    <col min="9" max="9" width="17.6328125" bestFit="1" customWidth="1"/>
    <col min="10" max="10" width="11.90625" bestFit="1" customWidth="1"/>
    <col min="11" max="11" width="16" style="4" bestFit="1" customWidth="1"/>
  </cols>
  <sheetData>
    <row r="1" spans="1:15" x14ac:dyDescent="0.35">
      <c r="A1" t="s">
        <v>1</v>
      </c>
      <c r="C1" s="1">
        <v>45386</v>
      </c>
    </row>
    <row r="3" spans="1:15" x14ac:dyDescent="0.35">
      <c r="A3" t="s">
        <v>0</v>
      </c>
      <c r="B3" t="s">
        <v>23</v>
      </c>
      <c r="C3" t="s">
        <v>24</v>
      </c>
      <c r="D3" t="s">
        <v>25</v>
      </c>
      <c r="E3" t="s">
        <v>39</v>
      </c>
      <c r="F3" t="s">
        <v>26</v>
      </c>
      <c r="G3" s="5" t="s">
        <v>104</v>
      </c>
      <c r="H3" t="s">
        <v>31</v>
      </c>
      <c r="I3" t="s">
        <v>32</v>
      </c>
      <c r="J3" s="4" t="s">
        <v>33</v>
      </c>
      <c r="K3"/>
      <c r="M3" t="s">
        <v>0</v>
      </c>
      <c r="N3" t="s">
        <v>48</v>
      </c>
      <c r="O3" t="s">
        <v>43</v>
      </c>
    </row>
    <row r="4" spans="1:15" x14ac:dyDescent="0.35">
      <c r="A4" t="s">
        <v>2</v>
      </c>
      <c r="B4">
        <f>1/12</f>
        <v>8.3333333333333329E-2</v>
      </c>
      <c r="C4" s="1">
        <f>+DATE(YEAR($C$1),MONTH($C$1)+B4*12,DAY($C$1)+2)</f>
        <v>45418</v>
      </c>
      <c r="D4">
        <f t="shared" ref="D4:D10" si="0">(C4-$C$1)/360</f>
        <v>8.8888888888888892E-2</v>
      </c>
      <c r="E4" s="6">
        <f>(C4-$C$1)/360</f>
        <v>8.8888888888888892E-2</v>
      </c>
      <c r="F4">
        <v>1</v>
      </c>
      <c r="G4" s="5">
        <f>F4*(1+(('Tasas XCCY UF vs Camara'!B2/100)*'Cálculo Curva Cero UF'!D4))</f>
        <v>1.0016</v>
      </c>
      <c r="H4">
        <f>F4/G4</f>
        <v>0.99840255591054305</v>
      </c>
      <c r="I4">
        <f>G4*H4</f>
        <v>1</v>
      </c>
      <c r="J4" s="4">
        <f>+(1/H4)^(1/D4)-1</f>
        <v>1.8148330568512616E-2</v>
      </c>
      <c r="K4"/>
      <c r="M4" t="s">
        <v>2</v>
      </c>
      <c r="N4">
        <f>1/12</f>
        <v>8.3333333333333329E-2</v>
      </c>
      <c r="O4" s="9">
        <f>J4</f>
        <v>1.8148330568512616E-2</v>
      </c>
    </row>
    <row r="5" spans="1:15" x14ac:dyDescent="0.35">
      <c r="A5" t="s">
        <v>3</v>
      </c>
      <c r="B5">
        <f>2/12</f>
        <v>0.16666666666666666</v>
      </c>
      <c r="C5" s="1">
        <f t="shared" ref="C5:C10" si="1">+DATE(YEAR($C$1),MONTH($C$1)+B5*12,DAY($C$1)+2)</f>
        <v>45449</v>
      </c>
      <c r="D5">
        <f t="shared" si="0"/>
        <v>0.17499999999999999</v>
      </c>
      <c r="E5">
        <f>D5-D4</f>
        <v>8.6111111111111097E-2</v>
      </c>
      <c r="F5">
        <v>1</v>
      </c>
      <c r="G5" s="5">
        <f>F5*(1+(('Tasas XCCY UF vs Camara'!B3/100)*'Cálculo Curva Cero UF'!D5))</f>
        <v>1.0042</v>
      </c>
      <c r="H5">
        <f t="shared" ref="H5:H10" si="2">F5/G5</f>
        <v>0.99581756622186812</v>
      </c>
      <c r="I5">
        <f t="shared" ref="I5:I10" si="3">G5*H5</f>
        <v>1</v>
      </c>
      <c r="J5" s="4">
        <f t="shared" ref="J5:J10" si="4">+(1/H5)^(1/D5)-1</f>
        <v>2.4238839046305083E-2</v>
      </c>
      <c r="K5"/>
      <c r="M5" t="s">
        <v>3</v>
      </c>
      <c r="N5">
        <f>(1/12)*2</f>
        <v>0.16666666666666666</v>
      </c>
      <c r="O5" s="9">
        <f t="shared" ref="O5:O10" si="5">J5</f>
        <v>2.4238839046305083E-2</v>
      </c>
    </row>
    <row r="6" spans="1:15" x14ac:dyDescent="0.35">
      <c r="A6" t="s">
        <v>4</v>
      </c>
      <c r="B6">
        <f>3/12</f>
        <v>0.25</v>
      </c>
      <c r="C6" s="1">
        <f t="shared" si="1"/>
        <v>45479</v>
      </c>
      <c r="D6">
        <f t="shared" si="0"/>
        <v>0.25833333333333336</v>
      </c>
      <c r="E6">
        <f t="shared" ref="E6:E10" si="6">D6-D5</f>
        <v>8.333333333333337E-2</v>
      </c>
      <c r="F6">
        <v>1</v>
      </c>
      <c r="G6" s="5">
        <f>F6*(1+(('Tasas XCCY UF vs Camara'!B4/100)*'Cálculo Curva Cero UF'!D6))</f>
        <v>1.0052958333333333</v>
      </c>
      <c r="H6">
        <f t="shared" si="2"/>
        <v>0.99473206477363629</v>
      </c>
      <c r="I6">
        <f t="shared" si="3"/>
        <v>1</v>
      </c>
      <c r="J6" s="4">
        <f t="shared" si="4"/>
        <v>2.0656358015615384E-2</v>
      </c>
      <c r="K6"/>
      <c r="M6" t="s">
        <v>4</v>
      </c>
      <c r="N6">
        <f>(1/12)*3</f>
        <v>0.25</v>
      </c>
      <c r="O6" s="9">
        <f t="shared" si="5"/>
        <v>2.0656358015615384E-2</v>
      </c>
    </row>
    <row r="7" spans="1:15" x14ac:dyDescent="0.35">
      <c r="A7" t="s">
        <v>5</v>
      </c>
      <c r="B7">
        <f>6/12</f>
        <v>0.5</v>
      </c>
      <c r="C7" s="1">
        <f t="shared" si="1"/>
        <v>45571</v>
      </c>
      <c r="D7">
        <f t="shared" si="0"/>
        <v>0.51388888888888884</v>
      </c>
      <c r="E7">
        <f t="shared" si="6"/>
        <v>0.25555555555555548</v>
      </c>
      <c r="F7">
        <v>1</v>
      </c>
      <c r="G7" s="5">
        <f>F7*(1+(('Tasas XCCY UF vs Camara'!B5/100)*'Cálculo Curva Cero UF'!D7))</f>
        <v>1.0116652777777777</v>
      </c>
      <c r="H7">
        <f t="shared" si="2"/>
        <v>0.98846923183584823</v>
      </c>
      <c r="I7">
        <f t="shared" si="3"/>
        <v>1</v>
      </c>
      <c r="J7" s="4">
        <f>+(1/H7)^(1/D7)-1</f>
        <v>2.2825217853303048E-2</v>
      </c>
      <c r="K7"/>
      <c r="M7" t="s">
        <v>5</v>
      </c>
      <c r="N7">
        <f>(1/12)*6</f>
        <v>0.5</v>
      </c>
      <c r="O7" s="9">
        <f t="shared" si="5"/>
        <v>2.2825217853303048E-2</v>
      </c>
    </row>
    <row r="8" spans="1:15" x14ac:dyDescent="0.35">
      <c r="A8" t="s">
        <v>6</v>
      </c>
      <c r="B8">
        <f>9/12</f>
        <v>0.75</v>
      </c>
      <c r="C8" s="1">
        <f t="shared" si="1"/>
        <v>45663</v>
      </c>
      <c r="D8">
        <f t="shared" si="0"/>
        <v>0.76944444444444449</v>
      </c>
      <c r="E8">
        <f t="shared" si="6"/>
        <v>0.25555555555555565</v>
      </c>
      <c r="F8">
        <v>1</v>
      </c>
      <c r="G8" s="5">
        <f>F8*(1+(('Tasas XCCY UF vs Camara'!B6/100)*'Cálculo Curva Cero UF'!D8))</f>
        <v>1.0181588888888888</v>
      </c>
      <c r="H8">
        <f t="shared" si="2"/>
        <v>0.98216497534220271</v>
      </c>
      <c r="I8">
        <f t="shared" si="3"/>
        <v>1</v>
      </c>
      <c r="J8" s="4">
        <f t="shared" si="4"/>
        <v>2.3663935009641479E-2</v>
      </c>
      <c r="K8"/>
      <c r="M8" t="s">
        <v>6</v>
      </c>
      <c r="N8">
        <f>(1/12)*9</f>
        <v>0.75</v>
      </c>
      <c r="O8" s="9">
        <f t="shared" si="5"/>
        <v>2.3663935009641479E-2</v>
      </c>
    </row>
    <row r="9" spans="1:15" x14ac:dyDescent="0.35">
      <c r="A9" t="s">
        <v>7</v>
      </c>
      <c r="B9">
        <v>1</v>
      </c>
      <c r="C9" s="1">
        <f t="shared" si="1"/>
        <v>45753</v>
      </c>
      <c r="D9">
        <f t="shared" si="0"/>
        <v>1.0194444444444444</v>
      </c>
      <c r="E9" s="6">
        <f t="shared" si="6"/>
        <v>0.24999999999999989</v>
      </c>
      <c r="F9">
        <v>1</v>
      </c>
      <c r="G9" s="5">
        <f>F9*(1+(('Tasas XCCY UF vs Camara'!B7/100)*'Cálculo Curva Cero UF'!D9))</f>
        <v>1.0217651388888889</v>
      </c>
      <c r="H9">
        <f t="shared" si="2"/>
        <v>0.9786984914042407</v>
      </c>
      <c r="I9">
        <f t="shared" si="3"/>
        <v>1</v>
      </c>
      <c r="J9" s="4">
        <f t="shared" si="4"/>
        <v>2.1345600801821352E-2</v>
      </c>
      <c r="K9"/>
      <c r="M9" t="s">
        <v>7</v>
      </c>
      <c r="N9">
        <f>1</f>
        <v>1</v>
      </c>
      <c r="O9" s="9">
        <f t="shared" si="5"/>
        <v>2.1345600801821352E-2</v>
      </c>
    </row>
    <row r="10" spans="1:15" x14ac:dyDescent="0.35">
      <c r="A10" t="s">
        <v>8</v>
      </c>
      <c r="B10">
        <v>1.5</v>
      </c>
      <c r="C10" s="1">
        <f t="shared" si="1"/>
        <v>45936</v>
      </c>
      <c r="D10">
        <f t="shared" si="0"/>
        <v>1.5277777777777777</v>
      </c>
      <c r="E10">
        <f t="shared" si="6"/>
        <v>0.5083333333333333</v>
      </c>
      <c r="F10">
        <v>1</v>
      </c>
      <c r="G10" s="5">
        <f>F10*(1+(('Tasas XCCY UF vs Camara'!B8/100)*'Cálculo Curva Cero UF'!D10))</f>
        <v>1.0310138888888889</v>
      </c>
      <c r="H10">
        <f t="shared" si="2"/>
        <v>0.96991903870246388</v>
      </c>
      <c r="I10">
        <f t="shared" si="3"/>
        <v>1</v>
      </c>
      <c r="J10" s="4">
        <f t="shared" si="4"/>
        <v>2.0192739655148007E-2</v>
      </c>
      <c r="K10"/>
      <c r="M10" t="s">
        <v>8</v>
      </c>
      <c r="N10">
        <v>1.5</v>
      </c>
      <c r="O10" s="9">
        <f t="shared" si="5"/>
        <v>2.0192739655148007E-2</v>
      </c>
    </row>
    <row r="11" spans="1:15" x14ac:dyDescent="0.35">
      <c r="A11" s="2"/>
      <c r="B11" s="2"/>
      <c r="C11" s="3"/>
      <c r="M11" s="2" t="s">
        <v>9</v>
      </c>
      <c r="N11" s="2">
        <v>2</v>
      </c>
      <c r="O11" s="9">
        <f>J19</f>
        <v>2.0340224408298635E-2</v>
      </c>
    </row>
    <row r="12" spans="1:15" x14ac:dyDescent="0.35">
      <c r="A12" s="2"/>
      <c r="B12" s="2"/>
      <c r="C12" s="3"/>
      <c r="M12" s="2" t="s">
        <v>10</v>
      </c>
      <c r="N12" s="2">
        <v>3</v>
      </c>
      <c r="O12" s="9">
        <f>J30</f>
        <v>2.0395553966489288E-2</v>
      </c>
    </row>
    <row r="13" spans="1:15" x14ac:dyDescent="0.35">
      <c r="M13" s="2" t="s">
        <v>11</v>
      </c>
      <c r="N13" s="2">
        <v>4</v>
      </c>
      <c r="O13" s="9">
        <f>J43</f>
        <v>2.0605531273894639E-2</v>
      </c>
    </row>
    <row r="14" spans="1:15" x14ac:dyDescent="0.35">
      <c r="B14" t="s">
        <v>34</v>
      </c>
      <c r="C14" t="s">
        <v>35</v>
      </c>
      <c r="M14" s="2" t="s">
        <v>12</v>
      </c>
      <c r="N14" s="2">
        <v>5</v>
      </c>
      <c r="O14" s="9">
        <f>J58</f>
        <v>2.0499936176433087E-2</v>
      </c>
    </row>
    <row r="15" spans="1:15" x14ac:dyDescent="0.35">
      <c r="A15" s="5" t="s">
        <v>36</v>
      </c>
      <c r="B15" t="s">
        <v>38</v>
      </c>
      <c r="C15" t="s">
        <v>37</v>
      </c>
      <c r="D15" t="s">
        <v>25</v>
      </c>
      <c r="E15" t="s">
        <v>41</v>
      </c>
      <c r="F15" t="s">
        <v>40</v>
      </c>
      <c r="G15" s="5" t="s">
        <v>105</v>
      </c>
      <c r="H15" t="s">
        <v>42</v>
      </c>
      <c r="I15" t="s">
        <v>32</v>
      </c>
      <c r="J15" s="4" t="s">
        <v>33</v>
      </c>
      <c r="M15" s="2" t="s">
        <v>13</v>
      </c>
      <c r="N15" s="2">
        <v>6</v>
      </c>
      <c r="O15" s="9">
        <f>J115</f>
        <v>2.0866950223036085E-2</v>
      </c>
    </row>
    <row r="16" spans="1:15" x14ac:dyDescent="0.35">
      <c r="A16">
        <v>0.5</v>
      </c>
      <c r="B16">
        <f>A16</f>
        <v>0.5</v>
      </c>
      <c r="C16" s="1">
        <f>+DATE(YEAR($C$1),MONTH($C$1)+B16*12,DAY($C$1)+2)</f>
        <v>45571</v>
      </c>
      <c r="D16">
        <f>+(C16-$C$1)/360</f>
        <v>0.51388888888888884</v>
      </c>
      <c r="E16" s="6">
        <f>(C16-$C$1)/360</f>
        <v>0.51388888888888884</v>
      </c>
      <c r="F16">
        <v>0</v>
      </c>
      <c r="G16" s="5">
        <f>E16*('Tasas XCCY UF vs Camara'!$C$9/100)</f>
        <v>1.0406249999999999E-2</v>
      </c>
      <c r="H16">
        <v>0.98846923183584823</v>
      </c>
      <c r="I16">
        <f>H16*SUM(F16:G16)</f>
        <v>1.0286257943791795E-2</v>
      </c>
      <c r="J16" s="4">
        <f>+(1/H16)^(1/D16)-1</f>
        <v>2.2825217853303048E-2</v>
      </c>
      <c r="M16" s="2" t="s">
        <v>14</v>
      </c>
      <c r="N16" s="2">
        <v>7</v>
      </c>
      <c r="O16" s="9">
        <f>J94</f>
        <v>2.1033614266791512E-2</v>
      </c>
    </row>
    <row r="17" spans="1:15" x14ac:dyDescent="0.35">
      <c r="A17">
        <v>1</v>
      </c>
      <c r="B17">
        <f t="shared" ref="B17:B19" si="7">A17</f>
        <v>1</v>
      </c>
      <c r="C17" s="1">
        <f t="shared" ref="C17:C19" si="8">+DATE(YEAR($C$1),MONTH($C$1)+B17*12,DAY($C$1)+2)</f>
        <v>45753</v>
      </c>
      <c r="D17">
        <f t="shared" ref="D17:D19" si="9">+(C17-$C$1)/360</f>
        <v>1.0194444444444444</v>
      </c>
      <c r="E17">
        <f>D17-D16</f>
        <v>0.50555555555555554</v>
      </c>
      <c r="F17">
        <v>0</v>
      </c>
      <c r="G17" s="5">
        <f>E17*('Tasas XCCY UF vs Camara'!$C$9/100)</f>
        <v>1.02375E-2</v>
      </c>
      <c r="H17">
        <v>0.9786984914042407</v>
      </c>
      <c r="I17">
        <f t="shared" ref="I17:I19" si="10">H17*SUM(F17:G17)</f>
        <v>1.0019425805750914E-2</v>
      </c>
      <c r="J17" s="4">
        <f t="shared" ref="J17:J18" si="11">+(1/H17)^(1/D17)-1</f>
        <v>2.1345600801821352E-2</v>
      </c>
      <c r="M17" s="2" t="s">
        <v>15</v>
      </c>
      <c r="N17" s="2">
        <v>8</v>
      </c>
      <c r="O17" s="9">
        <f>J115</f>
        <v>2.0866950223036085E-2</v>
      </c>
    </row>
    <row r="18" spans="1:15" x14ac:dyDescent="0.35">
      <c r="A18">
        <v>1.5</v>
      </c>
      <c r="B18">
        <f t="shared" si="7"/>
        <v>1.5</v>
      </c>
      <c r="C18" s="1">
        <f t="shared" si="8"/>
        <v>45936</v>
      </c>
      <c r="D18">
        <f t="shared" si="9"/>
        <v>1.5277777777777777</v>
      </c>
      <c r="E18">
        <f t="shared" ref="E18:E19" si="12">D18-D17</f>
        <v>0.5083333333333333</v>
      </c>
      <c r="F18">
        <v>0</v>
      </c>
      <c r="G18" s="5">
        <f>E18*('Tasas XCCY UF vs Camara'!$C$9/100)</f>
        <v>1.0293749999999999E-2</v>
      </c>
      <c r="H18">
        <v>0.96991903870246388</v>
      </c>
      <c r="I18">
        <f t="shared" si="10"/>
        <v>9.9841041046434872E-3</v>
      </c>
      <c r="J18" s="4">
        <f t="shared" si="11"/>
        <v>2.0192739655148007E-2</v>
      </c>
      <c r="M18" s="2" t="s">
        <v>16</v>
      </c>
      <c r="N18" s="2">
        <v>9</v>
      </c>
      <c r="O18" s="9">
        <f>J138</f>
        <v>2.0645861558836298E-2</v>
      </c>
    </row>
    <row r="19" spans="1:15" x14ac:dyDescent="0.35">
      <c r="A19">
        <v>2</v>
      </c>
      <c r="B19">
        <f t="shared" si="7"/>
        <v>2</v>
      </c>
      <c r="C19" s="1">
        <f t="shared" si="8"/>
        <v>46118</v>
      </c>
      <c r="D19">
        <f t="shared" si="9"/>
        <v>2.0333333333333332</v>
      </c>
      <c r="E19">
        <f t="shared" si="12"/>
        <v>0.50555555555555554</v>
      </c>
      <c r="F19">
        <v>1</v>
      </c>
      <c r="G19" s="5">
        <f>E19*('Tasas XCCY UF vs Camara'!$C$9/100)</f>
        <v>1.02375E-2</v>
      </c>
      <c r="H19" s="2">
        <v>0.95988340577914977</v>
      </c>
      <c r="I19" s="5">
        <f t="shared" si="10"/>
        <v>0.96971021214581377</v>
      </c>
      <c r="J19" s="8">
        <f>+(1/H19)^(1/D19)-1</f>
        <v>2.0340224408298635E-2</v>
      </c>
      <c r="M19" s="2" t="s">
        <v>17</v>
      </c>
      <c r="N19" s="2">
        <v>10</v>
      </c>
      <c r="O19" s="9">
        <f>J163</f>
        <v>2.0369459188657846E-2</v>
      </c>
    </row>
    <row r="20" spans="1:15" x14ac:dyDescent="0.35">
      <c r="I20" s="7">
        <f>SUM(I16:I19)</f>
        <v>1</v>
      </c>
      <c r="M20" s="2" t="s">
        <v>18</v>
      </c>
      <c r="N20" s="2">
        <v>12</v>
      </c>
      <c r="O20" s="9">
        <f>J192</f>
        <v>1.8379966184065566E-2</v>
      </c>
    </row>
    <row r="21" spans="1:15" x14ac:dyDescent="0.35">
      <c r="M21" s="2" t="s">
        <v>19</v>
      </c>
      <c r="N21" s="2">
        <v>15</v>
      </c>
      <c r="O21" s="9">
        <f>J227</f>
        <v>1.8421758414699285E-2</v>
      </c>
    </row>
    <row r="22" spans="1:15" x14ac:dyDescent="0.35">
      <c r="M22" s="2" t="s">
        <v>20</v>
      </c>
      <c r="N22" s="2">
        <v>20</v>
      </c>
      <c r="O22" s="9">
        <f>J272</f>
        <v>1.8465772292683313E-2</v>
      </c>
    </row>
    <row r="23" spans="1:15" x14ac:dyDescent="0.35">
      <c r="B23" t="s">
        <v>44</v>
      </c>
      <c r="C23" t="s">
        <v>35</v>
      </c>
      <c r="M23" s="2" t="s">
        <v>21</v>
      </c>
      <c r="N23" s="2">
        <v>25</v>
      </c>
      <c r="O23" s="9">
        <f>J327</f>
        <v>1.8492174641113968E-2</v>
      </c>
    </row>
    <row r="24" spans="1:15" x14ac:dyDescent="0.35">
      <c r="A24" s="5" t="s">
        <v>36</v>
      </c>
      <c r="B24" t="s">
        <v>38</v>
      </c>
      <c r="C24" t="s">
        <v>37</v>
      </c>
      <c r="D24" t="s">
        <v>25</v>
      </c>
      <c r="E24" t="s">
        <v>41</v>
      </c>
      <c r="F24" t="s">
        <v>40</v>
      </c>
      <c r="G24" s="5" t="s">
        <v>105</v>
      </c>
      <c r="H24" t="s">
        <v>42</v>
      </c>
      <c r="I24" t="s">
        <v>32</v>
      </c>
      <c r="J24" s="4" t="s">
        <v>33</v>
      </c>
      <c r="M24" s="2" t="s">
        <v>22</v>
      </c>
      <c r="N24" s="2">
        <v>30</v>
      </c>
      <c r="O24" s="9">
        <f>J392</f>
        <v>1.8509778996246729E-2</v>
      </c>
    </row>
    <row r="25" spans="1:15" x14ac:dyDescent="0.35">
      <c r="A25">
        <v>0.5</v>
      </c>
      <c r="B25">
        <f>A25</f>
        <v>0.5</v>
      </c>
      <c r="C25" s="1">
        <f>+DATE(YEAR($C$1),MONTH($C$1)+B25*12,DAY($C$1)+2)</f>
        <v>45571</v>
      </c>
      <c r="D25">
        <f>+(C25-$C$1)/360</f>
        <v>0.51388888888888884</v>
      </c>
      <c r="E25" s="6">
        <f>(C25-$C$1)/360</f>
        <v>0.51388888888888884</v>
      </c>
      <c r="F25">
        <v>0</v>
      </c>
      <c r="G25" s="5">
        <f>E25*('Tasas XCCY UF vs Camara'!$C$10/100)</f>
        <v>1.0431944444444443E-2</v>
      </c>
      <c r="H25">
        <v>0.98846923183584823</v>
      </c>
      <c r="I25">
        <f>H25*SUM(F25:G25)</f>
        <v>1.0311656111554244E-2</v>
      </c>
      <c r="J25" s="4">
        <f>+(1/H25)^(1/D25)-1</f>
        <v>2.2825217853303048E-2</v>
      </c>
    </row>
    <row r="26" spans="1:15" x14ac:dyDescent="0.35">
      <c r="A26">
        <v>1</v>
      </c>
      <c r="B26">
        <f t="shared" ref="B26:B30" si="13">A26</f>
        <v>1</v>
      </c>
      <c r="C26" s="1">
        <f t="shared" ref="C26:C30" si="14">+DATE(YEAR($C$1),MONTH($C$1)+B26*12,DAY($C$1)+2)</f>
        <v>45753</v>
      </c>
      <c r="D26">
        <f t="shared" ref="D26:D30" si="15">+(C26-$C$1)/360</f>
        <v>1.0194444444444444</v>
      </c>
      <c r="E26">
        <f>D26-D25</f>
        <v>0.50555555555555554</v>
      </c>
      <c r="F26">
        <v>0</v>
      </c>
      <c r="G26" s="5">
        <f>E26*('Tasas XCCY UF vs Camara'!$C$10/100)</f>
        <v>1.0262777777777777E-2</v>
      </c>
      <c r="H26">
        <v>0.9786984914042407</v>
      </c>
      <c r="I26">
        <f t="shared" ref="I26:I30" si="16">H26*SUM(F26:G26)</f>
        <v>1.0044165128728076E-2</v>
      </c>
      <c r="J26" s="4">
        <f t="shared" ref="J26:J30" si="17">+(1/H26)^(1/D26)-1</f>
        <v>2.1345600801821352E-2</v>
      </c>
    </row>
    <row r="27" spans="1:15" x14ac:dyDescent="0.35">
      <c r="A27">
        <v>1.5</v>
      </c>
      <c r="B27">
        <f t="shared" si="13"/>
        <v>1.5</v>
      </c>
      <c r="C27" s="1">
        <f t="shared" si="14"/>
        <v>45936</v>
      </c>
      <c r="D27">
        <f t="shared" si="15"/>
        <v>1.5277777777777777</v>
      </c>
      <c r="E27">
        <f t="shared" ref="E27:E30" si="18">D27-D26</f>
        <v>0.5083333333333333</v>
      </c>
      <c r="F27">
        <v>0</v>
      </c>
      <c r="G27" s="5">
        <f>E27*('Tasas XCCY UF vs Camara'!$C$10/100)</f>
        <v>1.0319166666666666E-2</v>
      </c>
      <c r="H27">
        <v>0.96991903870246388</v>
      </c>
      <c r="I27">
        <f t="shared" si="16"/>
        <v>1.0008756213543841E-2</v>
      </c>
      <c r="J27" s="4">
        <f t="shared" si="17"/>
        <v>2.0192739655148007E-2</v>
      </c>
    </row>
    <row r="28" spans="1:15" x14ac:dyDescent="0.35">
      <c r="A28">
        <v>2</v>
      </c>
      <c r="B28">
        <f t="shared" si="13"/>
        <v>2</v>
      </c>
      <c r="C28" s="1">
        <f t="shared" si="14"/>
        <v>46118</v>
      </c>
      <c r="D28">
        <f t="shared" si="15"/>
        <v>2.0333333333333332</v>
      </c>
      <c r="E28">
        <f t="shared" si="18"/>
        <v>0.50555555555555554</v>
      </c>
      <c r="F28">
        <v>0</v>
      </c>
      <c r="G28" s="5">
        <f>E28*('Tasas XCCY UF vs Camara'!$C$10/100)</f>
        <v>1.0262777777777777E-2</v>
      </c>
      <c r="H28">
        <v>0.95988340577914977</v>
      </c>
      <c r="I28">
        <f t="shared" si="16"/>
        <v>9.8510700860879076E-3</v>
      </c>
      <c r="J28" s="4">
        <f t="shared" si="17"/>
        <v>2.0340224408298635E-2</v>
      </c>
    </row>
    <row r="29" spans="1:15" x14ac:dyDescent="0.35">
      <c r="A29">
        <v>2.5</v>
      </c>
      <c r="B29">
        <f t="shared" si="13"/>
        <v>2.5</v>
      </c>
      <c r="C29" s="1">
        <f t="shared" si="14"/>
        <v>46301</v>
      </c>
      <c r="D29">
        <f t="shared" si="15"/>
        <v>2.5416666666666665</v>
      </c>
      <c r="E29">
        <f t="shared" si="18"/>
        <v>0.5083333333333333</v>
      </c>
      <c r="F29">
        <v>0</v>
      </c>
      <c r="G29" s="5">
        <f>E29*('Tasas XCCY UF vs Camara'!$C$10/100)</f>
        <v>1.0319166666666666E-2</v>
      </c>
      <c r="H29" s="5">
        <f>+((H30-H28)/(D30-D28))*(D29-D28)+H28</f>
        <v>0.95007987870123201</v>
      </c>
      <c r="I29">
        <f t="shared" si="16"/>
        <v>9.804032614964462E-3</v>
      </c>
      <c r="J29" s="4">
        <f t="shared" si="17"/>
        <v>2.0352226617283087E-2</v>
      </c>
    </row>
    <row r="30" spans="1:15" x14ac:dyDescent="0.35">
      <c r="A30">
        <v>3</v>
      </c>
      <c r="B30">
        <f t="shared" si="13"/>
        <v>3</v>
      </c>
      <c r="C30" s="1">
        <f t="shared" si="14"/>
        <v>46483</v>
      </c>
      <c r="D30">
        <f t="shared" si="15"/>
        <v>3.0472222222222221</v>
      </c>
      <c r="E30">
        <f t="shared" si="18"/>
        <v>0.50555555555555554</v>
      </c>
      <c r="F30">
        <v>1</v>
      </c>
      <c r="G30" s="5">
        <f>E30*('Tasas XCCY UF vs Camara'!$C$10/100)</f>
        <v>1.0262777777777777E-2</v>
      </c>
      <c r="H30" s="2">
        <v>0.94032992280953231</v>
      </c>
      <c r="I30">
        <f t="shared" si="16"/>
        <v>0.94998031984512143</v>
      </c>
      <c r="J30" s="8">
        <f t="shared" si="17"/>
        <v>2.0395553966489288E-2</v>
      </c>
    </row>
    <row r="31" spans="1:15" x14ac:dyDescent="0.35">
      <c r="I31" s="7">
        <f>SUM(I25:I30)</f>
        <v>1</v>
      </c>
    </row>
    <row r="34" spans="1:10" x14ac:dyDescent="0.35">
      <c r="B34" t="s">
        <v>45</v>
      </c>
      <c r="C34" t="s">
        <v>35</v>
      </c>
    </row>
    <row r="35" spans="1:10" x14ac:dyDescent="0.35">
      <c r="A35" s="5" t="s">
        <v>36</v>
      </c>
      <c r="B35" t="s">
        <v>38</v>
      </c>
      <c r="C35" t="s">
        <v>37</v>
      </c>
      <c r="D35" t="s">
        <v>25</v>
      </c>
      <c r="E35" t="s">
        <v>41</v>
      </c>
      <c r="F35" t="s">
        <v>40</v>
      </c>
      <c r="G35" s="5" t="s">
        <v>105</v>
      </c>
      <c r="H35" t="s">
        <v>42</v>
      </c>
      <c r="I35" t="s">
        <v>32</v>
      </c>
      <c r="J35" s="4" t="s">
        <v>33</v>
      </c>
    </row>
    <row r="36" spans="1:10" x14ac:dyDescent="0.35">
      <c r="A36">
        <v>0.5</v>
      </c>
      <c r="B36">
        <f>A36</f>
        <v>0.5</v>
      </c>
      <c r="C36" s="1">
        <f>+DATE(YEAR($C$1),MONTH($C$1)+B36*12,DAY($C$1)+2)</f>
        <v>45571</v>
      </c>
      <c r="D36">
        <f>+(C36-$C$1)/360</f>
        <v>0.51388888888888884</v>
      </c>
      <c r="E36" s="6">
        <f>(C36-$C$1)/360</f>
        <v>0.51388888888888884</v>
      </c>
      <c r="F36">
        <v>0</v>
      </c>
      <c r="G36" s="5">
        <f>E36*('Tasas XCCY UF vs Camara'!$C$11/100)</f>
        <v>1.053472222222222E-2</v>
      </c>
      <c r="H36">
        <v>0.98846923183584823</v>
      </c>
      <c r="I36">
        <f>H36*SUM(F36:G36)</f>
        <v>1.0413248782604037E-2</v>
      </c>
      <c r="J36" s="4">
        <f>+(1/H36)^(1/D36)-1</f>
        <v>2.2825217853303048E-2</v>
      </c>
    </row>
    <row r="37" spans="1:10" x14ac:dyDescent="0.35">
      <c r="A37">
        <v>1</v>
      </c>
      <c r="B37">
        <f t="shared" ref="B37:B43" si="19">A37</f>
        <v>1</v>
      </c>
      <c r="C37" s="1">
        <f t="shared" ref="C37:C43" si="20">+DATE(YEAR($C$1),MONTH($C$1)+B37*12,DAY($C$1)+2)</f>
        <v>45753</v>
      </c>
      <c r="D37">
        <f t="shared" ref="D37:D43" si="21">+(C37-$C$1)/360</f>
        <v>1.0194444444444444</v>
      </c>
      <c r="E37">
        <f>D37-D36</f>
        <v>0.50555555555555554</v>
      </c>
      <c r="F37">
        <v>0</v>
      </c>
      <c r="G37" s="5">
        <f>E37*('Tasas XCCY UF vs Camara'!$C$11/100)</f>
        <v>1.0363888888888888E-2</v>
      </c>
      <c r="H37">
        <v>0.9786984914042407</v>
      </c>
      <c r="I37">
        <f t="shared" ref="I37:I43" si="22">H37*SUM(F37:G37)</f>
        <v>1.0143122420636726E-2</v>
      </c>
      <c r="J37" s="4">
        <f t="shared" ref="J37:J43" si="23">+(1/H37)^(1/D37)-1</f>
        <v>2.1345600801821352E-2</v>
      </c>
    </row>
    <row r="38" spans="1:10" x14ac:dyDescent="0.35">
      <c r="A38">
        <v>1.5</v>
      </c>
      <c r="B38">
        <f t="shared" si="19"/>
        <v>1.5</v>
      </c>
      <c r="C38" s="1">
        <f t="shared" si="20"/>
        <v>45936</v>
      </c>
      <c r="D38">
        <f t="shared" si="21"/>
        <v>1.5277777777777777</v>
      </c>
      <c r="E38">
        <f t="shared" ref="E38:E43" si="24">D38-D37</f>
        <v>0.5083333333333333</v>
      </c>
      <c r="F38">
        <v>0</v>
      </c>
      <c r="G38" s="5">
        <f>E38*('Tasas XCCY UF vs Camara'!$C$11/100)</f>
        <v>1.0420833333333331E-2</v>
      </c>
      <c r="H38">
        <v>0.96991903870246388</v>
      </c>
      <c r="I38">
        <f t="shared" si="22"/>
        <v>1.0107364649145256E-2</v>
      </c>
      <c r="J38" s="4">
        <f t="shared" si="23"/>
        <v>2.0192739655148007E-2</v>
      </c>
    </row>
    <row r="39" spans="1:10" x14ac:dyDescent="0.35">
      <c r="A39">
        <v>2</v>
      </c>
      <c r="B39">
        <f t="shared" si="19"/>
        <v>2</v>
      </c>
      <c r="C39" s="1">
        <f t="shared" si="20"/>
        <v>46118</v>
      </c>
      <c r="D39">
        <f t="shared" si="21"/>
        <v>2.0333333333333332</v>
      </c>
      <c r="E39">
        <f t="shared" si="24"/>
        <v>0.50555555555555554</v>
      </c>
      <c r="F39">
        <v>0</v>
      </c>
      <c r="G39" s="5">
        <f>E39*('Tasas XCCY UF vs Camara'!$C$11/100)</f>
        <v>1.0363888888888888E-2</v>
      </c>
      <c r="H39">
        <v>0.95988340577914977</v>
      </c>
      <c r="I39">
        <f t="shared" si="22"/>
        <v>9.9481249637833544E-3</v>
      </c>
      <c r="J39" s="4">
        <f t="shared" si="23"/>
        <v>2.0340224408298635E-2</v>
      </c>
    </row>
    <row r="40" spans="1:10" x14ac:dyDescent="0.35">
      <c r="A40">
        <v>2.5</v>
      </c>
      <c r="B40">
        <f t="shared" si="19"/>
        <v>2.5</v>
      </c>
      <c r="C40" s="1">
        <f t="shared" si="20"/>
        <v>46301</v>
      </c>
      <c r="D40">
        <f t="shared" si="21"/>
        <v>2.5416666666666665</v>
      </c>
      <c r="E40">
        <f t="shared" si="24"/>
        <v>0.5083333333333333</v>
      </c>
      <c r="F40">
        <v>0</v>
      </c>
      <c r="G40" s="5">
        <f>E40*('Tasas XCCY UF vs Camara'!$C$11/100)</f>
        <v>1.0420833333333331E-2</v>
      </c>
      <c r="H40">
        <v>0.95007987870123201</v>
      </c>
      <c r="I40">
        <f t="shared" si="22"/>
        <v>9.9006240692990858E-3</v>
      </c>
      <c r="J40" s="4">
        <f t="shared" si="23"/>
        <v>2.0352226617283087E-2</v>
      </c>
    </row>
    <row r="41" spans="1:10" x14ac:dyDescent="0.35">
      <c r="A41">
        <v>3</v>
      </c>
      <c r="B41">
        <f t="shared" si="19"/>
        <v>3</v>
      </c>
      <c r="C41" s="1">
        <f t="shared" si="20"/>
        <v>46483</v>
      </c>
      <c r="D41">
        <f t="shared" si="21"/>
        <v>3.0472222222222221</v>
      </c>
      <c r="E41">
        <f t="shared" si="24"/>
        <v>0.50555555555555554</v>
      </c>
      <c r="F41">
        <v>0</v>
      </c>
      <c r="G41" s="5">
        <f>E41*('Tasas XCCY UF vs Camara'!$C$11/100)</f>
        <v>1.0363888888888888E-2</v>
      </c>
      <c r="H41">
        <v>0.94032992280953231</v>
      </c>
      <c r="I41">
        <f t="shared" si="22"/>
        <v>9.7454748388954571E-3</v>
      </c>
      <c r="J41" s="4">
        <f t="shared" si="23"/>
        <v>2.0395553966489288E-2</v>
      </c>
    </row>
    <row r="42" spans="1:10" x14ac:dyDescent="0.35">
      <c r="A42">
        <v>3.5</v>
      </c>
      <c r="B42">
        <f t="shared" si="19"/>
        <v>3.5</v>
      </c>
      <c r="C42" s="1">
        <f t="shared" si="20"/>
        <v>46666</v>
      </c>
      <c r="D42">
        <f t="shared" si="21"/>
        <v>3.5555555555555554</v>
      </c>
      <c r="E42">
        <f t="shared" si="24"/>
        <v>0.5083333333333333</v>
      </c>
      <c r="F42">
        <v>0</v>
      </c>
      <c r="G42" s="5">
        <f>E42*('Tasas XCCY UF vs Camara'!$C$11/100)</f>
        <v>1.0420833333333331E-2</v>
      </c>
      <c r="H42">
        <f>+((H43-H41)/(D43-D41))*(D42-D41)+H41</f>
        <v>0.93039229764203935</v>
      </c>
      <c r="I42">
        <f t="shared" si="22"/>
        <v>9.6954630683447496E-3</v>
      </c>
      <c r="J42" s="4">
        <f t="shared" si="23"/>
        <v>2.0499174117375452E-2</v>
      </c>
    </row>
    <row r="43" spans="1:10" x14ac:dyDescent="0.35">
      <c r="A43">
        <v>4</v>
      </c>
      <c r="B43">
        <f t="shared" si="19"/>
        <v>4</v>
      </c>
      <c r="C43" s="1">
        <f t="shared" si="20"/>
        <v>46849</v>
      </c>
      <c r="D43">
        <f t="shared" si="21"/>
        <v>4.0638888888888891</v>
      </c>
      <c r="E43">
        <f t="shared" si="24"/>
        <v>0.50833333333333375</v>
      </c>
      <c r="F43">
        <v>1</v>
      </c>
      <c r="G43" s="5">
        <f>E43*('Tasas XCCY UF vs Camara'!$C$11/100)</f>
        <v>1.0420833333333341E-2</v>
      </c>
      <c r="H43" s="2">
        <v>0.92045467247454626</v>
      </c>
      <c r="I43">
        <f t="shared" si="22"/>
        <v>0.93004657720729145</v>
      </c>
      <c r="J43" s="8">
        <f t="shared" si="23"/>
        <v>2.0605531273894639E-2</v>
      </c>
    </row>
    <row r="44" spans="1:10" x14ac:dyDescent="0.35">
      <c r="I44" s="10">
        <f>SUM(I36:I43)</f>
        <v>1</v>
      </c>
    </row>
    <row r="47" spans="1:10" x14ac:dyDescent="0.35">
      <c r="B47" t="s">
        <v>46</v>
      </c>
      <c r="C47" t="s">
        <v>35</v>
      </c>
    </row>
    <row r="48" spans="1:10" x14ac:dyDescent="0.35">
      <c r="A48" s="5" t="s">
        <v>36</v>
      </c>
      <c r="B48" t="s">
        <v>38</v>
      </c>
      <c r="C48" t="s">
        <v>37</v>
      </c>
      <c r="D48" t="s">
        <v>25</v>
      </c>
      <c r="E48" t="s">
        <v>41</v>
      </c>
      <c r="F48" t="s">
        <v>40</v>
      </c>
      <c r="G48" s="5" t="s">
        <v>105</v>
      </c>
      <c r="H48" t="s">
        <v>42</v>
      </c>
      <c r="I48" t="s">
        <v>32</v>
      </c>
      <c r="J48" s="4" t="s">
        <v>33</v>
      </c>
    </row>
    <row r="49" spans="1:10" x14ac:dyDescent="0.35">
      <c r="A49">
        <v>0.5</v>
      </c>
      <c r="B49">
        <f>A49</f>
        <v>0.5</v>
      </c>
      <c r="C49" s="1">
        <f>+DATE(YEAR($C$1),MONTH($C$1)+B49*12,DAY($C$1)+2)</f>
        <v>45571</v>
      </c>
      <c r="D49">
        <f>+(C49-$C$1)/360</f>
        <v>0.51388888888888884</v>
      </c>
      <c r="E49" s="6">
        <f>(C49-$C$1)/360</f>
        <v>0.51388888888888884</v>
      </c>
      <c r="F49">
        <v>0</v>
      </c>
      <c r="G49" s="5">
        <f>E49*('Tasas XCCY UF vs Camara'!$C$12/100)</f>
        <v>1.0483333333333332E-2</v>
      </c>
      <c r="H49">
        <v>0.98846923183584823</v>
      </c>
      <c r="I49">
        <f>H49*SUM(F49:G49)</f>
        <v>1.036245244707914E-2</v>
      </c>
      <c r="J49" s="4">
        <f>+(1/H49)^(1/D49)-1</f>
        <v>2.2825217853303048E-2</v>
      </c>
    </row>
    <row r="50" spans="1:10" x14ac:dyDescent="0.35">
      <c r="A50">
        <v>1</v>
      </c>
      <c r="B50">
        <f t="shared" ref="B50:B58" si="25">A50</f>
        <v>1</v>
      </c>
      <c r="C50" s="1">
        <f t="shared" ref="C50:C58" si="26">+DATE(YEAR($C$1),MONTH($C$1)+B50*12,DAY($C$1)+2)</f>
        <v>45753</v>
      </c>
      <c r="D50">
        <f t="shared" ref="D50:D58" si="27">+(C50-$C$1)/360</f>
        <v>1.0194444444444444</v>
      </c>
      <c r="E50">
        <f>D50-D49</f>
        <v>0.50555555555555554</v>
      </c>
      <c r="F50">
        <v>0</v>
      </c>
      <c r="G50" s="5">
        <f>E50*('Tasas XCCY UF vs Camara'!$C$12/100)</f>
        <v>1.0313333333333334E-2</v>
      </c>
      <c r="H50">
        <v>0.9786984914042407</v>
      </c>
      <c r="I50">
        <f t="shared" ref="I50:I58" si="28">H50*SUM(F50:G50)</f>
        <v>1.0093643774682403E-2</v>
      </c>
      <c r="J50" s="4">
        <f t="shared" ref="J50:J58" si="29">+(1/H50)^(1/D50)-1</f>
        <v>2.1345600801821352E-2</v>
      </c>
    </row>
    <row r="51" spans="1:10" x14ac:dyDescent="0.35">
      <c r="A51">
        <v>1.5</v>
      </c>
      <c r="B51">
        <f t="shared" si="25"/>
        <v>1.5</v>
      </c>
      <c r="C51" s="1">
        <f t="shared" si="26"/>
        <v>45936</v>
      </c>
      <c r="D51">
        <f t="shared" si="27"/>
        <v>1.5277777777777777</v>
      </c>
      <c r="E51">
        <f t="shared" ref="E51:E58" si="30">D51-D50</f>
        <v>0.5083333333333333</v>
      </c>
      <c r="F51">
        <v>0</v>
      </c>
      <c r="G51" s="5">
        <f>E51*('Tasas XCCY UF vs Camara'!$C$12/100)</f>
        <v>1.0370000000000001E-2</v>
      </c>
      <c r="H51">
        <v>0.96991903870246388</v>
      </c>
      <c r="I51">
        <f t="shared" si="28"/>
        <v>1.0058060431344551E-2</v>
      </c>
      <c r="J51" s="4">
        <f t="shared" si="29"/>
        <v>2.0192739655148007E-2</v>
      </c>
    </row>
    <row r="52" spans="1:10" x14ac:dyDescent="0.35">
      <c r="A52">
        <v>2</v>
      </c>
      <c r="B52">
        <f t="shared" si="25"/>
        <v>2</v>
      </c>
      <c r="C52" s="1">
        <f t="shared" si="26"/>
        <v>46118</v>
      </c>
      <c r="D52">
        <f t="shared" si="27"/>
        <v>2.0333333333333332</v>
      </c>
      <c r="E52">
        <f t="shared" si="30"/>
        <v>0.50555555555555554</v>
      </c>
      <c r="F52">
        <v>0</v>
      </c>
      <c r="G52" s="5">
        <f>E52*('Tasas XCCY UF vs Camara'!$C$12/100)</f>
        <v>1.0313333333333334E-2</v>
      </c>
      <c r="H52">
        <v>0.95988340577914977</v>
      </c>
      <c r="I52">
        <f t="shared" si="28"/>
        <v>9.8995975249356327E-3</v>
      </c>
      <c r="J52" s="4">
        <f t="shared" si="29"/>
        <v>2.0340224408298635E-2</v>
      </c>
    </row>
    <row r="53" spans="1:10" x14ac:dyDescent="0.35">
      <c r="A53">
        <v>2.5</v>
      </c>
      <c r="B53">
        <f t="shared" si="25"/>
        <v>2.5</v>
      </c>
      <c r="C53" s="1">
        <f t="shared" si="26"/>
        <v>46301</v>
      </c>
      <c r="D53">
        <f t="shared" si="27"/>
        <v>2.5416666666666665</v>
      </c>
      <c r="E53">
        <f t="shared" si="30"/>
        <v>0.5083333333333333</v>
      </c>
      <c r="F53">
        <v>0</v>
      </c>
      <c r="G53" s="5">
        <f>E53*('Tasas XCCY UF vs Camara'!$C$12/100)</f>
        <v>1.0370000000000001E-2</v>
      </c>
      <c r="H53">
        <v>0.95007987870123201</v>
      </c>
      <c r="I53">
        <f t="shared" si="28"/>
        <v>9.8523283421317765E-3</v>
      </c>
      <c r="J53" s="4">
        <f t="shared" si="29"/>
        <v>2.0352226617283087E-2</v>
      </c>
    </row>
    <row r="54" spans="1:10" x14ac:dyDescent="0.35">
      <c r="A54">
        <v>3</v>
      </c>
      <c r="B54">
        <f t="shared" si="25"/>
        <v>3</v>
      </c>
      <c r="C54" s="1">
        <f t="shared" si="26"/>
        <v>46483</v>
      </c>
      <c r="D54">
        <f t="shared" si="27"/>
        <v>3.0472222222222221</v>
      </c>
      <c r="E54">
        <f t="shared" si="30"/>
        <v>0.50555555555555554</v>
      </c>
      <c r="F54">
        <v>0</v>
      </c>
      <c r="G54" s="5">
        <f>E54*('Tasas XCCY UF vs Camara'!$C$12/100)</f>
        <v>1.0313333333333334E-2</v>
      </c>
      <c r="H54">
        <v>0.94032992280953231</v>
      </c>
      <c r="I54">
        <f t="shared" si="28"/>
        <v>9.6979359372423111E-3</v>
      </c>
      <c r="J54" s="4">
        <f t="shared" si="29"/>
        <v>2.0395553966489288E-2</v>
      </c>
    </row>
    <row r="55" spans="1:10" x14ac:dyDescent="0.35">
      <c r="A55">
        <v>3.5</v>
      </c>
      <c r="B55">
        <f t="shared" si="25"/>
        <v>3.5</v>
      </c>
      <c r="C55" s="1">
        <f t="shared" si="26"/>
        <v>46666</v>
      </c>
      <c r="D55">
        <f t="shared" si="27"/>
        <v>3.5555555555555554</v>
      </c>
      <c r="E55">
        <f t="shared" si="30"/>
        <v>0.5083333333333333</v>
      </c>
      <c r="F55">
        <v>0</v>
      </c>
      <c r="G55" s="5">
        <f>E55*('Tasas XCCY UF vs Camara'!$C$12/100)</f>
        <v>1.0370000000000001E-2</v>
      </c>
      <c r="H55">
        <v>0.93039229764203935</v>
      </c>
      <c r="I55">
        <f t="shared" si="28"/>
        <v>9.6481681265479478E-3</v>
      </c>
      <c r="J55" s="4">
        <f t="shared" si="29"/>
        <v>2.0499174117375452E-2</v>
      </c>
    </row>
    <row r="56" spans="1:10" x14ac:dyDescent="0.35">
      <c r="A56">
        <v>4</v>
      </c>
      <c r="B56">
        <f t="shared" si="25"/>
        <v>4</v>
      </c>
      <c r="C56" s="1">
        <f t="shared" si="26"/>
        <v>46849</v>
      </c>
      <c r="D56">
        <f t="shared" si="27"/>
        <v>4.0638888888888891</v>
      </c>
      <c r="E56">
        <f t="shared" si="30"/>
        <v>0.50833333333333375</v>
      </c>
      <c r="F56">
        <v>0</v>
      </c>
      <c r="G56" s="5">
        <f>E56*('Tasas XCCY UF vs Camara'!$C$12/100)</f>
        <v>1.0370000000000009E-2</v>
      </c>
      <c r="H56">
        <v>0.92045467247454626</v>
      </c>
      <c r="I56">
        <f t="shared" si="28"/>
        <v>9.5451149535610534E-3</v>
      </c>
      <c r="J56" s="4">
        <f t="shared" si="29"/>
        <v>2.0605531273894639E-2</v>
      </c>
    </row>
    <row r="57" spans="1:10" x14ac:dyDescent="0.35">
      <c r="A57" s="5">
        <v>4.5</v>
      </c>
      <c r="B57">
        <f t="shared" si="25"/>
        <v>4.5</v>
      </c>
      <c r="C57" s="1">
        <f t="shared" si="26"/>
        <v>47032</v>
      </c>
      <c r="D57">
        <f t="shared" si="27"/>
        <v>4.572222222222222</v>
      </c>
      <c r="E57">
        <f t="shared" si="30"/>
        <v>0.50833333333333286</v>
      </c>
      <c r="F57">
        <v>0</v>
      </c>
      <c r="G57" s="5">
        <f>E57*('Tasas XCCY UF vs Camara'!$C$12/100)</f>
        <v>1.036999999999999E-2</v>
      </c>
      <c r="H57">
        <f>+((H58-H56)/(D58-D56))*(D57-D56)+H56</f>
        <v>0.91124693740504237</v>
      </c>
      <c r="I57">
        <f t="shared" si="28"/>
        <v>9.4496307408902802E-3</v>
      </c>
      <c r="J57" s="4">
        <f t="shared" si="29"/>
        <v>2.053540116053898E-2</v>
      </c>
    </row>
    <row r="58" spans="1:10" x14ac:dyDescent="0.35">
      <c r="A58">
        <v>5</v>
      </c>
      <c r="B58">
        <f t="shared" si="25"/>
        <v>5</v>
      </c>
      <c r="C58" s="1">
        <f t="shared" si="26"/>
        <v>47214</v>
      </c>
      <c r="D58">
        <f t="shared" si="27"/>
        <v>5.0777777777777775</v>
      </c>
      <c r="E58">
        <f t="shared" si="30"/>
        <v>0.50555555555555554</v>
      </c>
      <c r="F58">
        <v>1</v>
      </c>
      <c r="G58" s="5">
        <f>E58*('Tasas XCCY UF vs Camara'!$C$12/100)</f>
        <v>1.0313333333333334E-2</v>
      </c>
      <c r="H58" s="2">
        <v>0.90208951782772151</v>
      </c>
      <c r="I58">
        <f t="shared" si="28"/>
        <v>0.91139306772158479</v>
      </c>
      <c r="J58" s="8">
        <f t="shared" si="29"/>
        <v>2.0499936176433087E-2</v>
      </c>
    </row>
    <row r="59" spans="1:10" x14ac:dyDescent="0.35">
      <c r="I59" s="10">
        <f>SUM(I49:I58)</f>
        <v>0.99999999999999989</v>
      </c>
    </row>
    <row r="62" spans="1:10" x14ac:dyDescent="0.35">
      <c r="B62" t="s">
        <v>47</v>
      </c>
      <c r="C62" t="s">
        <v>35</v>
      </c>
    </row>
    <row r="63" spans="1:10" x14ac:dyDescent="0.35">
      <c r="A63" s="5" t="s">
        <v>36</v>
      </c>
      <c r="B63" t="s">
        <v>38</v>
      </c>
      <c r="C63" t="s">
        <v>37</v>
      </c>
      <c r="D63" t="s">
        <v>25</v>
      </c>
      <c r="E63" t="s">
        <v>41</v>
      </c>
      <c r="F63" t="s">
        <v>40</v>
      </c>
      <c r="G63" s="5" t="s">
        <v>105</v>
      </c>
      <c r="H63" t="s">
        <v>42</v>
      </c>
      <c r="I63" t="s">
        <v>32</v>
      </c>
      <c r="J63" s="4" t="s">
        <v>33</v>
      </c>
    </row>
    <row r="64" spans="1:10" x14ac:dyDescent="0.35">
      <c r="A64">
        <v>0.5</v>
      </c>
      <c r="B64">
        <f>A64</f>
        <v>0.5</v>
      </c>
      <c r="C64" s="1">
        <f>+DATE(YEAR($C$1),MONTH($C$1)+B64*12,DAY($C$1)+2)</f>
        <v>45571</v>
      </c>
      <c r="D64">
        <f>+(C64-$C$1)/360</f>
        <v>0.51388888888888884</v>
      </c>
      <c r="E64" s="6">
        <f>(C64-$C$1)/360</f>
        <v>0.51388888888888884</v>
      </c>
      <c r="F64">
        <v>0</v>
      </c>
      <c r="G64" s="5">
        <f>E64*('Tasas XCCY UF vs Camara'!$C$13/100)</f>
        <v>1.0637499999999999E-2</v>
      </c>
      <c r="H64">
        <v>0.98846923183584823</v>
      </c>
      <c r="I64">
        <f>H64*SUM(F64:G64)</f>
        <v>1.0514841453653835E-2</v>
      </c>
      <c r="J64" s="4">
        <f>+(1/H64)^(1/D64)-1</f>
        <v>2.2825217853303048E-2</v>
      </c>
    </row>
    <row r="65" spans="1:10" x14ac:dyDescent="0.35">
      <c r="A65">
        <v>1</v>
      </c>
      <c r="B65">
        <f t="shared" ref="B65:B75" si="31">A65</f>
        <v>1</v>
      </c>
      <c r="C65" s="1">
        <f t="shared" ref="C65:C75" si="32">+DATE(YEAR($C$1),MONTH($C$1)+B65*12,DAY($C$1)+2)</f>
        <v>45753</v>
      </c>
      <c r="D65">
        <f t="shared" ref="D65:D75" si="33">+(C65-$C$1)/360</f>
        <v>1.0194444444444444</v>
      </c>
      <c r="E65">
        <f>D65-D64</f>
        <v>0.50555555555555554</v>
      </c>
      <c r="F65">
        <v>0</v>
      </c>
      <c r="G65" s="5">
        <f>E65*('Tasas XCCY UF vs Camara'!$C$13/100)</f>
        <v>1.0464999999999999E-2</v>
      </c>
      <c r="H65">
        <v>0.9786984914042407</v>
      </c>
      <c r="I65">
        <f t="shared" ref="I65" si="34">H65*SUM(F65:G65)</f>
        <v>1.0242079712545378E-2</v>
      </c>
      <c r="J65" s="4">
        <f t="shared" ref="J65:J75" si="35">+(1/H65)^(1/D65)-1</f>
        <v>2.1345600801821352E-2</v>
      </c>
    </row>
    <row r="66" spans="1:10" x14ac:dyDescent="0.35">
      <c r="A66">
        <v>1.5</v>
      </c>
      <c r="B66">
        <f t="shared" si="31"/>
        <v>1.5</v>
      </c>
      <c r="C66" s="1">
        <f t="shared" si="32"/>
        <v>45936</v>
      </c>
      <c r="D66">
        <f t="shared" si="33"/>
        <v>1.5277777777777777</v>
      </c>
      <c r="E66">
        <f t="shared" ref="E66:E75" si="36">D66-D65</f>
        <v>0.5083333333333333</v>
      </c>
      <c r="F66">
        <v>0</v>
      </c>
      <c r="G66" s="5">
        <f>E66*('Tasas XCCY UF vs Camara'!$C$13/100)</f>
        <v>1.0522499999999999E-2</v>
      </c>
      <c r="H66">
        <v>0.96991903870246388</v>
      </c>
      <c r="I66">
        <f t="shared" ref="I66:I75" si="37">H66*SUM(F66:G66)</f>
        <v>1.0205973084746675E-2</v>
      </c>
      <c r="J66" s="4">
        <f t="shared" si="35"/>
        <v>2.0192739655148007E-2</v>
      </c>
    </row>
    <row r="67" spans="1:10" x14ac:dyDescent="0.35">
      <c r="A67">
        <v>2</v>
      </c>
      <c r="B67">
        <f t="shared" si="31"/>
        <v>2</v>
      </c>
      <c r="C67" s="1">
        <f t="shared" si="32"/>
        <v>46118</v>
      </c>
      <c r="D67">
        <f t="shared" si="33"/>
        <v>2.0333333333333332</v>
      </c>
      <c r="E67">
        <f t="shared" si="36"/>
        <v>0.50555555555555554</v>
      </c>
      <c r="F67">
        <v>0</v>
      </c>
      <c r="G67" s="5">
        <f>E67*('Tasas XCCY UF vs Camara'!$C$13/100)</f>
        <v>1.0464999999999999E-2</v>
      </c>
      <c r="H67">
        <v>0.95988340577914977</v>
      </c>
      <c r="I67">
        <f t="shared" si="37"/>
        <v>1.0045179841478801E-2</v>
      </c>
      <c r="J67" s="4">
        <f t="shared" si="35"/>
        <v>2.0340224408298635E-2</v>
      </c>
    </row>
    <row r="68" spans="1:10" x14ac:dyDescent="0.35">
      <c r="A68">
        <v>2.5</v>
      </c>
      <c r="B68">
        <f t="shared" si="31"/>
        <v>2.5</v>
      </c>
      <c r="C68" s="1">
        <f t="shared" si="32"/>
        <v>46301</v>
      </c>
      <c r="D68">
        <f t="shared" si="33"/>
        <v>2.5416666666666665</v>
      </c>
      <c r="E68">
        <f t="shared" si="36"/>
        <v>0.5083333333333333</v>
      </c>
      <c r="F68">
        <v>0</v>
      </c>
      <c r="G68" s="5">
        <f>E68*('Tasas XCCY UF vs Camara'!$C$13/100)</f>
        <v>1.0522499999999999E-2</v>
      </c>
      <c r="H68">
        <v>0.95007987870123201</v>
      </c>
      <c r="I68">
        <f t="shared" si="37"/>
        <v>9.997215523633713E-3</v>
      </c>
      <c r="J68" s="4">
        <f t="shared" si="35"/>
        <v>2.0352226617283087E-2</v>
      </c>
    </row>
    <row r="69" spans="1:10" x14ac:dyDescent="0.35">
      <c r="A69">
        <v>3</v>
      </c>
      <c r="B69">
        <f t="shared" si="31"/>
        <v>3</v>
      </c>
      <c r="C69" s="1">
        <f t="shared" si="32"/>
        <v>46483</v>
      </c>
      <c r="D69">
        <f t="shared" si="33"/>
        <v>3.0472222222222221</v>
      </c>
      <c r="E69">
        <f t="shared" si="36"/>
        <v>0.50555555555555554</v>
      </c>
      <c r="F69">
        <v>0</v>
      </c>
      <c r="G69" s="5">
        <f>E69*('Tasas XCCY UF vs Camara'!$C$13/100)</f>
        <v>1.0464999999999999E-2</v>
      </c>
      <c r="H69">
        <v>0.94032992280953231</v>
      </c>
      <c r="I69">
        <f t="shared" si="37"/>
        <v>9.8405526422017543E-3</v>
      </c>
      <c r="J69" s="4">
        <f t="shared" si="35"/>
        <v>2.0395553966489288E-2</v>
      </c>
    </row>
    <row r="70" spans="1:10" x14ac:dyDescent="0.35">
      <c r="A70">
        <v>3.5</v>
      </c>
      <c r="B70">
        <f t="shared" si="31"/>
        <v>3.5</v>
      </c>
      <c r="C70" s="1">
        <f t="shared" si="32"/>
        <v>46666</v>
      </c>
      <c r="D70">
        <f t="shared" si="33"/>
        <v>3.5555555555555554</v>
      </c>
      <c r="E70">
        <f t="shared" si="36"/>
        <v>0.5083333333333333</v>
      </c>
      <c r="F70">
        <v>0</v>
      </c>
      <c r="G70" s="5">
        <f>E70*('Tasas XCCY UF vs Camara'!$C$13/100)</f>
        <v>1.0522499999999999E-2</v>
      </c>
      <c r="H70">
        <v>0.93039229764203935</v>
      </c>
      <c r="I70">
        <f t="shared" si="37"/>
        <v>9.7900529519383585E-3</v>
      </c>
      <c r="J70" s="4">
        <f t="shared" si="35"/>
        <v>2.0499174117375452E-2</v>
      </c>
    </row>
    <row r="71" spans="1:10" x14ac:dyDescent="0.35">
      <c r="A71">
        <v>4</v>
      </c>
      <c r="B71">
        <f t="shared" si="31"/>
        <v>4</v>
      </c>
      <c r="C71" s="1">
        <f t="shared" si="32"/>
        <v>46849</v>
      </c>
      <c r="D71">
        <f t="shared" si="33"/>
        <v>4.0638888888888891</v>
      </c>
      <c r="E71">
        <f t="shared" si="36"/>
        <v>0.50833333333333375</v>
      </c>
      <c r="F71">
        <v>0</v>
      </c>
      <c r="G71" s="5">
        <f>E71*('Tasas XCCY UF vs Camara'!$C$13/100)</f>
        <v>1.0522500000000008E-2</v>
      </c>
      <c r="H71">
        <v>0.92045467247454626</v>
      </c>
      <c r="I71">
        <f t="shared" si="37"/>
        <v>9.6854842911134192E-3</v>
      </c>
      <c r="J71" s="4">
        <f t="shared" si="35"/>
        <v>2.0605531273894639E-2</v>
      </c>
    </row>
    <row r="72" spans="1:10" x14ac:dyDescent="0.35">
      <c r="A72" s="5">
        <v>4.5</v>
      </c>
      <c r="B72">
        <f t="shared" si="31"/>
        <v>4.5</v>
      </c>
      <c r="C72" s="1">
        <f t="shared" si="32"/>
        <v>47032</v>
      </c>
      <c r="D72">
        <f t="shared" si="33"/>
        <v>4.572222222222222</v>
      </c>
      <c r="E72">
        <f t="shared" si="36"/>
        <v>0.50833333333333286</v>
      </c>
      <c r="F72">
        <v>0</v>
      </c>
      <c r="G72" s="5">
        <f>E72*('Tasas XCCY UF vs Camara'!$C$13/100)</f>
        <v>1.052249999999999E-2</v>
      </c>
      <c r="H72">
        <v>0.91124693740504237</v>
      </c>
      <c r="I72">
        <f t="shared" si="37"/>
        <v>9.5885958988445492E-3</v>
      </c>
      <c r="J72" s="4">
        <f t="shared" si="35"/>
        <v>2.053540116053898E-2</v>
      </c>
    </row>
    <row r="73" spans="1:10" x14ac:dyDescent="0.35">
      <c r="A73">
        <v>5</v>
      </c>
      <c r="B73">
        <f t="shared" si="31"/>
        <v>5</v>
      </c>
      <c r="C73" s="1">
        <f t="shared" si="32"/>
        <v>47214</v>
      </c>
      <c r="D73">
        <f t="shared" si="33"/>
        <v>5.0777777777777775</v>
      </c>
      <c r="E73">
        <f t="shared" si="36"/>
        <v>0.50555555555555554</v>
      </c>
      <c r="F73">
        <v>0</v>
      </c>
      <c r="G73" s="5">
        <f>E73*('Tasas XCCY UF vs Camara'!$C$13/100)</f>
        <v>1.0464999999999999E-2</v>
      </c>
      <c r="H73">
        <v>0.90208951782772151</v>
      </c>
      <c r="I73">
        <f t="shared" si="37"/>
        <v>9.4403668040671049E-3</v>
      </c>
      <c r="J73" s="4">
        <f t="shared" si="35"/>
        <v>2.0499936176433087E-2</v>
      </c>
    </row>
    <row r="74" spans="1:10" x14ac:dyDescent="0.35">
      <c r="A74">
        <v>5.5</v>
      </c>
      <c r="B74">
        <f t="shared" si="31"/>
        <v>5.5</v>
      </c>
      <c r="C74" s="1">
        <f t="shared" si="32"/>
        <v>47397</v>
      </c>
      <c r="D74">
        <f t="shared" si="33"/>
        <v>5.5861111111111112</v>
      </c>
      <c r="E74">
        <f t="shared" si="36"/>
        <v>0.50833333333333375</v>
      </c>
      <c r="F74">
        <v>0</v>
      </c>
      <c r="G74" s="5">
        <f>E74*('Tasas XCCY UF vs Camara'!$C$13/100)</f>
        <v>1.0522500000000008E-2</v>
      </c>
      <c r="H74">
        <f>+((H75-H73)/(D75-D73))*(D74-D73)+H73</f>
        <v>0.89203366426541864</v>
      </c>
      <c r="I74">
        <f t="shared" si="37"/>
        <v>9.3864242322328744E-3</v>
      </c>
      <c r="J74" s="4">
        <f t="shared" si="35"/>
        <v>2.0663354076956963E-2</v>
      </c>
    </row>
    <row r="75" spans="1:10" x14ac:dyDescent="0.35">
      <c r="A75">
        <v>6</v>
      </c>
      <c r="B75">
        <f t="shared" si="31"/>
        <v>6</v>
      </c>
      <c r="C75" s="1">
        <f t="shared" si="32"/>
        <v>47579</v>
      </c>
      <c r="D75">
        <f t="shared" si="33"/>
        <v>6.0916666666666668</v>
      </c>
      <c r="E75">
        <f t="shared" si="36"/>
        <v>0.50555555555555554</v>
      </c>
      <c r="F75">
        <v>1</v>
      </c>
      <c r="G75" s="5">
        <f>E75*('Tasas XCCY UF vs Camara'!$C$13/100)</f>
        <v>1.0464999999999999E-2</v>
      </c>
      <c r="H75" s="2">
        <v>0.88203276072258185</v>
      </c>
      <c r="I75">
        <f t="shared" si="37"/>
        <v>0.89126323356354364</v>
      </c>
      <c r="J75" s="8">
        <f t="shared" si="35"/>
        <v>2.0819969935254479E-2</v>
      </c>
    </row>
    <row r="76" spans="1:10" x14ac:dyDescent="0.35">
      <c r="I76">
        <f>SUM(I64:I75)</f>
        <v>1</v>
      </c>
    </row>
    <row r="79" spans="1:10" x14ac:dyDescent="0.35">
      <c r="B79" t="s">
        <v>49</v>
      </c>
      <c r="C79" t="s">
        <v>35</v>
      </c>
    </row>
    <row r="80" spans="1:10" x14ac:dyDescent="0.35">
      <c r="A80" s="5" t="s">
        <v>36</v>
      </c>
      <c r="B80" t="s">
        <v>38</v>
      </c>
      <c r="C80" t="s">
        <v>37</v>
      </c>
      <c r="D80" t="s">
        <v>25</v>
      </c>
      <c r="E80" t="s">
        <v>41</v>
      </c>
      <c r="F80" t="s">
        <v>40</v>
      </c>
      <c r="G80" s="5" t="s">
        <v>105</v>
      </c>
      <c r="H80" t="s">
        <v>42</v>
      </c>
      <c r="I80" t="s">
        <v>32</v>
      </c>
      <c r="J80" s="4" t="s">
        <v>33</v>
      </c>
    </row>
    <row r="81" spans="1:10" x14ac:dyDescent="0.35">
      <c r="A81">
        <v>0.5</v>
      </c>
      <c r="B81">
        <f>A81</f>
        <v>0.5</v>
      </c>
      <c r="C81" s="1">
        <f>+DATE(YEAR($C$1),MONTH($C$1)+B81*12,DAY($C$1)+2)</f>
        <v>45571</v>
      </c>
      <c r="D81">
        <f>+(C81-$C$1)/360</f>
        <v>0.51388888888888884</v>
      </c>
      <c r="E81" s="6">
        <f>(C81-$C$1)/360</f>
        <v>0.51388888888888884</v>
      </c>
      <c r="F81">
        <v>0</v>
      </c>
      <c r="G81" s="5">
        <f>E81*('Tasas XCCY UF vs Camara'!$C$14/100)</f>
        <v>1.0740277777777776E-2</v>
      </c>
      <c r="H81">
        <v>0.98846923183584823</v>
      </c>
      <c r="I81">
        <f>H81*SUM(F81:G81)</f>
        <v>1.0616434124703629E-2</v>
      </c>
      <c r="J81" s="4">
        <f>+(1/H81)^(1/D81)-1</f>
        <v>2.2825217853303048E-2</v>
      </c>
    </row>
    <row r="82" spans="1:10" x14ac:dyDescent="0.35">
      <c r="A82">
        <v>1</v>
      </c>
      <c r="B82">
        <f t="shared" ref="B82:B94" si="38">A82</f>
        <v>1</v>
      </c>
      <c r="C82" s="1">
        <f t="shared" ref="C82:C94" si="39">+DATE(YEAR($C$1),MONTH($C$1)+B82*12,DAY($C$1)+2)</f>
        <v>45753</v>
      </c>
      <c r="D82">
        <f t="shared" ref="D82:D94" si="40">+(C82-$C$1)/360</f>
        <v>1.0194444444444444</v>
      </c>
      <c r="E82">
        <f>D82-D81</f>
        <v>0.50555555555555554</v>
      </c>
      <c r="F82">
        <v>0</v>
      </c>
      <c r="G82" s="5">
        <f>E82*('Tasas XCCY UF vs Camara'!$C$14/100)</f>
        <v>1.0566111111111109E-2</v>
      </c>
      <c r="H82">
        <v>0.9786984914042407</v>
      </c>
      <c r="I82">
        <f t="shared" ref="I82:I94" si="41">H82*SUM(F82:G82)</f>
        <v>1.0341037004454028E-2</v>
      </c>
      <c r="J82" s="4">
        <f t="shared" ref="J82:J94" si="42">+(1/H82)^(1/D82)-1</f>
        <v>2.1345600801821352E-2</v>
      </c>
    </row>
    <row r="83" spans="1:10" x14ac:dyDescent="0.35">
      <c r="A83">
        <v>1.5</v>
      </c>
      <c r="B83">
        <f t="shared" si="38"/>
        <v>1.5</v>
      </c>
      <c r="C83" s="1">
        <f t="shared" si="39"/>
        <v>45936</v>
      </c>
      <c r="D83">
        <f t="shared" si="40"/>
        <v>1.5277777777777777</v>
      </c>
      <c r="E83">
        <f t="shared" ref="E83:E94" si="43">D83-D82</f>
        <v>0.5083333333333333</v>
      </c>
      <c r="F83">
        <v>0</v>
      </c>
      <c r="G83" s="5">
        <f>E83*('Tasas XCCY UF vs Camara'!$C$14/100)</f>
        <v>1.0624166666666665E-2</v>
      </c>
      <c r="H83">
        <v>0.96991903870246388</v>
      </c>
      <c r="I83">
        <f t="shared" si="41"/>
        <v>1.0304581520348093E-2</v>
      </c>
      <c r="J83" s="4">
        <f t="shared" si="42"/>
        <v>2.0192739655148007E-2</v>
      </c>
    </row>
    <row r="84" spans="1:10" x14ac:dyDescent="0.35">
      <c r="A84">
        <v>2</v>
      </c>
      <c r="B84">
        <f t="shared" si="38"/>
        <v>2</v>
      </c>
      <c r="C84" s="1">
        <f t="shared" si="39"/>
        <v>46118</v>
      </c>
      <c r="D84">
        <f t="shared" si="40"/>
        <v>2.0333333333333332</v>
      </c>
      <c r="E84">
        <f t="shared" si="43"/>
        <v>0.50555555555555554</v>
      </c>
      <c r="F84">
        <v>0</v>
      </c>
      <c r="G84" s="5">
        <f>E84*('Tasas XCCY UF vs Camara'!$C$14/100)</f>
        <v>1.0566111111111109E-2</v>
      </c>
      <c r="H84">
        <v>0.95988340577914977</v>
      </c>
      <c r="I84">
        <f t="shared" si="41"/>
        <v>1.0142234719174248E-2</v>
      </c>
      <c r="J84" s="4">
        <f t="shared" si="42"/>
        <v>2.0340224408298635E-2</v>
      </c>
    </row>
    <row r="85" spans="1:10" x14ac:dyDescent="0.35">
      <c r="A85">
        <v>2.5</v>
      </c>
      <c r="B85">
        <f t="shared" si="38"/>
        <v>2.5</v>
      </c>
      <c r="C85" s="1">
        <f t="shared" si="39"/>
        <v>46301</v>
      </c>
      <c r="D85">
        <f t="shared" si="40"/>
        <v>2.5416666666666665</v>
      </c>
      <c r="E85">
        <f t="shared" si="43"/>
        <v>0.5083333333333333</v>
      </c>
      <c r="F85">
        <v>0</v>
      </c>
      <c r="G85" s="5">
        <f>E85*('Tasas XCCY UF vs Camara'!$C$14/100)</f>
        <v>1.0624166666666665E-2</v>
      </c>
      <c r="H85">
        <v>0.95007987870123201</v>
      </c>
      <c r="I85">
        <f t="shared" si="41"/>
        <v>1.0093806977968339E-2</v>
      </c>
      <c r="J85" s="4">
        <f t="shared" si="42"/>
        <v>2.0352226617283087E-2</v>
      </c>
    </row>
    <row r="86" spans="1:10" x14ac:dyDescent="0.35">
      <c r="A86">
        <v>3</v>
      </c>
      <c r="B86">
        <f t="shared" si="38"/>
        <v>3</v>
      </c>
      <c r="C86" s="1">
        <f t="shared" si="39"/>
        <v>46483</v>
      </c>
      <c r="D86">
        <f t="shared" si="40"/>
        <v>3.0472222222222221</v>
      </c>
      <c r="E86">
        <f t="shared" si="43"/>
        <v>0.50555555555555554</v>
      </c>
      <c r="F86">
        <v>0</v>
      </c>
      <c r="G86" s="5">
        <f>E86*('Tasas XCCY UF vs Camara'!$C$14/100)</f>
        <v>1.0566111111111109E-2</v>
      </c>
      <c r="H86">
        <v>0.94032992280953231</v>
      </c>
      <c r="I86">
        <f t="shared" si="41"/>
        <v>9.9356304455080514E-3</v>
      </c>
      <c r="J86" s="4">
        <f t="shared" si="42"/>
        <v>2.0395553966489288E-2</v>
      </c>
    </row>
    <row r="87" spans="1:10" x14ac:dyDescent="0.35">
      <c r="A87">
        <v>3.5</v>
      </c>
      <c r="B87">
        <f t="shared" si="38"/>
        <v>3.5</v>
      </c>
      <c r="C87" s="1">
        <f t="shared" si="39"/>
        <v>46666</v>
      </c>
      <c r="D87">
        <f t="shared" si="40"/>
        <v>3.5555555555555554</v>
      </c>
      <c r="E87">
        <f t="shared" si="43"/>
        <v>0.5083333333333333</v>
      </c>
      <c r="F87">
        <v>0</v>
      </c>
      <c r="G87" s="5">
        <f>E87*('Tasas XCCY UF vs Camara'!$C$14/100)</f>
        <v>1.0624166666666665E-2</v>
      </c>
      <c r="H87">
        <v>0.93039229764203935</v>
      </c>
      <c r="I87">
        <f t="shared" si="41"/>
        <v>9.8846428355319656E-3</v>
      </c>
      <c r="J87" s="4">
        <f t="shared" si="42"/>
        <v>2.0499174117375452E-2</v>
      </c>
    </row>
    <row r="88" spans="1:10" x14ac:dyDescent="0.35">
      <c r="A88">
        <v>4</v>
      </c>
      <c r="B88">
        <f t="shared" si="38"/>
        <v>4</v>
      </c>
      <c r="C88" s="1">
        <f t="shared" si="39"/>
        <v>46849</v>
      </c>
      <c r="D88">
        <f t="shared" si="40"/>
        <v>4.0638888888888891</v>
      </c>
      <c r="E88">
        <f t="shared" si="43"/>
        <v>0.50833333333333375</v>
      </c>
      <c r="F88">
        <v>0</v>
      </c>
      <c r="G88" s="5">
        <f>E88*('Tasas XCCY UF vs Camara'!$C$14/100)</f>
        <v>1.0624166666666674E-2</v>
      </c>
      <c r="H88">
        <v>0.92045467247454626</v>
      </c>
      <c r="I88">
        <f t="shared" si="41"/>
        <v>9.7790638494816649E-3</v>
      </c>
      <c r="J88" s="4">
        <f t="shared" si="42"/>
        <v>2.0605531273894639E-2</v>
      </c>
    </row>
    <row r="89" spans="1:10" x14ac:dyDescent="0.35">
      <c r="A89" s="5">
        <v>4.5</v>
      </c>
      <c r="B89">
        <f t="shared" si="38"/>
        <v>4.5</v>
      </c>
      <c r="C89" s="1">
        <f t="shared" si="39"/>
        <v>47032</v>
      </c>
      <c r="D89">
        <f t="shared" si="40"/>
        <v>4.572222222222222</v>
      </c>
      <c r="E89">
        <f t="shared" si="43"/>
        <v>0.50833333333333286</v>
      </c>
      <c r="F89">
        <v>0</v>
      </c>
      <c r="G89" s="5">
        <f>E89*('Tasas XCCY UF vs Camara'!$C$14/100)</f>
        <v>1.0624166666666657E-2</v>
      </c>
      <c r="H89">
        <v>0.91124693740504237</v>
      </c>
      <c r="I89">
        <f t="shared" si="41"/>
        <v>9.6812393374807286E-3</v>
      </c>
      <c r="J89" s="4">
        <f t="shared" si="42"/>
        <v>2.053540116053898E-2</v>
      </c>
    </row>
    <row r="90" spans="1:10" x14ac:dyDescent="0.35">
      <c r="A90">
        <v>5</v>
      </c>
      <c r="B90">
        <f t="shared" si="38"/>
        <v>5</v>
      </c>
      <c r="C90" s="1">
        <f t="shared" si="39"/>
        <v>47214</v>
      </c>
      <c r="D90">
        <f t="shared" si="40"/>
        <v>5.0777777777777775</v>
      </c>
      <c r="E90">
        <f t="shared" si="43"/>
        <v>0.50555555555555554</v>
      </c>
      <c r="F90">
        <v>0</v>
      </c>
      <c r="G90" s="5">
        <f>E90*('Tasas XCCY UF vs Camara'!$C$14/100)</f>
        <v>1.0566111111111109E-2</v>
      </c>
      <c r="H90">
        <v>0.90208951782772151</v>
      </c>
      <c r="I90">
        <f t="shared" si="41"/>
        <v>9.5315780775363512E-3</v>
      </c>
      <c r="J90" s="4">
        <f t="shared" si="42"/>
        <v>2.0499936176433087E-2</v>
      </c>
    </row>
    <row r="91" spans="1:10" x14ac:dyDescent="0.35">
      <c r="A91">
        <v>5.5</v>
      </c>
      <c r="B91">
        <f t="shared" si="38"/>
        <v>5.5</v>
      </c>
      <c r="C91" s="1">
        <f t="shared" si="39"/>
        <v>47397</v>
      </c>
      <c r="D91">
        <f t="shared" si="40"/>
        <v>5.5861111111111112</v>
      </c>
      <c r="E91">
        <f t="shared" si="43"/>
        <v>0.50833333333333375</v>
      </c>
      <c r="F91">
        <v>0</v>
      </c>
      <c r="G91" s="5">
        <f>E91*('Tasas XCCY UF vs Camara'!$C$14/100)</f>
        <v>1.0624166666666674E-2</v>
      </c>
      <c r="H91">
        <v>0.89203366426541864</v>
      </c>
      <c r="I91">
        <f t="shared" si="41"/>
        <v>9.4771143214331926E-3</v>
      </c>
      <c r="J91" s="4">
        <f t="shared" si="42"/>
        <v>2.0663354076956963E-2</v>
      </c>
    </row>
    <row r="92" spans="1:10" x14ac:dyDescent="0.35">
      <c r="A92">
        <v>6</v>
      </c>
      <c r="B92">
        <f t="shared" si="38"/>
        <v>6</v>
      </c>
      <c r="C92" s="1">
        <f t="shared" si="39"/>
        <v>47579</v>
      </c>
      <c r="D92">
        <f t="shared" si="40"/>
        <v>6.0916666666666668</v>
      </c>
      <c r="E92">
        <f t="shared" si="43"/>
        <v>0.50555555555555554</v>
      </c>
      <c r="F92">
        <v>0</v>
      </c>
      <c r="G92" s="5">
        <f>E92*('Tasas XCCY UF vs Camara'!$C$14/100)</f>
        <v>1.0566111111111109E-2</v>
      </c>
      <c r="H92">
        <v>0.88203276072258185</v>
      </c>
      <c r="I92">
        <f t="shared" si="41"/>
        <v>9.3196561534348785E-3</v>
      </c>
      <c r="J92" s="4">
        <f t="shared" si="42"/>
        <v>2.0819969935254479E-2</v>
      </c>
    </row>
    <row r="93" spans="1:10" x14ac:dyDescent="0.35">
      <c r="A93">
        <v>6.5</v>
      </c>
      <c r="B93">
        <f t="shared" si="38"/>
        <v>6.5</v>
      </c>
      <c r="C93" s="1">
        <f t="shared" si="39"/>
        <v>47762</v>
      </c>
      <c r="D93">
        <f t="shared" si="40"/>
        <v>6.6</v>
      </c>
      <c r="E93">
        <f t="shared" si="43"/>
        <v>0.50833333333333286</v>
      </c>
      <c r="F93">
        <v>0</v>
      </c>
      <c r="G93" s="5">
        <f>E93*('Tasas XCCY UF vs Camara'!$C$14/100)</f>
        <v>1.0624166666666657E-2</v>
      </c>
      <c r="H93">
        <f>+((H94-H92)/(D94-D92))*(D93-D92)+H92</f>
        <v>0.87224598504040074</v>
      </c>
      <c r="I93">
        <f t="shared" si="41"/>
        <v>9.2668867194000484E-3</v>
      </c>
      <c r="J93" s="4">
        <f t="shared" si="42"/>
        <v>2.0925600168833158E-2</v>
      </c>
    </row>
    <row r="94" spans="1:10" x14ac:dyDescent="0.35">
      <c r="A94">
        <v>7</v>
      </c>
      <c r="B94">
        <f t="shared" si="38"/>
        <v>7</v>
      </c>
      <c r="C94" s="1">
        <f t="shared" si="39"/>
        <v>47944</v>
      </c>
      <c r="D94">
        <f t="shared" si="40"/>
        <v>7.1055555555555552</v>
      </c>
      <c r="E94">
        <f t="shared" si="43"/>
        <v>0.50555555555555554</v>
      </c>
      <c r="F94">
        <v>1</v>
      </c>
      <c r="G94" s="5">
        <f>E94*('Tasas XCCY UF vs Camara'!$C$14/100)</f>
        <v>1.0566111111111109E-2</v>
      </c>
      <c r="H94" s="2">
        <v>0.86251268900675615</v>
      </c>
      <c r="I94">
        <f t="shared" si="41"/>
        <v>0.87162609391354473</v>
      </c>
      <c r="J94" s="8">
        <f t="shared" si="42"/>
        <v>2.1033614266791512E-2</v>
      </c>
    </row>
    <row r="95" spans="1:10" x14ac:dyDescent="0.35">
      <c r="I95">
        <f>SUM(I81:I94)</f>
        <v>1</v>
      </c>
    </row>
    <row r="98" spans="1:10" x14ac:dyDescent="0.35">
      <c r="B98" t="s">
        <v>50</v>
      </c>
      <c r="C98" t="s">
        <v>35</v>
      </c>
    </row>
    <row r="99" spans="1:10" x14ac:dyDescent="0.35">
      <c r="A99" s="5" t="s">
        <v>36</v>
      </c>
      <c r="B99" t="s">
        <v>38</v>
      </c>
      <c r="C99" t="s">
        <v>37</v>
      </c>
      <c r="D99" t="s">
        <v>25</v>
      </c>
      <c r="E99" t="s">
        <v>41</v>
      </c>
      <c r="F99" t="s">
        <v>40</v>
      </c>
      <c r="G99" s="5" t="s">
        <v>105</v>
      </c>
      <c r="H99" t="s">
        <v>42</v>
      </c>
      <c r="I99" t="s">
        <v>32</v>
      </c>
      <c r="J99" s="4" t="s">
        <v>33</v>
      </c>
    </row>
    <row r="100" spans="1:10" x14ac:dyDescent="0.35">
      <c r="A100">
        <v>0.5</v>
      </c>
      <c r="B100">
        <f>A100</f>
        <v>0.5</v>
      </c>
      <c r="C100" s="1">
        <f>+DATE(YEAR($C$1),MONTH($C$1)+B100*12,DAY($C$1)+2)</f>
        <v>45571</v>
      </c>
      <c r="D100">
        <f>+(C100-$C$1)/360</f>
        <v>0.51388888888888884</v>
      </c>
      <c r="E100" s="6">
        <f>(C100-$C$1)/360</f>
        <v>0.51388888888888884</v>
      </c>
      <c r="F100">
        <v>0</v>
      </c>
      <c r="G100" s="5">
        <f>E100*('Tasas XCCY UF vs Camara'!$C$15/100)</f>
        <v>1.0663194444444444E-2</v>
      </c>
      <c r="H100">
        <v>0.98846923183584823</v>
      </c>
      <c r="I100">
        <f>H100*SUM(F100:G100)</f>
        <v>1.0540239621416285E-2</v>
      </c>
      <c r="J100" s="4">
        <f>+(1/H100)^(1/D100)-1</f>
        <v>2.2825217853303048E-2</v>
      </c>
    </row>
    <row r="101" spans="1:10" x14ac:dyDescent="0.35">
      <c r="A101">
        <v>1</v>
      </c>
      <c r="B101">
        <f t="shared" ref="B101:B115" si="44">A101</f>
        <v>1</v>
      </c>
      <c r="C101" s="1">
        <f t="shared" ref="C101:C115" si="45">+DATE(YEAR($C$1),MONTH($C$1)+B101*12,DAY($C$1)+2)</f>
        <v>45753</v>
      </c>
      <c r="D101">
        <f t="shared" ref="D101:D115" si="46">+(C101-$C$1)/360</f>
        <v>1.0194444444444444</v>
      </c>
      <c r="E101">
        <f>D101-D100</f>
        <v>0.50555555555555554</v>
      </c>
      <c r="F101">
        <v>0</v>
      </c>
      <c r="G101" s="5">
        <f>E101*('Tasas XCCY UF vs Camara'!$C$15/100)</f>
        <v>1.0490277777777777E-2</v>
      </c>
      <c r="H101">
        <v>0.9786984914042407</v>
      </c>
      <c r="I101">
        <f t="shared" ref="I101:I115" si="47">H101*SUM(F101:G101)</f>
        <v>1.0266819035522541E-2</v>
      </c>
      <c r="J101" s="4">
        <f t="shared" ref="J101:J115" si="48">+(1/H101)^(1/D101)-1</f>
        <v>2.1345600801821352E-2</v>
      </c>
    </row>
    <row r="102" spans="1:10" x14ac:dyDescent="0.35">
      <c r="A102">
        <v>1.5</v>
      </c>
      <c r="B102">
        <f t="shared" si="44"/>
        <v>1.5</v>
      </c>
      <c r="C102" s="1">
        <f t="shared" si="45"/>
        <v>45936</v>
      </c>
      <c r="D102">
        <f t="shared" si="46"/>
        <v>1.5277777777777777</v>
      </c>
      <c r="E102">
        <f t="shared" ref="E102:E115" si="49">D102-D101</f>
        <v>0.5083333333333333</v>
      </c>
      <c r="F102">
        <v>0</v>
      </c>
      <c r="G102" s="5">
        <f>E102*('Tasas XCCY UF vs Camara'!$C$15/100)</f>
        <v>1.0547916666666667E-2</v>
      </c>
      <c r="H102">
        <v>0.96991903870246388</v>
      </c>
      <c r="I102">
        <f t="shared" si="47"/>
        <v>1.0230625193647031E-2</v>
      </c>
      <c r="J102" s="4">
        <f t="shared" si="48"/>
        <v>2.0192739655148007E-2</v>
      </c>
    </row>
    <row r="103" spans="1:10" x14ac:dyDescent="0.35">
      <c r="A103">
        <v>2</v>
      </c>
      <c r="B103">
        <f t="shared" si="44"/>
        <v>2</v>
      </c>
      <c r="C103" s="1">
        <f t="shared" si="45"/>
        <v>46118</v>
      </c>
      <c r="D103">
        <f t="shared" si="46"/>
        <v>2.0333333333333332</v>
      </c>
      <c r="E103">
        <f t="shared" si="49"/>
        <v>0.50555555555555554</v>
      </c>
      <c r="F103">
        <v>0</v>
      </c>
      <c r="G103" s="5">
        <f>E103*('Tasas XCCY UF vs Camara'!$C$15/100)</f>
        <v>1.0490277777777777E-2</v>
      </c>
      <c r="H103">
        <v>0.95988340577914977</v>
      </c>
      <c r="I103">
        <f t="shared" si="47"/>
        <v>1.0069443560902664E-2</v>
      </c>
      <c r="J103" s="4">
        <f t="shared" si="48"/>
        <v>2.0340224408298635E-2</v>
      </c>
    </row>
    <row r="104" spans="1:10" x14ac:dyDescent="0.35">
      <c r="A104">
        <v>2.5</v>
      </c>
      <c r="B104">
        <f t="shared" si="44"/>
        <v>2.5</v>
      </c>
      <c r="C104" s="1">
        <f t="shared" si="45"/>
        <v>46301</v>
      </c>
      <c r="D104">
        <f t="shared" si="46"/>
        <v>2.5416666666666665</v>
      </c>
      <c r="E104">
        <f t="shared" si="49"/>
        <v>0.5083333333333333</v>
      </c>
      <c r="F104">
        <v>0</v>
      </c>
      <c r="G104" s="5">
        <f>E104*('Tasas XCCY UF vs Camara'!$C$15/100)</f>
        <v>1.0547916666666667E-2</v>
      </c>
      <c r="H104">
        <v>0.95007987870123201</v>
      </c>
      <c r="I104">
        <f t="shared" si="47"/>
        <v>1.0021363387217371E-2</v>
      </c>
      <c r="J104" s="4">
        <f t="shared" si="48"/>
        <v>2.0352226617283087E-2</v>
      </c>
    </row>
    <row r="105" spans="1:10" x14ac:dyDescent="0.35">
      <c r="A105">
        <v>3</v>
      </c>
      <c r="B105">
        <f t="shared" si="44"/>
        <v>3</v>
      </c>
      <c r="C105" s="1">
        <f t="shared" si="45"/>
        <v>46483</v>
      </c>
      <c r="D105">
        <f t="shared" si="46"/>
        <v>3.0472222222222221</v>
      </c>
      <c r="E105">
        <f t="shared" si="49"/>
        <v>0.50555555555555554</v>
      </c>
      <c r="F105">
        <v>0</v>
      </c>
      <c r="G105" s="5">
        <f>E105*('Tasas XCCY UF vs Camara'!$C$15/100)</f>
        <v>1.0490277777777777E-2</v>
      </c>
      <c r="H105">
        <v>0.94032992280953231</v>
      </c>
      <c r="I105">
        <f t="shared" si="47"/>
        <v>9.8643220930283299E-3</v>
      </c>
      <c r="J105" s="4">
        <f t="shared" si="48"/>
        <v>2.0395553966489288E-2</v>
      </c>
    </row>
    <row r="106" spans="1:10" x14ac:dyDescent="0.35">
      <c r="A106">
        <v>3.5</v>
      </c>
      <c r="B106">
        <f t="shared" si="44"/>
        <v>3.5</v>
      </c>
      <c r="C106" s="1">
        <f t="shared" si="45"/>
        <v>46666</v>
      </c>
      <c r="D106">
        <f t="shared" si="46"/>
        <v>3.5555555555555554</v>
      </c>
      <c r="E106">
        <f t="shared" si="49"/>
        <v>0.5083333333333333</v>
      </c>
      <c r="F106">
        <v>0</v>
      </c>
      <c r="G106" s="5">
        <f>E106*('Tasas XCCY UF vs Camara'!$C$15/100)</f>
        <v>1.0547916666666667E-2</v>
      </c>
      <c r="H106">
        <v>0.93039229764203935</v>
      </c>
      <c r="I106">
        <f t="shared" si="47"/>
        <v>9.813700422836762E-3</v>
      </c>
      <c r="J106" s="4">
        <f t="shared" si="48"/>
        <v>2.0499174117375452E-2</v>
      </c>
    </row>
    <row r="107" spans="1:10" x14ac:dyDescent="0.35">
      <c r="A107">
        <v>4</v>
      </c>
      <c r="B107">
        <f t="shared" si="44"/>
        <v>4</v>
      </c>
      <c r="C107" s="1">
        <f t="shared" si="45"/>
        <v>46849</v>
      </c>
      <c r="D107">
        <f t="shared" si="46"/>
        <v>4.0638888888888891</v>
      </c>
      <c r="E107">
        <f t="shared" si="49"/>
        <v>0.50833333333333375</v>
      </c>
      <c r="F107">
        <v>0</v>
      </c>
      <c r="G107" s="5">
        <f>E107*('Tasas XCCY UF vs Camara'!$C$15/100)</f>
        <v>1.0547916666666676E-2</v>
      </c>
      <c r="H107">
        <v>0.92045467247454626</v>
      </c>
      <c r="I107">
        <f t="shared" si="47"/>
        <v>9.7088791807054837E-3</v>
      </c>
      <c r="J107" s="4">
        <f t="shared" si="48"/>
        <v>2.0605531273894639E-2</v>
      </c>
    </row>
    <row r="108" spans="1:10" x14ac:dyDescent="0.35">
      <c r="A108" s="5">
        <v>4.5</v>
      </c>
      <c r="B108">
        <f t="shared" si="44"/>
        <v>4.5</v>
      </c>
      <c r="C108" s="1">
        <f t="shared" si="45"/>
        <v>47032</v>
      </c>
      <c r="D108">
        <f t="shared" si="46"/>
        <v>4.572222222222222</v>
      </c>
      <c r="E108">
        <f t="shared" si="49"/>
        <v>0.50833333333333286</v>
      </c>
      <c r="F108">
        <v>0</v>
      </c>
      <c r="G108" s="5">
        <f>E108*('Tasas XCCY UF vs Camara'!$C$15/100)</f>
        <v>1.0547916666666657E-2</v>
      </c>
      <c r="H108">
        <v>0.91124693740504237</v>
      </c>
      <c r="I108">
        <f t="shared" si="47"/>
        <v>9.6117567585035941E-3</v>
      </c>
      <c r="J108" s="4">
        <f t="shared" si="48"/>
        <v>2.053540116053898E-2</v>
      </c>
    </row>
    <row r="109" spans="1:10" x14ac:dyDescent="0.35">
      <c r="A109">
        <v>5</v>
      </c>
      <c r="B109">
        <f t="shared" si="44"/>
        <v>5</v>
      </c>
      <c r="C109" s="1">
        <f t="shared" si="45"/>
        <v>47214</v>
      </c>
      <c r="D109">
        <f t="shared" si="46"/>
        <v>5.0777777777777775</v>
      </c>
      <c r="E109">
        <f t="shared" si="49"/>
        <v>0.50555555555555554</v>
      </c>
      <c r="F109">
        <v>0</v>
      </c>
      <c r="G109" s="5">
        <f>E109*('Tasas XCCY UF vs Camara'!$C$15/100)</f>
        <v>1.0490277777777777E-2</v>
      </c>
      <c r="H109">
        <v>0.90208951782772151</v>
      </c>
      <c r="I109">
        <f t="shared" si="47"/>
        <v>9.4631696224344169E-3</v>
      </c>
      <c r="J109" s="4">
        <f t="shared" si="48"/>
        <v>2.0499936176433087E-2</v>
      </c>
    </row>
    <row r="110" spans="1:10" x14ac:dyDescent="0.35">
      <c r="A110">
        <v>5.5</v>
      </c>
      <c r="B110">
        <f t="shared" si="44"/>
        <v>5.5</v>
      </c>
      <c r="C110" s="1">
        <f t="shared" si="45"/>
        <v>47397</v>
      </c>
      <c r="D110">
        <f t="shared" si="46"/>
        <v>5.5861111111111112</v>
      </c>
      <c r="E110">
        <f t="shared" si="49"/>
        <v>0.50833333333333375</v>
      </c>
      <c r="F110">
        <v>0</v>
      </c>
      <c r="G110" s="5">
        <f>E110*('Tasas XCCY UF vs Camara'!$C$15/100)</f>
        <v>1.0547916666666676E-2</v>
      </c>
      <c r="H110">
        <v>0.89203366426541864</v>
      </c>
      <c r="I110">
        <f t="shared" si="47"/>
        <v>9.4090967545329557E-3</v>
      </c>
      <c r="J110" s="4">
        <f t="shared" si="48"/>
        <v>2.0663354076956963E-2</v>
      </c>
    </row>
    <row r="111" spans="1:10" x14ac:dyDescent="0.35">
      <c r="A111">
        <v>6</v>
      </c>
      <c r="B111">
        <f t="shared" si="44"/>
        <v>6</v>
      </c>
      <c r="C111" s="1">
        <f t="shared" si="45"/>
        <v>47579</v>
      </c>
      <c r="D111">
        <f t="shared" si="46"/>
        <v>6.0916666666666668</v>
      </c>
      <c r="E111">
        <f t="shared" si="49"/>
        <v>0.50555555555555554</v>
      </c>
      <c r="F111">
        <v>0</v>
      </c>
      <c r="G111" s="5">
        <f>E111*('Tasas XCCY UF vs Camara'!$C$15/100)</f>
        <v>1.0490277777777777E-2</v>
      </c>
      <c r="H111">
        <v>0.88203276072258185</v>
      </c>
      <c r="I111">
        <f t="shared" si="47"/>
        <v>9.2527686690800845E-3</v>
      </c>
      <c r="J111" s="4">
        <f t="shared" si="48"/>
        <v>2.0819969935254479E-2</v>
      </c>
    </row>
    <row r="112" spans="1:10" x14ac:dyDescent="0.35">
      <c r="A112">
        <v>6.5</v>
      </c>
      <c r="B112">
        <f t="shared" si="44"/>
        <v>6.5</v>
      </c>
      <c r="C112" s="1">
        <f t="shared" si="45"/>
        <v>47762</v>
      </c>
      <c r="D112">
        <f t="shared" si="46"/>
        <v>6.6</v>
      </c>
      <c r="E112">
        <f t="shared" si="49"/>
        <v>0.50833333333333286</v>
      </c>
      <c r="F112">
        <v>0</v>
      </c>
      <c r="G112" s="5">
        <f>E112*('Tasas XCCY UF vs Camara'!$C$15/100)</f>
        <v>1.0547916666666657E-2</v>
      </c>
      <c r="H112">
        <v>0.87224598504040074</v>
      </c>
      <c r="I112">
        <f t="shared" si="47"/>
        <v>9.2003779630407193E-3</v>
      </c>
      <c r="J112" s="4">
        <f t="shared" si="48"/>
        <v>2.0925600168833158E-2</v>
      </c>
    </row>
    <row r="113" spans="1:10" x14ac:dyDescent="0.35">
      <c r="A113">
        <v>7</v>
      </c>
      <c r="B113">
        <f t="shared" si="44"/>
        <v>7</v>
      </c>
      <c r="C113" s="1">
        <f t="shared" si="45"/>
        <v>47944</v>
      </c>
      <c r="D113">
        <f t="shared" si="46"/>
        <v>7.1055555555555552</v>
      </c>
      <c r="E113">
        <f t="shared" si="49"/>
        <v>0.50555555555555554</v>
      </c>
      <c r="F113">
        <v>0</v>
      </c>
      <c r="G113" s="5">
        <f>E113*('Tasas XCCY UF vs Camara'!$C$15/100)</f>
        <v>1.0490277777777777E-2</v>
      </c>
      <c r="H113">
        <v>0.86251268900675615</v>
      </c>
      <c r="I113">
        <f t="shared" si="47"/>
        <v>9.0479976945389284E-3</v>
      </c>
      <c r="J113" s="4">
        <f t="shared" si="48"/>
        <v>2.1033614266791512E-2</v>
      </c>
    </row>
    <row r="114" spans="1:10" x14ac:dyDescent="0.35">
      <c r="A114">
        <v>7.5</v>
      </c>
      <c r="B114">
        <f t="shared" si="44"/>
        <v>7.5</v>
      </c>
      <c r="C114" s="1">
        <f t="shared" si="45"/>
        <v>48127</v>
      </c>
      <c r="D114">
        <f t="shared" si="46"/>
        <v>7.6138888888888889</v>
      </c>
      <c r="E114">
        <f t="shared" si="49"/>
        <v>0.50833333333333375</v>
      </c>
      <c r="F114">
        <v>0</v>
      </c>
      <c r="G114" s="5">
        <f>E114*('Tasas XCCY UF vs Camara'!$C$15/100)</f>
        <v>1.0547916666666676E-2</v>
      </c>
      <c r="H114">
        <f>+((H115-H113)/(D115-D113))*(D114-D113)+H113</f>
        <v>0.85404236890298058</v>
      </c>
      <c r="I114">
        <f t="shared" si="47"/>
        <v>9.0083677369912386E-3</v>
      </c>
      <c r="J114" s="4">
        <f t="shared" si="48"/>
        <v>2.0938120106715363E-2</v>
      </c>
    </row>
    <row r="115" spans="1:10" x14ac:dyDescent="0.35">
      <c r="A115">
        <v>8</v>
      </c>
      <c r="B115">
        <f t="shared" si="44"/>
        <v>8</v>
      </c>
      <c r="C115" s="1">
        <f t="shared" si="45"/>
        <v>48310</v>
      </c>
      <c r="D115">
        <f t="shared" si="46"/>
        <v>8.1222222222222218</v>
      </c>
      <c r="E115">
        <f t="shared" si="49"/>
        <v>0.50833333333333286</v>
      </c>
      <c r="F115">
        <v>1</v>
      </c>
      <c r="G115" s="5">
        <f>E115*('Tasas XCCY UF vs Camara'!$C$15/100)</f>
        <v>1.0547916666666657E-2</v>
      </c>
      <c r="H115" s="2">
        <v>0.84557204879920511</v>
      </c>
      <c r="I115">
        <f t="shared" si="47"/>
        <v>0.85449107230560173</v>
      </c>
      <c r="J115" s="8">
        <f t="shared" si="48"/>
        <v>2.0866950223036085E-2</v>
      </c>
    </row>
    <row r="116" spans="1:10" x14ac:dyDescent="0.35">
      <c r="I116">
        <f>SUM(I100:I115)</f>
        <v>1</v>
      </c>
    </row>
    <row r="119" spans="1:10" x14ac:dyDescent="0.35">
      <c r="B119" t="s">
        <v>51</v>
      </c>
      <c r="C119" t="s">
        <v>35</v>
      </c>
    </row>
    <row r="120" spans="1:10" x14ac:dyDescent="0.35">
      <c r="A120" s="5" t="s">
        <v>36</v>
      </c>
      <c r="B120" t="s">
        <v>38</v>
      </c>
      <c r="C120" t="s">
        <v>37</v>
      </c>
      <c r="D120" t="s">
        <v>25</v>
      </c>
      <c r="E120" t="s">
        <v>41</v>
      </c>
      <c r="F120" t="s">
        <v>40</v>
      </c>
      <c r="G120" s="5" t="s">
        <v>105</v>
      </c>
      <c r="H120" t="s">
        <v>42</v>
      </c>
      <c r="I120" t="s">
        <v>32</v>
      </c>
      <c r="J120" s="4" t="s">
        <v>33</v>
      </c>
    </row>
    <row r="121" spans="1:10" x14ac:dyDescent="0.35">
      <c r="A121">
        <v>0.5</v>
      </c>
      <c r="B121">
        <f>A121</f>
        <v>0.5</v>
      </c>
      <c r="C121" s="1">
        <f>+DATE(YEAR($C$1),MONTH($C$1)+B121*12,DAY($C$1)+2)</f>
        <v>45571</v>
      </c>
      <c r="D121">
        <f>+(C121-$C$1)/360</f>
        <v>0.51388888888888884</v>
      </c>
      <c r="E121" s="6">
        <f>(C121-$C$1)/360</f>
        <v>0.51388888888888884</v>
      </c>
      <c r="F121">
        <v>0</v>
      </c>
      <c r="G121" s="5">
        <f>E121*('Tasas XCCY UF vs Camara'!$C$16/100)</f>
        <v>1.0560416666666668E-2</v>
      </c>
      <c r="H121">
        <v>0.98846923183584823</v>
      </c>
      <c r="I121">
        <f>H121*SUM(F121:G121)</f>
        <v>1.043864695036649E-2</v>
      </c>
      <c r="J121" s="4">
        <f>+(1/H121)^(1/D121)-1</f>
        <v>2.2825217853303048E-2</v>
      </c>
    </row>
    <row r="122" spans="1:10" x14ac:dyDescent="0.35">
      <c r="A122">
        <v>1</v>
      </c>
      <c r="B122">
        <f t="shared" ref="B122:B138" si="50">A122</f>
        <v>1</v>
      </c>
      <c r="C122" s="1">
        <f t="shared" ref="C122:C138" si="51">+DATE(YEAR($C$1),MONTH($C$1)+B122*12,DAY($C$1)+2)</f>
        <v>45753</v>
      </c>
      <c r="D122">
        <f t="shared" ref="D122:D138" si="52">+(C122-$C$1)/360</f>
        <v>1.0194444444444444</v>
      </c>
      <c r="E122">
        <f>D122-D121</f>
        <v>0.50555555555555554</v>
      </c>
      <c r="F122">
        <v>0</v>
      </c>
      <c r="G122" s="5">
        <f>E122*('Tasas XCCY UF vs Camara'!$C$16/100)</f>
        <v>1.0389166666666668E-2</v>
      </c>
      <c r="H122">
        <v>0.9786984914042407</v>
      </c>
      <c r="I122">
        <f t="shared" ref="I122:I138" si="53">H122*SUM(F122:G122)</f>
        <v>1.0167861743613891E-2</v>
      </c>
      <c r="J122" s="4">
        <f t="shared" ref="J122:J138" si="54">+(1/H122)^(1/D122)-1</f>
        <v>2.1345600801821352E-2</v>
      </c>
    </row>
    <row r="123" spans="1:10" x14ac:dyDescent="0.35">
      <c r="A123">
        <v>1.5</v>
      </c>
      <c r="B123">
        <f t="shared" si="50"/>
        <v>1.5</v>
      </c>
      <c r="C123" s="1">
        <f t="shared" si="51"/>
        <v>45936</v>
      </c>
      <c r="D123">
        <f t="shared" si="52"/>
        <v>1.5277777777777777</v>
      </c>
      <c r="E123">
        <f t="shared" ref="E123:E138" si="55">D123-D122</f>
        <v>0.5083333333333333</v>
      </c>
      <c r="F123">
        <v>0</v>
      </c>
      <c r="G123" s="5">
        <f>E123*('Tasas XCCY UF vs Camara'!$C$16/100)</f>
        <v>1.0446250000000001E-2</v>
      </c>
      <c r="H123">
        <v>0.96991903870246388</v>
      </c>
      <c r="I123">
        <f t="shared" si="53"/>
        <v>1.0132016758045615E-2</v>
      </c>
      <c r="J123" s="4">
        <f t="shared" si="54"/>
        <v>2.0192739655148007E-2</v>
      </c>
    </row>
    <row r="124" spans="1:10" x14ac:dyDescent="0.35">
      <c r="A124">
        <v>2</v>
      </c>
      <c r="B124">
        <f t="shared" si="50"/>
        <v>2</v>
      </c>
      <c r="C124" s="1">
        <f t="shared" si="51"/>
        <v>46118</v>
      </c>
      <c r="D124">
        <f t="shared" si="52"/>
        <v>2.0333333333333332</v>
      </c>
      <c r="E124">
        <f t="shared" si="55"/>
        <v>0.50555555555555554</v>
      </c>
      <c r="F124">
        <v>0</v>
      </c>
      <c r="G124" s="5">
        <f>E124*('Tasas XCCY UF vs Camara'!$C$16/100)</f>
        <v>1.0389166666666668E-2</v>
      </c>
      <c r="H124">
        <v>0.95988340577914977</v>
      </c>
      <c r="I124">
        <f t="shared" si="53"/>
        <v>9.9723886832072187E-3</v>
      </c>
      <c r="J124" s="4">
        <f t="shared" si="54"/>
        <v>2.0340224408298635E-2</v>
      </c>
    </row>
    <row r="125" spans="1:10" x14ac:dyDescent="0.35">
      <c r="A125">
        <v>2.5</v>
      </c>
      <c r="B125">
        <f t="shared" si="50"/>
        <v>2.5</v>
      </c>
      <c r="C125" s="1">
        <f t="shared" si="51"/>
        <v>46301</v>
      </c>
      <c r="D125">
        <f t="shared" si="52"/>
        <v>2.5416666666666665</v>
      </c>
      <c r="E125">
        <f t="shared" si="55"/>
        <v>0.5083333333333333</v>
      </c>
      <c r="F125">
        <v>0</v>
      </c>
      <c r="G125" s="5">
        <f>E125*('Tasas XCCY UF vs Camara'!$C$16/100)</f>
        <v>1.0446250000000001E-2</v>
      </c>
      <c r="H125">
        <v>0.95007987870123201</v>
      </c>
      <c r="I125">
        <f t="shared" si="53"/>
        <v>9.9247719328827456E-3</v>
      </c>
      <c r="J125" s="4">
        <f t="shared" si="54"/>
        <v>2.0352226617283087E-2</v>
      </c>
    </row>
    <row r="126" spans="1:10" x14ac:dyDescent="0.35">
      <c r="A126">
        <v>3</v>
      </c>
      <c r="B126">
        <f t="shared" si="50"/>
        <v>3</v>
      </c>
      <c r="C126" s="1">
        <f t="shared" si="51"/>
        <v>46483</v>
      </c>
      <c r="D126">
        <f t="shared" si="52"/>
        <v>3.0472222222222221</v>
      </c>
      <c r="E126">
        <f t="shared" si="55"/>
        <v>0.50555555555555554</v>
      </c>
      <c r="F126">
        <v>0</v>
      </c>
      <c r="G126" s="5">
        <f>E126*('Tasas XCCY UF vs Camara'!$C$16/100)</f>
        <v>1.0389166666666668E-2</v>
      </c>
      <c r="H126">
        <v>0.94032992280953231</v>
      </c>
      <c r="I126">
        <f t="shared" si="53"/>
        <v>9.7692442897220344E-3</v>
      </c>
      <c r="J126" s="4">
        <f t="shared" si="54"/>
        <v>2.0395553966489288E-2</v>
      </c>
    </row>
    <row r="127" spans="1:10" x14ac:dyDescent="0.35">
      <c r="A127">
        <v>3.5</v>
      </c>
      <c r="B127">
        <f t="shared" si="50"/>
        <v>3.5</v>
      </c>
      <c r="C127" s="1">
        <f t="shared" si="51"/>
        <v>46666</v>
      </c>
      <c r="D127">
        <f t="shared" si="52"/>
        <v>3.5555555555555554</v>
      </c>
      <c r="E127">
        <f t="shared" si="55"/>
        <v>0.5083333333333333</v>
      </c>
      <c r="F127">
        <v>0</v>
      </c>
      <c r="G127" s="5">
        <f>E127*('Tasas XCCY UF vs Camara'!$C$16/100)</f>
        <v>1.0446250000000001E-2</v>
      </c>
      <c r="H127">
        <v>0.93039229764203935</v>
      </c>
      <c r="I127">
        <f t="shared" si="53"/>
        <v>9.7191105392431549E-3</v>
      </c>
      <c r="J127" s="4">
        <f t="shared" si="54"/>
        <v>2.0499174117375452E-2</v>
      </c>
    </row>
    <row r="128" spans="1:10" x14ac:dyDescent="0.35">
      <c r="A128">
        <v>4</v>
      </c>
      <c r="B128">
        <f t="shared" si="50"/>
        <v>4</v>
      </c>
      <c r="C128" s="1">
        <f t="shared" si="51"/>
        <v>46849</v>
      </c>
      <c r="D128">
        <f t="shared" si="52"/>
        <v>4.0638888888888891</v>
      </c>
      <c r="E128">
        <f t="shared" si="55"/>
        <v>0.50833333333333375</v>
      </c>
      <c r="F128">
        <v>0</v>
      </c>
      <c r="G128" s="5">
        <f>E128*('Tasas XCCY UF vs Camara'!$C$16/100)</f>
        <v>1.0446250000000009E-2</v>
      </c>
      <c r="H128">
        <v>0.92045467247454626</v>
      </c>
      <c r="I128">
        <f t="shared" si="53"/>
        <v>9.6152996223372381E-3</v>
      </c>
      <c r="J128" s="4">
        <f t="shared" si="54"/>
        <v>2.0605531273894639E-2</v>
      </c>
    </row>
    <row r="129" spans="1:10" x14ac:dyDescent="0.35">
      <c r="A129" s="5">
        <v>4.5</v>
      </c>
      <c r="B129">
        <f t="shared" si="50"/>
        <v>4.5</v>
      </c>
      <c r="C129" s="1">
        <f t="shared" si="51"/>
        <v>47032</v>
      </c>
      <c r="D129">
        <f t="shared" si="52"/>
        <v>4.572222222222222</v>
      </c>
      <c r="E129">
        <f t="shared" si="55"/>
        <v>0.50833333333333286</v>
      </c>
      <c r="F129">
        <v>0</v>
      </c>
      <c r="G129" s="5">
        <f>E129*('Tasas XCCY UF vs Camara'!$C$16/100)</f>
        <v>1.0446249999999992E-2</v>
      </c>
      <c r="H129">
        <v>0.91124693740504237</v>
      </c>
      <c r="I129">
        <f t="shared" si="53"/>
        <v>9.5191133198674165E-3</v>
      </c>
      <c r="J129" s="4">
        <f t="shared" si="54"/>
        <v>2.053540116053898E-2</v>
      </c>
    </row>
    <row r="130" spans="1:10" x14ac:dyDescent="0.35">
      <c r="A130">
        <v>5</v>
      </c>
      <c r="B130">
        <f t="shared" si="50"/>
        <v>5</v>
      </c>
      <c r="C130" s="1">
        <f t="shared" si="51"/>
        <v>47214</v>
      </c>
      <c r="D130">
        <f t="shared" si="52"/>
        <v>5.0777777777777775</v>
      </c>
      <c r="E130">
        <f t="shared" si="55"/>
        <v>0.50555555555555554</v>
      </c>
      <c r="F130">
        <v>0</v>
      </c>
      <c r="G130" s="5">
        <f>E130*('Tasas XCCY UF vs Camara'!$C$16/100)</f>
        <v>1.0389166666666668E-2</v>
      </c>
      <c r="H130">
        <v>0.90208951782772151</v>
      </c>
      <c r="I130">
        <f t="shared" si="53"/>
        <v>9.3719583489651707E-3</v>
      </c>
      <c r="J130" s="4">
        <f t="shared" si="54"/>
        <v>2.0499936176433087E-2</v>
      </c>
    </row>
    <row r="131" spans="1:10" x14ac:dyDescent="0.35">
      <c r="A131">
        <v>5.5</v>
      </c>
      <c r="B131">
        <f t="shared" si="50"/>
        <v>5.5</v>
      </c>
      <c r="C131" s="1">
        <f t="shared" si="51"/>
        <v>47397</v>
      </c>
      <c r="D131">
        <f t="shared" si="52"/>
        <v>5.5861111111111112</v>
      </c>
      <c r="E131">
        <f t="shared" si="55"/>
        <v>0.50833333333333375</v>
      </c>
      <c r="F131">
        <v>0</v>
      </c>
      <c r="G131" s="5">
        <f>E131*('Tasas XCCY UF vs Camara'!$C$16/100)</f>
        <v>1.0446250000000009E-2</v>
      </c>
      <c r="H131">
        <v>0.89203366426541864</v>
      </c>
      <c r="I131">
        <f t="shared" si="53"/>
        <v>9.3184066653326375E-3</v>
      </c>
      <c r="J131" s="4">
        <f t="shared" si="54"/>
        <v>2.0663354076956963E-2</v>
      </c>
    </row>
    <row r="132" spans="1:10" x14ac:dyDescent="0.35">
      <c r="A132">
        <v>6</v>
      </c>
      <c r="B132">
        <f t="shared" si="50"/>
        <v>6</v>
      </c>
      <c r="C132" s="1">
        <f t="shared" si="51"/>
        <v>47579</v>
      </c>
      <c r="D132">
        <f t="shared" si="52"/>
        <v>6.0916666666666668</v>
      </c>
      <c r="E132">
        <f t="shared" si="55"/>
        <v>0.50555555555555554</v>
      </c>
      <c r="F132">
        <v>0</v>
      </c>
      <c r="G132" s="5">
        <f>E132*('Tasas XCCY UF vs Camara'!$C$16/100)</f>
        <v>1.0389166666666668E-2</v>
      </c>
      <c r="H132">
        <v>0.88203276072258185</v>
      </c>
      <c r="I132">
        <f t="shared" si="53"/>
        <v>9.1635853566070253E-3</v>
      </c>
      <c r="J132" s="4">
        <f t="shared" si="54"/>
        <v>2.0819969935254479E-2</v>
      </c>
    </row>
    <row r="133" spans="1:10" x14ac:dyDescent="0.35">
      <c r="A133">
        <v>6.5</v>
      </c>
      <c r="B133">
        <f t="shared" si="50"/>
        <v>6.5</v>
      </c>
      <c r="C133" s="1">
        <f t="shared" si="51"/>
        <v>47762</v>
      </c>
      <c r="D133">
        <f t="shared" si="52"/>
        <v>6.6</v>
      </c>
      <c r="E133">
        <f t="shared" si="55"/>
        <v>0.50833333333333286</v>
      </c>
      <c r="F133">
        <v>0</v>
      </c>
      <c r="G133" s="5">
        <f>E133*('Tasas XCCY UF vs Camara'!$C$16/100)</f>
        <v>1.0446249999999992E-2</v>
      </c>
      <c r="H133">
        <v>0.87224598504040074</v>
      </c>
      <c r="I133">
        <f t="shared" si="53"/>
        <v>9.1116996212282798E-3</v>
      </c>
      <c r="J133" s="4">
        <f t="shared" si="54"/>
        <v>2.0925600168833158E-2</v>
      </c>
    </row>
    <row r="134" spans="1:10" x14ac:dyDescent="0.35">
      <c r="A134">
        <v>7</v>
      </c>
      <c r="B134">
        <f t="shared" si="50"/>
        <v>7</v>
      </c>
      <c r="C134" s="1">
        <f t="shared" si="51"/>
        <v>47944</v>
      </c>
      <c r="D134">
        <f t="shared" si="52"/>
        <v>7.1055555555555552</v>
      </c>
      <c r="E134">
        <f t="shared" si="55"/>
        <v>0.50555555555555554</v>
      </c>
      <c r="F134">
        <v>0</v>
      </c>
      <c r="G134" s="5">
        <f>E134*('Tasas XCCY UF vs Camara'!$C$16/100)</f>
        <v>1.0389166666666668E-2</v>
      </c>
      <c r="H134">
        <v>0.86251268900675615</v>
      </c>
      <c r="I134">
        <f t="shared" si="53"/>
        <v>8.9607880782060258E-3</v>
      </c>
      <c r="J134" s="4">
        <f t="shared" si="54"/>
        <v>2.1033614266791512E-2</v>
      </c>
    </row>
    <row r="135" spans="1:10" x14ac:dyDescent="0.35">
      <c r="A135">
        <v>7.5</v>
      </c>
      <c r="B135">
        <f t="shared" si="50"/>
        <v>7.5</v>
      </c>
      <c r="C135" s="1">
        <f t="shared" si="51"/>
        <v>48127</v>
      </c>
      <c r="D135">
        <f t="shared" si="52"/>
        <v>7.6138888888888889</v>
      </c>
      <c r="E135">
        <f t="shared" si="55"/>
        <v>0.50833333333333375</v>
      </c>
      <c r="F135">
        <v>0</v>
      </c>
      <c r="G135" s="5">
        <f>E135*('Tasas XCCY UF vs Camara'!$C$16/100)</f>
        <v>1.0446250000000009E-2</v>
      </c>
      <c r="H135">
        <v>0.85404236890298058</v>
      </c>
      <c r="I135">
        <f t="shared" si="53"/>
        <v>8.9215400961527684E-3</v>
      </c>
      <c r="J135" s="4">
        <f t="shared" si="54"/>
        <v>2.0938120106715363E-2</v>
      </c>
    </row>
    <row r="136" spans="1:10" x14ac:dyDescent="0.35">
      <c r="A136">
        <v>8</v>
      </c>
      <c r="B136">
        <f t="shared" si="50"/>
        <v>8</v>
      </c>
      <c r="C136" s="1">
        <f t="shared" si="51"/>
        <v>48310</v>
      </c>
      <c r="D136">
        <f t="shared" si="52"/>
        <v>8.1222222222222218</v>
      </c>
      <c r="E136">
        <f t="shared" si="55"/>
        <v>0.50833333333333286</v>
      </c>
      <c r="F136">
        <v>0</v>
      </c>
      <c r="G136" s="5">
        <f>E136*('Tasas XCCY UF vs Camara'!$C$16/100)</f>
        <v>1.0446249999999992E-2</v>
      </c>
      <c r="H136">
        <v>0.84557204879920511</v>
      </c>
      <c r="I136">
        <f t="shared" si="53"/>
        <v>8.8330570147686898E-3</v>
      </c>
      <c r="J136" s="4">
        <f t="shared" si="54"/>
        <v>2.0866950223036085E-2</v>
      </c>
    </row>
    <row r="137" spans="1:10" x14ac:dyDescent="0.35">
      <c r="A137">
        <v>8.5</v>
      </c>
      <c r="B137">
        <f t="shared" si="50"/>
        <v>8.5</v>
      </c>
      <c r="C137" s="1">
        <f t="shared" si="51"/>
        <v>48493</v>
      </c>
      <c r="D137">
        <f t="shared" si="52"/>
        <v>8.6305555555555564</v>
      </c>
      <c r="E137">
        <f t="shared" si="55"/>
        <v>0.50833333333333464</v>
      </c>
      <c r="F137">
        <v>0</v>
      </c>
      <c r="G137" s="5">
        <f>E137*('Tasas XCCY UF vs Camara'!$C$16/100)</f>
        <v>1.0446250000000028E-2</v>
      </c>
      <c r="H137">
        <f>+((H138-H136)/(D138-D136))*(D137-D136)+H136</f>
        <v>0.83760968652685885</v>
      </c>
      <c r="I137">
        <f t="shared" si="53"/>
        <v>8.7498801878812225E-3</v>
      </c>
      <c r="J137" s="4">
        <f t="shared" si="54"/>
        <v>2.0744289276428685E-2</v>
      </c>
    </row>
    <row r="138" spans="1:10" x14ac:dyDescent="0.35">
      <c r="A138">
        <v>9</v>
      </c>
      <c r="B138">
        <f t="shared" si="50"/>
        <v>9</v>
      </c>
      <c r="C138" s="1">
        <f t="shared" si="51"/>
        <v>48675</v>
      </c>
      <c r="D138">
        <f t="shared" si="52"/>
        <v>9.1361111111111111</v>
      </c>
      <c r="E138">
        <f t="shared" si="55"/>
        <v>0.50555555555555465</v>
      </c>
      <c r="F138">
        <v>1</v>
      </c>
      <c r="G138" s="5">
        <f>E138*('Tasas XCCY UF vs Camara'!$C$16/100)</f>
        <v>1.0389166666666649E-2</v>
      </c>
      <c r="H138" s="2">
        <v>0.82969083443086433</v>
      </c>
      <c r="I138">
        <f t="shared" si="53"/>
        <v>0.83831063079157231</v>
      </c>
      <c r="J138" s="8">
        <f t="shared" si="54"/>
        <v>2.0645861558836298E-2</v>
      </c>
    </row>
    <row r="139" spans="1:10" x14ac:dyDescent="0.35">
      <c r="I139">
        <f>SUM(I121:I138)</f>
        <v>1</v>
      </c>
    </row>
    <row r="142" spans="1:10" x14ac:dyDescent="0.35">
      <c r="B142" t="s">
        <v>52</v>
      </c>
      <c r="C142" t="s">
        <v>35</v>
      </c>
    </row>
    <row r="143" spans="1:10" x14ac:dyDescent="0.35">
      <c r="A143" s="5" t="s">
        <v>36</v>
      </c>
      <c r="B143" t="s">
        <v>38</v>
      </c>
      <c r="C143" t="s">
        <v>37</v>
      </c>
      <c r="D143" t="s">
        <v>25</v>
      </c>
      <c r="E143" t="s">
        <v>41</v>
      </c>
      <c r="F143" t="s">
        <v>40</v>
      </c>
      <c r="G143" s="5" t="s">
        <v>105</v>
      </c>
      <c r="H143" t="s">
        <v>42</v>
      </c>
      <c r="I143" t="s">
        <v>32</v>
      </c>
      <c r="J143" s="4" t="s">
        <v>33</v>
      </c>
    </row>
    <row r="144" spans="1:10" x14ac:dyDescent="0.35">
      <c r="A144">
        <v>0.5</v>
      </c>
      <c r="B144">
        <f>A144</f>
        <v>0.5</v>
      </c>
      <c r="C144" s="1">
        <f>+DATE(YEAR($C$1),MONTH($C$1)+B144*12,DAY($C$1)+2)</f>
        <v>45571</v>
      </c>
      <c r="D144">
        <f>+(C144-$C$1)/360</f>
        <v>0.51388888888888884</v>
      </c>
      <c r="E144" s="6">
        <f>(C144-$C$1)/360</f>
        <v>0.51388888888888884</v>
      </c>
      <c r="F144">
        <v>0</v>
      </c>
      <c r="G144" s="5">
        <f>E144*('Tasas XCCY UF vs Camara'!$C$17/100)</f>
        <v>1.0431944444444443E-2</v>
      </c>
      <c r="H144">
        <v>0.98846923183584823</v>
      </c>
      <c r="I144">
        <f>H144*SUM(F144:G144)</f>
        <v>1.0311656111554244E-2</v>
      </c>
      <c r="J144" s="4">
        <f>+(1/H144)^(1/D144)-1</f>
        <v>2.2825217853303048E-2</v>
      </c>
    </row>
    <row r="145" spans="1:10" x14ac:dyDescent="0.35">
      <c r="A145">
        <v>1</v>
      </c>
      <c r="B145">
        <f t="shared" ref="B145:B163" si="56">A145</f>
        <v>1</v>
      </c>
      <c r="C145" s="1">
        <f t="shared" ref="C145:C163" si="57">+DATE(YEAR($C$1),MONTH($C$1)+B145*12,DAY($C$1)+2)</f>
        <v>45753</v>
      </c>
      <c r="D145">
        <f t="shared" ref="D145:D163" si="58">+(C145-$C$1)/360</f>
        <v>1.0194444444444444</v>
      </c>
      <c r="E145">
        <f>D145-D144</f>
        <v>0.50555555555555554</v>
      </c>
      <c r="F145">
        <v>0</v>
      </c>
      <c r="G145" s="5">
        <f>E145*('Tasas XCCY UF vs Camara'!$C$17/100)</f>
        <v>1.0262777777777777E-2</v>
      </c>
      <c r="H145">
        <v>0.9786984914042407</v>
      </c>
      <c r="I145">
        <f t="shared" ref="I145:I163" si="59">H145*SUM(F145:G145)</f>
        <v>1.0044165128728076E-2</v>
      </c>
      <c r="J145" s="4">
        <f t="shared" ref="J145:J163" si="60">+(1/H145)^(1/D145)-1</f>
        <v>2.1345600801821352E-2</v>
      </c>
    </row>
    <row r="146" spans="1:10" x14ac:dyDescent="0.35">
      <c r="A146">
        <v>1.5</v>
      </c>
      <c r="B146">
        <f t="shared" si="56"/>
        <v>1.5</v>
      </c>
      <c r="C146" s="1">
        <f t="shared" si="57"/>
        <v>45936</v>
      </c>
      <c r="D146">
        <f t="shared" si="58"/>
        <v>1.5277777777777777</v>
      </c>
      <c r="E146">
        <f t="shared" ref="E146:E163" si="61">D146-D145</f>
        <v>0.5083333333333333</v>
      </c>
      <c r="F146">
        <v>0</v>
      </c>
      <c r="G146" s="5">
        <f>E146*('Tasas XCCY UF vs Camara'!$C$17/100)</f>
        <v>1.0319166666666666E-2</v>
      </c>
      <c r="H146">
        <v>0.96991903870246388</v>
      </c>
      <c r="I146">
        <f t="shared" si="59"/>
        <v>1.0008756213543841E-2</v>
      </c>
      <c r="J146" s="4">
        <f t="shared" si="60"/>
        <v>2.0192739655148007E-2</v>
      </c>
    </row>
    <row r="147" spans="1:10" x14ac:dyDescent="0.35">
      <c r="A147">
        <v>2</v>
      </c>
      <c r="B147">
        <f t="shared" si="56"/>
        <v>2</v>
      </c>
      <c r="C147" s="1">
        <f t="shared" si="57"/>
        <v>46118</v>
      </c>
      <c r="D147">
        <f t="shared" si="58"/>
        <v>2.0333333333333332</v>
      </c>
      <c r="E147">
        <f t="shared" si="61"/>
        <v>0.50555555555555554</v>
      </c>
      <c r="F147">
        <v>0</v>
      </c>
      <c r="G147" s="5">
        <f>E147*('Tasas XCCY UF vs Camara'!$C$17/100)</f>
        <v>1.0262777777777777E-2</v>
      </c>
      <c r="H147">
        <v>0.95988340577914977</v>
      </c>
      <c r="I147">
        <f t="shared" si="59"/>
        <v>9.8510700860879076E-3</v>
      </c>
      <c r="J147" s="4">
        <f t="shared" si="60"/>
        <v>2.0340224408298635E-2</v>
      </c>
    </row>
    <row r="148" spans="1:10" x14ac:dyDescent="0.35">
      <c r="A148">
        <v>2.5</v>
      </c>
      <c r="B148">
        <f t="shared" si="56"/>
        <v>2.5</v>
      </c>
      <c r="C148" s="1">
        <f t="shared" si="57"/>
        <v>46301</v>
      </c>
      <c r="D148">
        <f t="shared" si="58"/>
        <v>2.5416666666666665</v>
      </c>
      <c r="E148">
        <f t="shared" si="61"/>
        <v>0.5083333333333333</v>
      </c>
      <c r="F148">
        <v>0</v>
      </c>
      <c r="G148" s="5">
        <f>E148*('Tasas XCCY UF vs Camara'!$C$17/100)</f>
        <v>1.0319166666666666E-2</v>
      </c>
      <c r="H148">
        <v>0.95007987870123201</v>
      </c>
      <c r="I148">
        <f t="shared" si="59"/>
        <v>9.804032614964462E-3</v>
      </c>
      <c r="J148" s="4">
        <f t="shared" si="60"/>
        <v>2.0352226617283087E-2</v>
      </c>
    </row>
    <row r="149" spans="1:10" x14ac:dyDescent="0.35">
      <c r="A149">
        <v>3</v>
      </c>
      <c r="B149">
        <f t="shared" si="56"/>
        <v>3</v>
      </c>
      <c r="C149" s="1">
        <f t="shared" si="57"/>
        <v>46483</v>
      </c>
      <c r="D149">
        <f t="shared" si="58"/>
        <v>3.0472222222222221</v>
      </c>
      <c r="E149">
        <f t="shared" si="61"/>
        <v>0.50555555555555554</v>
      </c>
      <c r="F149">
        <v>0</v>
      </c>
      <c r="G149" s="5">
        <f>E149*('Tasas XCCY UF vs Camara'!$C$17/100)</f>
        <v>1.0262777777777777E-2</v>
      </c>
      <c r="H149">
        <v>0.94032992280953231</v>
      </c>
      <c r="I149">
        <f t="shared" si="59"/>
        <v>9.6503970355891599E-3</v>
      </c>
      <c r="J149" s="4">
        <f t="shared" si="60"/>
        <v>2.0395553966489288E-2</v>
      </c>
    </row>
    <row r="150" spans="1:10" x14ac:dyDescent="0.35">
      <c r="A150">
        <v>3.5</v>
      </c>
      <c r="B150">
        <f t="shared" si="56"/>
        <v>3.5</v>
      </c>
      <c r="C150" s="1">
        <f t="shared" si="57"/>
        <v>46666</v>
      </c>
      <c r="D150">
        <f t="shared" si="58"/>
        <v>3.5555555555555554</v>
      </c>
      <c r="E150">
        <f t="shared" si="61"/>
        <v>0.5083333333333333</v>
      </c>
      <c r="F150">
        <v>0</v>
      </c>
      <c r="G150" s="5">
        <f>E150*('Tasas XCCY UF vs Camara'!$C$17/100)</f>
        <v>1.0319166666666666E-2</v>
      </c>
      <c r="H150">
        <v>0.93039229764203935</v>
      </c>
      <c r="I150">
        <f t="shared" si="59"/>
        <v>9.6008731847511443E-3</v>
      </c>
      <c r="J150" s="4">
        <f t="shared" si="60"/>
        <v>2.0499174117375452E-2</v>
      </c>
    </row>
    <row r="151" spans="1:10" x14ac:dyDescent="0.35">
      <c r="A151">
        <v>4</v>
      </c>
      <c r="B151">
        <f t="shared" si="56"/>
        <v>4</v>
      </c>
      <c r="C151" s="1">
        <f t="shared" si="57"/>
        <v>46849</v>
      </c>
      <c r="D151">
        <f t="shared" si="58"/>
        <v>4.0638888888888891</v>
      </c>
      <c r="E151">
        <f t="shared" si="61"/>
        <v>0.50833333333333375</v>
      </c>
      <c r="F151">
        <v>0</v>
      </c>
      <c r="G151" s="5">
        <f>E151*('Tasas XCCY UF vs Camara'!$C$17/100)</f>
        <v>1.0319166666666674E-2</v>
      </c>
      <c r="H151">
        <v>0.92045467247454626</v>
      </c>
      <c r="I151">
        <f t="shared" si="59"/>
        <v>9.4983251743769297E-3</v>
      </c>
      <c r="J151" s="4">
        <f t="shared" si="60"/>
        <v>2.0605531273894639E-2</v>
      </c>
    </row>
    <row r="152" spans="1:10" x14ac:dyDescent="0.35">
      <c r="A152" s="5">
        <v>4.5</v>
      </c>
      <c r="B152">
        <f t="shared" si="56"/>
        <v>4.5</v>
      </c>
      <c r="C152" s="1">
        <f t="shared" si="57"/>
        <v>47032</v>
      </c>
      <c r="D152">
        <f t="shared" si="58"/>
        <v>4.572222222222222</v>
      </c>
      <c r="E152">
        <f t="shared" si="61"/>
        <v>0.50833333333333286</v>
      </c>
      <c r="F152">
        <v>0</v>
      </c>
      <c r="G152" s="5">
        <f>E152*('Tasas XCCY UF vs Camara'!$C$17/100)</f>
        <v>1.0319166666666657E-2</v>
      </c>
      <c r="H152">
        <v>0.91124693740504237</v>
      </c>
      <c r="I152">
        <f t="shared" si="59"/>
        <v>9.4033090215721905E-3</v>
      </c>
      <c r="J152" s="4">
        <f t="shared" si="60"/>
        <v>2.053540116053898E-2</v>
      </c>
    </row>
    <row r="153" spans="1:10" x14ac:dyDescent="0.35">
      <c r="A153">
        <v>5</v>
      </c>
      <c r="B153">
        <f t="shared" si="56"/>
        <v>5</v>
      </c>
      <c r="C153" s="1">
        <f t="shared" si="57"/>
        <v>47214</v>
      </c>
      <c r="D153">
        <f t="shared" si="58"/>
        <v>5.0777777777777775</v>
      </c>
      <c r="E153">
        <f t="shared" si="61"/>
        <v>0.50555555555555554</v>
      </c>
      <c r="F153">
        <v>0</v>
      </c>
      <c r="G153" s="5">
        <f>E153*('Tasas XCCY UF vs Camara'!$C$17/100)</f>
        <v>1.0262777777777777E-2</v>
      </c>
      <c r="H153">
        <v>0.90208951782772151</v>
      </c>
      <c r="I153">
        <f t="shared" si="59"/>
        <v>9.2579442571286107E-3</v>
      </c>
      <c r="J153" s="4">
        <f t="shared" si="60"/>
        <v>2.0499936176433087E-2</v>
      </c>
    </row>
    <row r="154" spans="1:10" x14ac:dyDescent="0.35">
      <c r="A154">
        <v>5.5</v>
      </c>
      <c r="B154">
        <f t="shared" si="56"/>
        <v>5.5</v>
      </c>
      <c r="C154" s="1">
        <f t="shared" si="57"/>
        <v>47397</v>
      </c>
      <c r="D154">
        <f t="shared" si="58"/>
        <v>5.5861111111111112</v>
      </c>
      <c r="E154">
        <f t="shared" si="61"/>
        <v>0.50833333333333375</v>
      </c>
      <c r="F154">
        <v>0</v>
      </c>
      <c r="G154" s="5">
        <f>E154*('Tasas XCCY UF vs Camara'!$C$17/100)</f>
        <v>1.0319166666666674E-2</v>
      </c>
      <c r="H154">
        <v>0.89203366426541864</v>
      </c>
      <c r="I154">
        <f t="shared" si="59"/>
        <v>9.2050440538322398E-3</v>
      </c>
      <c r="J154" s="4">
        <f t="shared" si="60"/>
        <v>2.0663354076956963E-2</v>
      </c>
    </row>
    <row r="155" spans="1:10" x14ac:dyDescent="0.35">
      <c r="A155">
        <v>6</v>
      </c>
      <c r="B155">
        <f t="shared" si="56"/>
        <v>6</v>
      </c>
      <c r="C155" s="1">
        <f t="shared" si="57"/>
        <v>47579</v>
      </c>
      <c r="D155">
        <f t="shared" si="58"/>
        <v>6.0916666666666668</v>
      </c>
      <c r="E155">
        <f t="shared" si="61"/>
        <v>0.50555555555555554</v>
      </c>
      <c r="F155">
        <v>0</v>
      </c>
      <c r="G155" s="5">
        <f>E155*('Tasas XCCY UF vs Camara'!$C$17/100)</f>
        <v>1.0262777777777777E-2</v>
      </c>
      <c r="H155">
        <v>0.88203276072258185</v>
      </c>
      <c r="I155">
        <f t="shared" si="59"/>
        <v>9.0521062160156956E-3</v>
      </c>
      <c r="J155" s="4">
        <f t="shared" si="60"/>
        <v>2.0819969935254479E-2</v>
      </c>
    </row>
    <row r="156" spans="1:10" x14ac:dyDescent="0.35">
      <c r="A156">
        <v>6.5</v>
      </c>
      <c r="B156">
        <f t="shared" si="56"/>
        <v>6.5</v>
      </c>
      <c r="C156" s="1">
        <f t="shared" si="57"/>
        <v>47762</v>
      </c>
      <c r="D156">
        <f t="shared" si="58"/>
        <v>6.6</v>
      </c>
      <c r="E156">
        <f t="shared" si="61"/>
        <v>0.50833333333333286</v>
      </c>
      <c r="F156">
        <v>0</v>
      </c>
      <c r="G156" s="5">
        <f>E156*('Tasas XCCY UF vs Camara'!$C$17/100)</f>
        <v>1.0319166666666657E-2</v>
      </c>
      <c r="H156">
        <v>0.87224598504040074</v>
      </c>
      <c r="I156">
        <f t="shared" si="59"/>
        <v>9.0008516939627265E-3</v>
      </c>
      <c r="J156" s="4">
        <f t="shared" si="60"/>
        <v>2.0925600168833158E-2</v>
      </c>
    </row>
    <row r="157" spans="1:10" x14ac:dyDescent="0.35">
      <c r="A157">
        <v>7</v>
      </c>
      <c r="B157">
        <f t="shared" si="56"/>
        <v>7</v>
      </c>
      <c r="C157" s="1">
        <f t="shared" si="57"/>
        <v>47944</v>
      </c>
      <c r="D157">
        <f t="shared" si="58"/>
        <v>7.1055555555555552</v>
      </c>
      <c r="E157">
        <f t="shared" si="61"/>
        <v>0.50555555555555554</v>
      </c>
      <c r="F157">
        <v>0</v>
      </c>
      <c r="G157" s="5">
        <f>E157*('Tasas XCCY UF vs Camara'!$C$17/100)</f>
        <v>1.0262777777777777E-2</v>
      </c>
      <c r="H157">
        <v>0.86251268900675615</v>
      </c>
      <c r="I157">
        <f t="shared" si="59"/>
        <v>8.8517760577898914E-3</v>
      </c>
      <c r="J157" s="4">
        <f t="shared" si="60"/>
        <v>2.1033614266791512E-2</v>
      </c>
    </row>
    <row r="158" spans="1:10" x14ac:dyDescent="0.35">
      <c r="A158">
        <v>7.5</v>
      </c>
      <c r="B158">
        <f t="shared" si="56"/>
        <v>7.5</v>
      </c>
      <c r="C158" s="1">
        <f t="shared" si="57"/>
        <v>48127</v>
      </c>
      <c r="D158">
        <f t="shared" si="58"/>
        <v>7.6138888888888889</v>
      </c>
      <c r="E158">
        <f t="shared" si="61"/>
        <v>0.50833333333333375</v>
      </c>
      <c r="F158">
        <v>0</v>
      </c>
      <c r="G158" s="5">
        <f>E158*('Tasas XCCY UF vs Camara'!$C$17/100)</f>
        <v>1.0319166666666674E-2</v>
      </c>
      <c r="H158">
        <v>0.85404236890298058</v>
      </c>
      <c r="I158">
        <f t="shared" si="59"/>
        <v>8.8130055451046806E-3</v>
      </c>
      <c r="J158" s="4">
        <f t="shared" si="60"/>
        <v>2.0938120106715363E-2</v>
      </c>
    </row>
    <row r="159" spans="1:10" x14ac:dyDescent="0.35">
      <c r="A159">
        <v>8</v>
      </c>
      <c r="B159">
        <f t="shared" si="56"/>
        <v>8</v>
      </c>
      <c r="C159" s="1">
        <f t="shared" si="57"/>
        <v>48310</v>
      </c>
      <c r="D159">
        <f t="shared" si="58"/>
        <v>8.1222222222222218</v>
      </c>
      <c r="E159">
        <f t="shared" si="61"/>
        <v>0.50833333333333286</v>
      </c>
      <c r="F159">
        <v>0</v>
      </c>
      <c r="G159" s="5">
        <f>E159*('Tasas XCCY UF vs Camara'!$C$17/100)</f>
        <v>1.0319166666666657E-2</v>
      </c>
      <c r="H159">
        <v>0.84557204879920511</v>
      </c>
      <c r="I159">
        <f t="shared" si="59"/>
        <v>8.7255989002337896E-3</v>
      </c>
      <c r="J159" s="4">
        <f t="shared" si="60"/>
        <v>2.0866950223036085E-2</v>
      </c>
    </row>
    <row r="160" spans="1:10" x14ac:dyDescent="0.35">
      <c r="A160">
        <v>8.5</v>
      </c>
      <c r="B160">
        <f t="shared" si="56"/>
        <v>8.5</v>
      </c>
      <c r="C160" s="1">
        <f t="shared" si="57"/>
        <v>48493</v>
      </c>
      <c r="D160">
        <f t="shared" si="58"/>
        <v>8.6305555555555564</v>
      </c>
      <c r="E160">
        <f t="shared" si="61"/>
        <v>0.50833333333333464</v>
      </c>
      <c r="F160">
        <v>0</v>
      </c>
      <c r="G160" s="5">
        <f>E160*('Tasas XCCY UF vs Camara'!$C$17/100)</f>
        <v>1.0319166666666692E-2</v>
      </c>
      <c r="H160">
        <v>0.83760968652685885</v>
      </c>
      <c r="I160">
        <f t="shared" si="59"/>
        <v>8.6434339568850979E-3</v>
      </c>
      <c r="J160" s="4">
        <f t="shared" si="60"/>
        <v>2.0744289276428685E-2</v>
      </c>
    </row>
    <row r="161" spans="1:10" x14ac:dyDescent="0.35">
      <c r="A161">
        <v>9</v>
      </c>
      <c r="B161">
        <f t="shared" si="56"/>
        <v>9</v>
      </c>
      <c r="C161" s="1">
        <f t="shared" si="57"/>
        <v>48675</v>
      </c>
      <c r="D161">
        <f t="shared" si="58"/>
        <v>9.1361111111111111</v>
      </c>
      <c r="E161">
        <f t="shared" si="61"/>
        <v>0.50555555555555465</v>
      </c>
      <c r="F161">
        <v>0</v>
      </c>
      <c r="G161" s="5">
        <f>E161*('Tasas XCCY UF vs Camara'!$C$17/100)</f>
        <v>1.0262777777777758E-2</v>
      </c>
      <c r="H161">
        <v>0.82969083443086433</v>
      </c>
      <c r="I161">
        <f t="shared" si="59"/>
        <v>8.5149326580229601E-3</v>
      </c>
      <c r="J161" s="4">
        <f t="shared" si="60"/>
        <v>2.0645861558836298E-2</v>
      </c>
    </row>
    <row r="162" spans="1:10" x14ac:dyDescent="0.35">
      <c r="A162">
        <v>9.5</v>
      </c>
      <c r="B162">
        <f t="shared" si="56"/>
        <v>9.5</v>
      </c>
      <c r="C162" s="1">
        <f t="shared" si="57"/>
        <v>48858</v>
      </c>
      <c r="D162">
        <f t="shared" si="58"/>
        <v>9.6444444444444439</v>
      </c>
      <c r="E162">
        <f t="shared" si="61"/>
        <v>0.50833333333333286</v>
      </c>
      <c r="F162">
        <v>0</v>
      </c>
      <c r="G162" s="5">
        <f>E162*('Tasas XCCY UF vs Camara'!$C$17/100)</f>
        <v>1.0319166666666657E-2</v>
      </c>
      <c r="H162">
        <f>+((H163-H161)/(D163-D161))*(D162-D161)+H161</f>
        <v>0.82228226088334866</v>
      </c>
      <c r="I162">
        <f t="shared" si="59"/>
        <v>8.485267697098748E-3</v>
      </c>
      <c r="J162" s="4">
        <f t="shared" si="60"/>
        <v>2.0495736888332949E-2</v>
      </c>
    </row>
    <row r="163" spans="1:10" x14ac:dyDescent="0.35">
      <c r="A163">
        <v>10</v>
      </c>
      <c r="B163">
        <f t="shared" si="56"/>
        <v>10</v>
      </c>
      <c r="C163" s="1">
        <f t="shared" si="57"/>
        <v>49040</v>
      </c>
      <c r="D163">
        <f t="shared" si="58"/>
        <v>10.15</v>
      </c>
      <c r="E163">
        <f t="shared" si="61"/>
        <v>0.50555555555555642</v>
      </c>
      <c r="F163">
        <v>1</v>
      </c>
      <c r="G163" s="5">
        <f>E163*('Tasas XCCY UF vs Camara'!$C$17/100)</f>
        <v>1.0262777777777794E-2</v>
      </c>
      <c r="H163" s="2">
        <v>0.81491417134428934</v>
      </c>
      <c r="I163">
        <f t="shared" si="59"/>
        <v>0.82327745439275768</v>
      </c>
      <c r="J163" s="8">
        <f t="shared" si="60"/>
        <v>2.0369459188657846E-2</v>
      </c>
    </row>
    <row r="164" spans="1:10" x14ac:dyDescent="0.35">
      <c r="I164">
        <f>SUM(I144:I163)</f>
        <v>1</v>
      </c>
    </row>
    <row r="167" spans="1:10" x14ac:dyDescent="0.35">
      <c r="B167" t="s">
        <v>53</v>
      </c>
      <c r="C167" t="s">
        <v>35</v>
      </c>
    </row>
    <row r="168" spans="1:10" x14ac:dyDescent="0.35">
      <c r="A168" s="5" t="s">
        <v>36</v>
      </c>
      <c r="B168" t="s">
        <v>38</v>
      </c>
      <c r="C168" t="s">
        <v>37</v>
      </c>
      <c r="D168" t="s">
        <v>25</v>
      </c>
      <c r="E168" t="s">
        <v>41</v>
      </c>
      <c r="F168" t="s">
        <v>40</v>
      </c>
      <c r="G168" s="5" t="s">
        <v>105</v>
      </c>
      <c r="H168" t="s">
        <v>42</v>
      </c>
      <c r="I168" t="s">
        <v>32</v>
      </c>
      <c r="J168" s="4" t="s">
        <v>33</v>
      </c>
    </row>
    <row r="169" spans="1:10" x14ac:dyDescent="0.35">
      <c r="A169">
        <v>0.5</v>
      </c>
      <c r="B169">
        <f>A169</f>
        <v>0.5</v>
      </c>
      <c r="C169" s="1">
        <f>+DATE(YEAR($C$1),MONTH($C$1)+B169*12,DAY($C$1)+2)</f>
        <v>45571</v>
      </c>
      <c r="D169">
        <f>+(C169-$C$1)/360</f>
        <v>0.51388888888888884</v>
      </c>
      <c r="E169" s="6">
        <f>(C169-$C$1)/360</f>
        <v>0.51388888888888884</v>
      </c>
      <c r="F169">
        <v>0</v>
      </c>
      <c r="G169" s="5">
        <f>E169*('Tasas XCCY UF vs Camara'!$C$18/100)</f>
        <v>9.5069444444444446E-3</v>
      </c>
      <c r="H169">
        <v>0.98846923183584823</v>
      </c>
      <c r="I169">
        <f>H169*SUM(F169:G169)</f>
        <v>9.3973220721060846E-3</v>
      </c>
      <c r="J169" s="4">
        <f>+(1/H169)^(1/D169)-1</f>
        <v>2.2825217853303048E-2</v>
      </c>
    </row>
    <row r="170" spans="1:10" x14ac:dyDescent="0.35">
      <c r="A170">
        <v>1</v>
      </c>
      <c r="B170">
        <f t="shared" ref="B170:B192" si="62">A170</f>
        <v>1</v>
      </c>
      <c r="C170" s="1">
        <f t="shared" ref="C170:C192" si="63">+DATE(YEAR($C$1),MONTH($C$1)+B170*12,DAY($C$1)+2)</f>
        <v>45753</v>
      </c>
      <c r="D170">
        <f t="shared" ref="D170:D192" si="64">+(C170-$C$1)/360</f>
        <v>1.0194444444444444</v>
      </c>
      <c r="E170">
        <f>D170-D169</f>
        <v>0.50555555555555554</v>
      </c>
      <c r="F170">
        <v>0</v>
      </c>
      <c r="G170" s="5">
        <f>E170*('Tasas XCCY UF vs Camara'!$C$18/100)</f>
        <v>9.3527777777777793E-3</v>
      </c>
      <c r="H170">
        <v>0.9786984914042407</v>
      </c>
      <c r="I170">
        <f t="shared" ref="I170:I192" si="65">H170*SUM(F170:G170)</f>
        <v>9.1535495015502202E-3</v>
      </c>
      <c r="J170" s="4">
        <f t="shared" ref="J170:J192" si="66">+(1/H170)^(1/D170)-1</f>
        <v>2.1345600801821352E-2</v>
      </c>
    </row>
    <row r="171" spans="1:10" x14ac:dyDescent="0.35">
      <c r="A171">
        <v>1.5</v>
      </c>
      <c r="B171">
        <f t="shared" si="62"/>
        <v>1.5</v>
      </c>
      <c r="C171" s="1">
        <f t="shared" si="63"/>
        <v>45936</v>
      </c>
      <c r="D171">
        <f t="shared" si="64"/>
        <v>1.5277777777777777</v>
      </c>
      <c r="E171">
        <f t="shared" ref="E171:E192" si="67">D171-D170</f>
        <v>0.5083333333333333</v>
      </c>
      <c r="F171">
        <v>0</v>
      </c>
      <c r="G171" s="5">
        <f>E171*('Tasas XCCY UF vs Camara'!$C$18/100)</f>
        <v>9.4041666666666666E-3</v>
      </c>
      <c r="H171">
        <v>0.96991903870246388</v>
      </c>
      <c r="I171">
        <f t="shared" si="65"/>
        <v>9.1212802931310878E-3</v>
      </c>
      <c r="J171" s="4">
        <f t="shared" si="66"/>
        <v>2.0192739655148007E-2</v>
      </c>
    </row>
    <row r="172" spans="1:10" x14ac:dyDescent="0.35">
      <c r="A172">
        <v>2</v>
      </c>
      <c r="B172">
        <f t="shared" si="62"/>
        <v>2</v>
      </c>
      <c r="C172" s="1">
        <f t="shared" si="63"/>
        <v>46118</v>
      </c>
      <c r="D172">
        <f t="shared" si="64"/>
        <v>2.0333333333333332</v>
      </c>
      <c r="E172">
        <f t="shared" si="67"/>
        <v>0.50555555555555554</v>
      </c>
      <c r="F172">
        <v>0</v>
      </c>
      <c r="G172" s="5">
        <f>E172*('Tasas XCCY UF vs Camara'!$C$18/100)</f>
        <v>9.3527777777777793E-3</v>
      </c>
      <c r="H172">
        <v>0.95988340577914977</v>
      </c>
      <c r="I172">
        <f t="shared" si="65"/>
        <v>8.9775761868288832E-3</v>
      </c>
      <c r="J172" s="4">
        <f t="shared" si="66"/>
        <v>2.0340224408298635E-2</v>
      </c>
    </row>
    <row r="173" spans="1:10" x14ac:dyDescent="0.35">
      <c r="A173">
        <v>2.5</v>
      </c>
      <c r="B173">
        <f t="shared" si="62"/>
        <v>2.5</v>
      </c>
      <c r="C173" s="1">
        <f t="shared" si="63"/>
        <v>46301</v>
      </c>
      <c r="D173">
        <f t="shared" si="64"/>
        <v>2.5416666666666665</v>
      </c>
      <c r="E173">
        <f t="shared" si="67"/>
        <v>0.5083333333333333</v>
      </c>
      <c r="F173">
        <v>0</v>
      </c>
      <c r="G173" s="5">
        <f>E173*('Tasas XCCY UF vs Camara'!$C$18/100)</f>
        <v>9.4041666666666666E-3</v>
      </c>
      <c r="H173">
        <v>0.95007987870123201</v>
      </c>
      <c r="I173">
        <f t="shared" si="65"/>
        <v>8.9347095259528359E-3</v>
      </c>
      <c r="J173" s="4">
        <f t="shared" si="66"/>
        <v>2.0352226617283087E-2</v>
      </c>
    </row>
    <row r="174" spans="1:10" x14ac:dyDescent="0.35">
      <c r="A174">
        <v>3</v>
      </c>
      <c r="B174">
        <f t="shared" si="62"/>
        <v>3</v>
      </c>
      <c r="C174" s="1">
        <f t="shared" si="63"/>
        <v>46483</v>
      </c>
      <c r="D174">
        <f t="shared" si="64"/>
        <v>3.0472222222222221</v>
      </c>
      <c r="E174">
        <f t="shared" si="67"/>
        <v>0.50555555555555554</v>
      </c>
      <c r="F174">
        <v>0</v>
      </c>
      <c r="G174" s="5">
        <f>E174*('Tasas XCCY UF vs Camara'!$C$18/100)</f>
        <v>9.3527777777777793E-3</v>
      </c>
      <c r="H174">
        <v>0.94032992280953231</v>
      </c>
      <c r="I174">
        <f t="shared" si="65"/>
        <v>8.7946968058324887E-3</v>
      </c>
      <c r="J174" s="4">
        <f t="shared" si="66"/>
        <v>2.0395553966489288E-2</v>
      </c>
    </row>
    <row r="175" spans="1:10" x14ac:dyDescent="0.35">
      <c r="A175">
        <v>3.5</v>
      </c>
      <c r="B175">
        <f t="shared" si="62"/>
        <v>3.5</v>
      </c>
      <c r="C175" s="1">
        <f t="shared" si="63"/>
        <v>46666</v>
      </c>
      <c r="D175">
        <f t="shared" si="64"/>
        <v>3.5555555555555554</v>
      </c>
      <c r="E175">
        <f t="shared" si="67"/>
        <v>0.5083333333333333</v>
      </c>
      <c r="F175">
        <v>0</v>
      </c>
      <c r="G175" s="5">
        <f>E175*('Tasas XCCY UF vs Camara'!$C$18/100)</f>
        <v>9.4041666666666666E-3</v>
      </c>
      <c r="H175">
        <v>0.93039229764203935</v>
      </c>
      <c r="I175">
        <f t="shared" si="65"/>
        <v>8.7495642324086787E-3</v>
      </c>
      <c r="J175" s="4">
        <f t="shared" si="66"/>
        <v>2.0499174117375452E-2</v>
      </c>
    </row>
    <row r="176" spans="1:10" x14ac:dyDescent="0.35">
      <c r="A176">
        <v>4</v>
      </c>
      <c r="B176">
        <f t="shared" si="62"/>
        <v>4</v>
      </c>
      <c r="C176" s="1">
        <f t="shared" si="63"/>
        <v>46849</v>
      </c>
      <c r="D176">
        <f t="shared" si="64"/>
        <v>4.0638888888888891</v>
      </c>
      <c r="E176">
        <f t="shared" si="67"/>
        <v>0.50833333333333375</v>
      </c>
      <c r="F176">
        <v>0</v>
      </c>
      <c r="G176" s="5">
        <f>E176*('Tasas XCCY UF vs Camara'!$C$18/100)</f>
        <v>9.4041666666666753E-3</v>
      </c>
      <c r="H176">
        <v>0.92045467247454626</v>
      </c>
      <c r="I176">
        <f t="shared" si="65"/>
        <v>8.6561091490627209E-3</v>
      </c>
      <c r="J176" s="4">
        <f t="shared" si="66"/>
        <v>2.0605531273894639E-2</v>
      </c>
    </row>
    <row r="177" spans="1:10" x14ac:dyDescent="0.35">
      <c r="A177" s="5">
        <v>4.5</v>
      </c>
      <c r="B177">
        <f t="shared" si="62"/>
        <v>4.5</v>
      </c>
      <c r="C177" s="1">
        <f t="shared" si="63"/>
        <v>47032</v>
      </c>
      <c r="D177">
        <f t="shared" si="64"/>
        <v>4.572222222222222</v>
      </c>
      <c r="E177">
        <f t="shared" si="67"/>
        <v>0.50833333333333286</v>
      </c>
      <c r="F177">
        <v>0</v>
      </c>
      <c r="G177" s="5">
        <f>E177*('Tasas XCCY UF vs Camara'!$C$18/100)</f>
        <v>9.4041666666666596E-3</v>
      </c>
      <c r="H177">
        <v>0.91124693740504237</v>
      </c>
      <c r="I177">
        <f t="shared" si="65"/>
        <v>8.5695180738465798E-3</v>
      </c>
      <c r="J177" s="4">
        <f t="shared" si="66"/>
        <v>2.053540116053898E-2</v>
      </c>
    </row>
    <row r="178" spans="1:10" x14ac:dyDescent="0.35">
      <c r="A178">
        <v>5</v>
      </c>
      <c r="B178">
        <f t="shared" si="62"/>
        <v>5</v>
      </c>
      <c r="C178" s="1">
        <f t="shared" si="63"/>
        <v>47214</v>
      </c>
      <c r="D178">
        <f t="shared" si="64"/>
        <v>5.0777777777777775</v>
      </c>
      <c r="E178">
        <f t="shared" si="67"/>
        <v>0.50555555555555554</v>
      </c>
      <c r="F178">
        <v>0</v>
      </c>
      <c r="G178" s="5">
        <f>E178*('Tasas XCCY UF vs Camara'!$C$18/100)</f>
        <v>9.3527777777777793E-3</v>
      </c>
      <c r="H178">
        <v>0.90208951782772151</v>
      </c>
      <c r="I178">
        <f t="shared" si="65"/>
        <v>8.4370427959053855E-3</v>
      </c>
      <c r="J178" s="4">
        <f t="shared" si="66"/>
        <v>2.0499936176433087E-2</v>
      </c>
    </row>
    <row r="179" spans="1:10" x14ac:dyDescent="0.35">
      <c r="A179">
        <v>5.5</v>
      </c>
      <c r="B179">
        <f t="shared" si="62"/>
        <v>5.5</v>
      </c>
      <c r="C179" s="1">
        <f t="shared" si="63"/>
        <v>47397</v>
      </c>
      <c r="D179">
        <f t="shared" si="64"/>
        <v>5.5861111111111112</v>
      </c>
      <c r="E179">
        <f t="shared" si="67"/>
        <v>0.50833333333333375</v>
      </c>
      <c r="F179">
        <v>0</v>
      </c>
      <c r="G179" s="5">
        <f>E179*('Tasas XCCY UF vs Camara'!$C$18/100)</f>
        <v>9.4041666666666753E-3</v>
      </c>
      <c r="H179">
        <v>0.89203366426541864</v>
      </c>
      <c r="I179">
        <f t="shared" si="65"/>
        <v>8.3888332510293814E-3</v>
      </c>
      <c r="J179" s="4">
        <f t="shared" si="66"/>
        <v>2.0663354076956963E-2</v>
      </c>
    </row>
    <row r="180" spans="1:10" x14ac:dyDescent="0.35">
      <c r="A180">
        <v>6</v>
      </c>
      <c r="B180">
        <f t="shared" si="62"/>
        <v>6</v>
      </c>
      <c r="C180" s="1">
        <f t="shared" si="63"/>
        <v>47579</v>
      </c>
      <c r="D180">
        <f t="shared" si="64"/>
        <v>6.0916666666666668</v>
      </c>
      <c r="E180">
        <f t="shared" si="67"/>
        <v>0.50555555555555554</v>
      </c>
      <c r="F180">
        <v>0</v>
      </c>
      <c r="G180" s="5">
        <f>E180*('Tasas XCCY UF vs Camara'!$C$18/100)</f>
        <v>9.3527777777777793E-3</v>
      </c>
      <c r="H180">
        <v>0.88203276072258185</v>
      </c>
      <c r="I180">
        <f t="shared" si="65"/>
        <v>8.2494564037581489E-3</v>
      </c>
      <c r="J180" s="4">
        <f t="shared" si="66"/>
        <v>2.0819969935254479E-2</v>
      </c>
    </row>
    <row r="181" spans="1:10" x14ac:dyDescent="0.35">
      <c r="A181">
        <v>6.5</v>
      </c>
      <c r="B181">
        <f t="shared" si="62"/>
        <v>6.5</v>
      </c>
      <c r="C181" s="1">
        <f t="shared" si="63"/>
        <v>47762</v>
      </c>
      <c r="D181">
        <f t="shared" si="64"/>
        <v>6.6</v>
      </c>
      <c r="E181">
        <f t="shared" si="67"/>
        <v>0.50833333333333286</v>
      </c>
      <c r="F181">
        <v>0</v>
      </c>
      <c r="G181" s="5">
        <f>E181*('Tasas XCCY UF vs Camara'!$C$18/100)</f>
        <v>9.4041666666666596E-3</v>
      </c>
      <c r="H181">
        <v>0.87224598504040074</v>
      </c>
      <c r="I181">
        <f t="shared" si="65"/>
        <v>8.2027466176507625E-3</v>
      </c>
      <c r="J181" s="4">
        <f t="shared" si="66"/>
        <v>2.0925600168833158E-2</v>
      </c>
    </row>
    <row r="182" spans="1:10" x14ac:dyDescent="0.35">
      <c r="A182">
        <v>7</v>
      </c>
      <c r="B182">
        <f t="shared" si="62"/>
        <v>7</v>
      </c>
      <c r="C182" s="1">
        <f t="shared" si="63"/>
        <v>47944</v>
      </c>
      <c r="D182">
        <f t="shared" si="64"/>
        <v>7.1055555555555552</v>
      </c>
      <c r="E182">
        <f t="shared" si="67"/>
        <v>0.50555555555555554</v>
      </c>
      <c r="F182">
        <v>0</v>
      </c>
      <c r="G182" s="5">
        <f>E182*('Tasas XCCY UF vs Camara'!$C$18/100)</f>
        <v>9.3527777777777793E-3</v>
      </c>
      <c r="H182">
        <v>0.86251268900675615</v>
      </c>
      <c r="I182">
        <f t="shared" si="65"/>
        <v>8.0668895107937448E-3</v>
      </c>
      <c r="J182" s="4">
        <f t="shared" si="66"/>
        <v>2.1033614266791512E-2</v>
      </c>
    </row>
    <row r="183" spans="1:10" x14ac:dyDescent="0.35">
      <c r="A183">
        <v>7.5</v>
      </c>
      <c r="B183">
        <f t="shared" si="62"/>
        <v>7.5</v>
      </c>
      <c r="C183" s="1">
        <f t="shared" si="63"/>
        <v>48127</v>
      </c>
      <c r="D183">
        <f t="shared" si="64"/>
        <v>7.6138888888888889</v>
      </c>
      <c r="E183">
        <f t="shared" si="67"/>
        <v>0.50833333333333375</v>
      </c>
      <c r="F183">
        <v>0</v>
      </c>
      <c r="G183" s="5">
        <f>E183*('Tasas XCCY UF vs Camara'!$C$18/100)</f>
        <v>9.4041666666666753E-3</v>
      </c>
      <c r="H183">
        <v>0.85404236890298058</v>
      </c>
      <c r="I183">
        <f t="shared" si="65"/>
        <v>8.0315567775584538E-3</v>
      </c>
      <c r="J183" s="4">
        <f t="shared" si="66"/>
        <v>2.0938120106715363E-2</v>
      </c>
    </row>
    <row r="184" spans="1:10" x14ac:dyDescent="0.35">
      <c r="A184">
        <v>8</v>
      </c>
      <c r="B184">
        <f t="shared" si="62"/>
        <v>8</v>
      </c>
      <c r="C184" s="1">
        <f t="shared" si="63"/>
        <v>48310</v>
      </c>
      <c r="D184">
        <f t="shared" si="64"/>
        <v>8.1222222222222218</v>
      </c>
      <c r="E184">
        <f t="shared" si="67"/>
        <v>0.50833333333333286</v>
      </c>
      <c r="F184">
        <v>0</v>
      </c>
      <c r="G184" s="5">
        <f>E184*('Tasas XCCY UF vs Camara'!$C$18/100)</f>
        <v>9.4041666666666596E-3</v>
      </c>
      <c r="H184">
        <v>0.84557204879920511</v>
      </c>
      <c r="I184">
        <f t="shared" si="65"/>
        <v>7.9519004755825191E-3</v>
      </c>
      <c r="J184" s="4">
        <f t="shared" si="66"/>
        <v>2.0866950223036085E-2</v>
      </c>
    </row>
    <row r="185" spans="1:10" x14ac:dyDescent="0.35">
      <c r="A185">
        <v>8.5</v>
      </c>
      <c r="B185">
        <f t="shared" si="62"/>
        <v>8.5</v>
      </c>
      <c r="C185" s="1">
        <f t="shared" si="63"/>
        <v>48493</v>
      </c>
      <c r="D185">
        <f t="shared" si="64"/>
        <v>8.6305555555555564</v>
      </c>
      <c r="E185">
        <f t="shared" si="67"/>
        <v>0.50833333333333464</v>
      </c>
      <c r="F185">
        <v>0</v>
      </c>
      <c r="G185" s="5">
        <f>E185*('Tasas XCCY UF vs Camara'!$C$18/100)</f>
        <v>9.4041666666666926E-3</v>
      </c>
      <c r="H185">
        <v>0.83760968652685885</v>
      </c>
      <c r="I185">
        <f t="shared" si="65"/>
        <v>7.8770210937130231E-3</v>
      </c>
      <c r="J185" s="4">
        <f t="shared" si="66"/>
        <v>2.0744289276428685E-2</v>
      </c>
    </row>
    <row r="186" spans="1:10" x14ac:dyDescent="0.35">
      <c r="A186">
        <v>9</v>
      </c>
      <c r="B186">
        <f t="shared" si="62"/>
        <v>9</v>
      </c>
      <c r="C186" s="1">
        <f t="shared" si="63"/>
        <v>48675</v>
      </c>
      <c r="D186">
        <f t="shared" si="64"/>
        <v>9.1361111111111111</v>
      </c>
      <c r="E186">
        <f t="shared" si="67"/>
        <v>0.50555555555555465</v>
      </c>
      <c r="F186">
        <v>0</v>
      </c>
      <c r="G186" s="5">
        <f>E186*('Tasas XCCY UF vs Camara'!$C$18/100)</f>
        <v>9.352777777777762E-3</v>
      </c>
      <c r="H186">
        <v>0.82969083443086433</v>
      </c>
      <c r="I186">
        <f t="shared" si="65"/>
        <v>7.7599139986908768E-3</v>
      </c>
      <c r="J186" s="4">
        <f t="shared" si="66"/>
        <v>2.0645861558836298E-2</v>
      </c>
    </row>
    <row r="187" spans="1:10" x14ac:dyDescent="0.35">
      <c r="A187">
        <v>9.5</v>
      </c>
      <c r="B187">
        <f t="shared" si="62"/>
        <v>9.5</v>
      </c>
      <c r="C187" s="1">
        <f t="shared" si="63"/>
        <v>48858</v>
      </c>
      <c r="D187">
        <f t="shared" si="64"/>
        <v>9.6444444444444439</v>
      </c>
      <c r="E187">
        <f t="shared" si="67"/>
        <v>0.50833333333333286</v>
      </c>
      <c r="F187">
        <v>0</v>
      </c>
      <c r="G187" s="5">
        <f>E187*('Tasas XCCY UF vs Camara'!$C$18/100)</f>
        <v>9.4041666666666596E-3</v>
      </c>
      <c r="H187">
        <v>0.82228226088334866</v>
      </c>
      <c r="I187">
        <f t="shared" si="65"/>
        <v>7.7328794283904852E-3</v>
      </c>
      <c r="J187" s="4">
        <f t="shared" si="66"/>
        <v>2.0495736888332949E-2</v>
      </c>
    </row>
    <row r="188" spans="1:10" x14ac:dyDescent="0.35">
      <c r="A188">
        <v>10</v>
      </c>
      <c r="B188">
        <f t="shared" si="62"/>
        <v>10</v>
      </c>
      <c r="C188" s="1">
        <f t="shared" si="63"/>
        <v>49040</v>
      </c>
      <c r="D188">
        <f t="shared" si="64"/>
        <v>10.15</v>
      </c>
      <c r="E188">
        <f t="shared" si="67"/>
        <v>0.50555555555555642</v>
      </c>
      <c r="F188">
        <v>0</v>
      </c>
      <c r="G188" s="5">
        <f>E188*('Tasas XCCY UF vs Camara'!$C$18/100)</f>
        <v>9.3527777777777949E-3</v>
      </c>
      <c r="H188">
        <v>0.81491417134428934</v>
      </c>
      <c r="I188">
        <f t="shared" si="65"/>
        <v>7.6217111525450753E-3</v>
      </c>
      <c r="J188" s="4">
        <f t="shared" si="66"/>
        <v>2.0369459188657846E-2</v>
      </c>
    </row>
    <row r="189" spans="1:10" x14ac:dyDescent="0.35">
      <c r="A189">
        <v>10.5</v>
      </c>
      <c r="B189">
        <f t="shared" si="62"/>
        <v>10.5</v>
      </c>
      <c r="C189" s="1">
        <f t="shared" si="63"/>
        <v>49223</v>
      </c>
      <c r="D189">
        <f t="shared" si="64"/>
        <v>10.658333333333333</v>
      </c>
      <c r="E189">
        <f t="shared" si="67"/>
        <v>0.50833333333333286</v>
      </c>
      <c r="F189">
        <v>0</v>
      </c>
      <c r="G189" s="5">
        <f>E189*('Tasas XCCY UF vs Camara'!$C$18/100)</f>
        <v>9.4041666666666596E-3</v>
      </c>
      <c r="H189">
        <f>+(($H$192-$H$188)/($D$192-$D$188))*(D189-$D$188)+$H$188</f>
        <v>0.81144063598294869</v>
      </c>
      <c r="I189">
        <f t="shared" si="65"/>
        <v>7.6309229808896413E-3</v>
      </c>
      <c r="J189" s="4">
        <f t="shared" si="66"/>
        <v>1.9797236711800448E-2</v>
      </c>
    </row>
    <row r="190" spans="1:10" x14ac:dyDescent="0.35">
      <c r="A190">
        <v>11</v>
      </c>
      <c r="B190">
        <f t="shared" si="62"/>
        <v>11</v>
      </c>
      <c r="C190" s="1">
        <f t="shared" si="63"/>
        <v>49405</v>
      </c>
      <c r="D190">
        <f t="shared" si="64"/>
        <v>11.16388888888889</v>
      </c>
      <c r="E190">
        <f t="shared" si="67"/>
        <v>0.50555555555555642</v>
      </c>
      <c r="F190">
        <v>0</v>
      </c>
      <c r="G190" s="5">
        <f>E190*('Tasas XCCY UF vs Camara'!$C$18/100)</f>
        <v>9.3527777777777949E-3</v>
      </c>
      <c r="H190">
        <f t="shared" ref="H190:H191" si="68">+(($H$192-$H$188)/($D$192-$D$188))*(D190-$D$188)+$H$188</f>
        <v>0.80798608168915642</v>
      </c>
      <c r="I190">
        <f t="shared" si="65"/>
        <v>7.5569142695760963E-3</v>
      </c>
      <c r="J190" s="4">
        <f t="shared" si="66"/>
        <v>1.9281761224261285E-2</v>
      </c>
    </row>
    <row r="191" spans="1:10" x14ac:dyDescent="0.35">
      <c r="A191">
        <v>11.5</v>
      </c>
      <c r="B191">
        <f t="shared" si="62"/>
        <v>11.5</v>
      </c>
      <c r="C191" s="1">
        <f t="shared" si="63"/>
        <v>49588</v>
      </c>
      <c r="D191">
        <f t="shared" si="64"/>
        <v>11.672222222222222</v>
      </c>
      <c r="E191">
        <f t="shared" si="67"/>
        <v>0.50833333333333286</v>
      </c>
      <c r="F191">
        <v>0</v>
      </c>
      <c r="G191" s="5">
        <f>E191*('Tasas XCCY UF vs Camara'!$C$18/100)</f>
        <v>9.4041666666666596E-3</v>
      </c>
      <c r="H191">
        <f t="shared" si="68"/>
        <v>0.80451254632781577</v>
      </c>
      <c r="I191">
        <f t="shared" si="65"/>
        <v>7.5657700710911619E-3</v>
      </c>
      <c r="J191" s="4">
        <f t="shared" si="66"/>
        <v>1.881031365624608E-2</v>
      </c>
    </row>
    <row r="192" spans="1:10" x14ac:dyDescent="0.35">
      <c r="A192">
        <v>12</v>
      </c>
      <c r="B192">
        <f t="shared" si="62"/>
        <v>12</v>
      </c>
      <c r="C192" s="1">
        <f t="shared" si="63"/>
        <v>49771</v>
      </c>
      <c r="D192">
        <f t="shared" si="64"/>
        <v>12.180555555555555</v>
      </c>
      <c r="E192">
        <f t="shared" si="67"/>
        <v>0.50833333333333286</v>
      </c>
      <c r="F192">
        <v>1</v>
      </c>
      <c r="G192" s="5">
        <f>E192*('Tasas XCCY UF vs Camara'!$C$18/100)</f>
        <v>9.4041666666666596E-3</v>
      </c>
      <c r="H192" s="2">
        <v>0.80103901096647512</v>
      </c>
      <c r="I192">
        <f t="shared" si="65"/>
        <v>0.80857211533210571</v>
      </c>
      <c r="J192" s="8">
        <f t="shared" si="66"/>
        <v>1.8379966184065566E-2</v>
      </c>
    </row>
    <row r="193" spans="1:10" x14ac:dyDescent="0.35">
      <c r="I193">
        <f>SUM(I169:I192)</f>
        <v>1</v>
      </c>
    </row>
    <row r="196" spans="1:10" x14ac:dyDescent="0.35">
      <c r="B196" t="s">
        <v>54</v>
      </c>
      <c r="C196" t="s">
        <v>35</v>
      </c>
    </row>
    <row r="197" spans="1:10" x14ac:dyDescent="0.35">
      <c r="A197" s="5" t="s">
        <v>36</v>
      </c>
      <c r="B197" t="s">
        <v>38</v>
      </c>
      <c r="C197" t="s">
        <v>37</v>
      </c>
      <c r="D197" t="s">
        <v>25</v>
      </c>
      <c r="E197" t="s">
        <v>41</v>
      </c>
      <c r="F197" t="s">
        <v>40</v>
      </c>
      <c r="G197" s="5" t="s">
        <v>105</v>
      </c>
      <c r="H197" t="s">
        <v>42</v>
      </c>
      <c r="I197" t="s">
        <v>32</v>
      </c>
      <c r="J197" s="4" t="s">
        <v>33</v>
      </c>
    </row>
    <row r="198" spans="1:10" x14ac:dyDescent="0.35">
      <c r="A198">
        <v>0.5</v>
      </c>
      <c r="B198">
        <f>A198</f>
        <v>0.5</v>
      </c>
      <c r="C198" s="1">
        <f>+DATE(YEAR($C$1),MONTH($C$1)+B198*12,DAY($C$1)+2)</f>
        <v>45571</v>
      </c>
      <c r="D198">
        <f>+(C198-$C$1)/360</f>
        <v>0.51388888888888884</v>
      </c>
      <c r="E198" s="6">
        <f>(C198-$C$1)/360</f>
        <v>0.51388888888888884</v>
      </c>
      <c r="F198">
        <v>0</v>
      </c>
      <c r="G198" s="5">
        <f>E198*('Tasas XCCY UF vs Camara'!$C$18/100)</f>
        <v>9.5069444444444446E-3</v>
      </c>
      <c r="H198">
        <v>0.98846923183584823</v>
      </c>
      <c r="I198">
        <f>H198*SUM(F198:G198)</f>
        <v>9.3973220721060846E-3</v>
      </c>
      <c r="J198" s="4">
        <f>+(1/H198)^(1/D198)-1</f>
        <v>2.2825217853303048E-2</v>
      </c>
    </row>
    <row r="199" spans="1:10" x14ac:dyDescent="0.35">
      <c r="A199">
        <v>1</v>
      </c>
      <c r="B199">
        <f t="shared" ref="B199:B227" si="69">A199</f>
        <v>1</v>
      </c>
      <c r="C199" s="1">
        <f t="shared" ref="C199:C227" si="70">+DATE(YEAR($C$1),MONTH($C$1)+B199*12,DAY($C$1)+2)</f>
        <v>45753</v>
      </c>
      <c r="D199">
        <f t="shared" ref="D199:D227" si="71">+(C199-$C$1)/360</f>
        <v>1.0194444444444444</v>
      </c>
      <c r="E199">
        <f>D199-D198</f>
        <v>0.50555555555555554</v>
      </c>
      <c r="F199">
        <v>0</v>
      </c>
      <c r="G199" s="5">
        <f>E199*('Tasas XCCY UF vs Camara'!$C$18/100)</f>
        <v>9.3527777777777793E-3</v>
      </c>
      <c r="H199">
        <v>0.9786984914042407</v>
      </c>
      <c r="I199">
        <f t="shared" ref="I199:I227" si="72">H199*SUM(F199:G199)</f>
        <v>9.1535495015502202E-3</v>
      </c>
      <c r="J199" s="4">
        <f t="shared" ref="J199:J227" si="73">+(1/H199)^(1/D199)-1</f>
        <v>2.1345600801821352E-2</v>
      </c>
    </row>
    <row r="200" spans="1:10" x14ac:dyDescent="0.35">
      <c r="A200">
        <v>1.5</v>
      </c>
      <c r="B200">
        <f t="shared" si="69"/>
        <v>1.5</v>
      </c>
      <c r="C200" s="1">
        <f t="shared" si="70"/>
        <v>45936</v>
      </c>
      <c r="D200">
        <f t="shared" si="71"/>
        <v>1.5277777777777777</v>
      </c>
      <c r="E200">
        <f t="shared" ref="E200:E227" si="74">D200-D199</f>
        <v>0.5083333333333333</v>
      </c>
      <c r="F200">
        <v>0</v>
      </c>
      <c r="G200" s="5">
        <f>E200*('Tasas XCCY UF vs Camara'!$C$18/100)</f>
        <v>9.4041666666666666E-3</v>
      </c>
      <c r="H200">
        <v>0.96991903870246388</v>
      </c>
      <c r="I200">
        <f t="shared" si="72"/>
        <v>9.1212802931310878E-3</v>
      </c>
      <c r="J200" s="4">
        <f t="shared" si="73"/>
        <v>2.0192739655148007E-2</v>
      </c>
    </row>
    <row r="201" spans="1:10" x14ac:dyDescent="0.35">
      <c r="A201">
        <v>2</v>
      </c>
      <c r="B201">
        <f t="shared" si="69"/>
        <v>2</v>
      </c>
      <c r="C201" s="1">
        <f t="shared" si="70"/>
        <v>46118</v>
      </c>
      <c r="D201">
        <f t="shared" si="71"/>
        <v>2.0333333333333332</v>
      </c>
      <c r="E201">
        <f t="shared" si="74"/>
        <v>0.50555555555555554</v>
      </c>
      <c r="F201">
        <v>0</v>
      </c>
      <c r="G201" s="5">
        <f>E201*('Tasas XCCY UF vs Camara'!$C$18/100)</f>
        <v>9.3527777777777793E-3</v>
      </c>
      <c r="H201">
        <v>0.95988340577914977</v>
      </c>
      <c r="I201">
        <f t="shared" si="72"/>
        <v>8.9775761868288832E-3</v>
      </c>
      <c r="J201" s="4">
        <f t="shared" si="73"/>
        <v>2.0340224408298635E-2</v>
      </c>
    </row>
    <row r="202" spans="1:10" x14ac:dyDescent="0.35">
      <c r="A202">
        <v>2.5</v>
      </c>
      <c r="B202">
        <f t="shared" si="69"/>
        <v>2.5</v>
      </c>
      <c r="C202" s="1">
        <f t="shared" si="70"/>
        <v>46301</v>
      </c>
      <c r="D202">
        <f t="shared" si="71"/>
        <v>2.5416666666666665</v>
      </c>
      <c r="E202">
        <f t="shared" si="74"/>
        <v>0.5083333333333333</v>
      </c>
      <c r="F202">
        <v>0</v>
      </c>
      <c r="G202" s="5">
        <f>E202*('Tasas XCCY UF vs Camara'!$C$18/100)</f>
        <v>9.4041666666666666E-3</v>
      </c>
      <c r="H202">
        <v>0.95007987870123201</v>
      </c>
      <c r="I202">
        <f t="shared" si="72"/>
        <v>8.9347095259528359E-3</v>
      </c>
      <c r="J202" s="4">
        <f t="shared" si="73"/>
        <v>2.0352226617283087E-2</v>
      </c>
    </row>
    <row r="203" spans="1:10" x14ac:dyDescent="0.35">
      <c r="A203">
        <v>3</v>
      </c>
      <c r="B203">
        <f t="shared" si="69"/>
        <v>3</v>
      </c>
      <c r="C203" s="1">
        <f t="shared" si="70"/>
        <v>46483</v>
      </c>
      <c r="D203">
        <f t="shared" si="71"/>
        <v>3.0472222222222221</v>
      </c>
      <c r="E203">
        <f t="shared" si="74"/>
        <v>0.50555555555555554</v>
      </c>
      <c r="F203">
        <v>0</v>
      </c>
      <c r="G203" s="5">
        <f>E203*('Tasas XCCY UF vs Camara'!$C$18/100)</f>
        <v>9.3527777777777793E-3</v>
      </c>
      <c r="H203">
        <v>0.94032992280953231</v>
      </c>
      <c r="I203">
        <f t="shared" si="72"/>
        <v>8.7946968058324887E-3</v>
      </c>
      <c r="J203" s="4">
        <f t="shared" si="73"/>
        <v>2.0395553966489288E-2</v>
      </c>
    </row>
    <row r="204" spans="1:10" x14ac:dyDescent="0.35">
      <c r="A204">
        <v>3.5</v>
      </c>
      <c r="B204">
        <f t="shared" si="69"/>
        <v>3.5</v>
      </c>
      <c r="C204" s="1">
        <f t="shared" si="70"/>
        <v>46666</v>
      </c>
      <c r="D204">
        <f t="shared" si="71"/>
        <v>3.5555555555555554</v>
      </c>
      <c r="E204">
        <f t="shared" si="74"/>
        <v>0.5083333333333333</v>
      </c>
      <c r="F204">
        <v>0</v>
      </c>
      <c r="G204" s="5">
        <f>E204*('Tasas XCCY UF vs Camara'!$C$18/100)</f>
        <v>9.4041666666666666E-3</v>
      </c>
      <c r="H204">
        <v>0.93039229764203935</v>
      </c>
      <c r="I204">
        <f t="shared" si="72"/>
        <v>8.7495642324086787E-3</v>
      </c>
      <c r="J204" s="4">
        <f t="shared" si="73"/>
        <v>2.0499174117375452E-2</v>
      </c>
    </row>
    <row r="205" spans="1:10" x14ac:dyDescent="0.35">
      <c r="A205">
        <v>4</v>
      </c>
      <c r="B205">
        <f t="shared" si="69"/>
        <v>4</v>
      </c>
      <c r="C205" s="1">
        <f t="shared" si="70"/>
        <v>46849</v>
      </c>
      <c r="D205">
        <f t="shared" si="71"/>
        <v>4.0638888888888891</v>
      </c>
      <c r="E205">
        <f t="shared" si="74"/>
        <v>0.50833333333333375</v>
      </c>
      <c r="F205">
        <v>0</v>
      </c>
      <c r="G205" s="5">
        <f>E205*('Tasas XCCY UF vs Camara'!$C$18/100)</f>
        <v>9.4041666666666753E-3</v>
      </c>
      <c r="H205">
        <v>0.92045467247454626</v>
      </c>
      <c r="I205">
        <f t="shared" si="72"/>
        <v>8.6561091490627209E-3</v>
      </c>
      <c r="J205" s="4">
        <f t="shared" si="73"/>
        <v>2.0605531273894639E-2</v>
      </c>
    </row>
    <row r="206" spans="1:10" x14ac:dyDescent="0.35">
      <c r="A206" s="5">
        <v>4.5</v>
      </c>
      <c r="B206">
        <f t="shared" si="69"/>
        <v>4.5</v>
      </c>
      <c r="C206" s="1">
        <f t="shared" si="70"/>
        <v>47032</v>
      </c>
      <c r="D206">
        <f t="shared" si="71"/>
        <v>4.572222222222222</v>
      </c>
      <c r="E206">
        <f t="shared" si="74"/>
        <v>0.50833333333333286</v>
      </c>
      <c r="F206">
        <v>0</v>
      </c>
      <c r="G206" s="5">
        <f>E206*('Tasas XCCY UF vs Camara'!$C$18/100)</f>
        <v>9.4041666666666596E-3</v>
      </c>
      <c r="H206">
        <v>0.91124693740504237</v>
      </c>
      <c r="I206">
        <f t="shared" si="72"/>
        <v>8.5695180738465798E-3</v>
      </c>
      <c r="J206" s="4">
        <f t="shared" si="73"/>
        <v>2.053540116053898E-2</v>
      </c>
    </row>
    <row r="207" spans="1:10" x14ac:dyDescent="0.35">
      <c r="A207">
        <v>5</v>
      </c>
      <c r="B207">
        <f t="shared" si="69"/>
        <v>5</v>
      </c>
      <c r="C207" s="1">
        <f t="shared" si="70"/>
        <v>47214</v>
      </c>
      <c r="D207">
        <f t="shared" si="71"/>
        <v>5.0777777777777775</v>
      </c>
      <c r="E207">
        <f t="shared" si="74"/>
        <v>0.50555555555555554</v>
      </c>
      <c r="F207">
        <v>0</v>
      </c>
      <c r="G207" s="5">
        <f>E207*('Tasas XCCY UF vs Camara'!$C$18/100)</f>
        <v>9.3527777777777793E-3</v>
      </c>
      <c r="H207">
        <v>0.90208951782772151</v>
      </c>
      <c r="I207">
        <f t="shared" si="72"/>
        <v>8.4370427959053855E-3</v>
      </c>
      <c r="J207" s="4">
        <f t="shared" si="73"/>
        <v>2.0499936176433087E-2</v>
      </c>
    </row>
    <row r="208" spans="1:10" x14ac:dyDescent="0.35">
      <c r="A208">
        <v>5.5</v>
      </c>
      <c r="B208">
        <f t="shared" si="69"/>
        <v>5.5</v>
      </c>
      <c r="C208" s="1">
        <f t="shared" si="70"/>
        <v>47397</v>
      </c>
      <c r="D208">
        <f t="shared" si="71"/>
        <v>5.5861111111111112</v>
      </c>
      <c r="E208">
        <f t="shared" si="74"/>
        <v>0.50833333333333375</v>
      </c>
      <c r="F208">
        <v>0</v>
      </c>
      <c r="G208" s="5">
        <f>E208*('Tasas XCCY UF vs Camara'!$C$18/100)</f>
        <v>9.4041666666666753E-3</v>
      </c>
      <c r="H208">
        <v>0.89203366426541864</v>
      </c>
      <c r="I208">
        <f t="shared" si="72"/>
        <v>8.3888332510293814E-3</v>
      </c>
      <c r="J208" s="4">
        <f t="shared" si="73"/>
        <v>2.0663354076956963E-2</v>
      </c>
    </row>
    <row r="209" spans="1:10" x14ac:dyDescent="0.35">
      <c r="A209">
        <v>6</v>
      </c>
      <c r="B209">
        <f t="shared" si="69"/>
        <v>6</v>
      </c>
      <c r="C209" s="1">
        <f t="shared" si="70"/>
        <v>47579</v>
      </c>
      <c r="D209">
        <f t="shared" si="71"/>
        <v>6.0916666666666668</v>
      </c>
      <c r="E209">
        <f t="shared" si="74"/>
        <v>0.50555555555555554</v>
      </c>
      <c r="F209">
        <v>0</v>
      </c>
      <c r="G209" s="5">
        <f>E209*('Tasas XCCY UF vs Camara'!$C$18/100)</f>
        <v>9.3527777777777793E-3</v>
      </c>
      <c r="H209">
        <v>0.88203276072258185</v>
      </c>
      <c r="I209">
        <f t="shared" si="72"/>
        <v>8.2494564037581489E-3</v>
      </c>
      <c r="J209" s="4">
        <f t="shared" si="73"/>
        <v>2.0819969935254479E-2</v>
      </c>
    </row>
    <row r="210" spans="1:10" x14ac:dyDescent="0.35">
      <c r="A210">
        <v>6.5</v>
      </c>
      <c r="B210">
        <f t="shared" si="69"/>
        <v>6.5</v>
      </c>
      <c r="C210" s="1">
        <f t="shared" si="70"/>
        <v>47762</v>
      </c>
      <c r="D210">
        <f t="shared" si="71"/>
        <v>6.6</v>
      </c>
      <c r="E210">
        <f t="shared" si="74"/>
        <v>0.50833333333333286</v>
      </c>
      <c r="F210">
        <v>0</v>
      </c>
      <c r="G210" s="5">
        <f>E210*('Tasas XCCY UF vs Camara'!$C$18/100)</f>
        <v>9.4041666666666596E-3</v>
      </c>
      <c r="H210">
        <v>0.87224598504040074</v>
      </c>
      <c r="I210">
        <f t="shared" si="72"/>
        <v>8.2027466176507625E-3</v>
      </c>
      <c r="J210" s="4">
        <f t="shared" si="73"/>
        <v>2.0925600168833158E-2</v>
      </c>
    </row>
    <row r="211" spans="1:10" x14ac:dyDescent="0.35">
      <c r="A211">
        <v>7</v>
      </c>
      <c r="B211">
        <f t="shared" si="69"/>
        <v>7</v>
      </c>
      <c r="C211" s="1">
        <f t="shared" si="70"/>
        <v>47944</v>
      </c>
      <c r="D211">
        <f t="shared" si="71"/>
        <v>7.1055555555555552</v>
      </c>
      <c r="E211">
        <f t="shared" si="74"/>
        <v>0.50555555555555554</v>
      </c>
      <c r="F211">
        <v>0</v>
      </c>
      <c r="G211" s="5">
        <f>E211*('Tasas XCCY UF vs Camara'!$C$18/100)</f>
        <v>9.3527777777777793E-3</v>
      </c>
      <c r="H211">
        <v>0.86251268900675615</v>
      </c>
      <c r="I211">
        <f t="shared" si="72"/>
        <v>8.0668895107937448E-3</v>
      </c>
      <c r="J211" s="4">
        <f t="shared" si="73"/>
        <v>2.1033614266791512E-2</v>
      </c>
    </row>
    <row r="212" spans="1:10" x14ac:dyDescent="0.35">
      <c r="A212">
        <v>7.5</v>
      </c>
      <c r="B212">
        <f t="shared" si="69"/>
        <v>7.5</v>
      </c>
      <c r="C212" s="1">
        <f t="shared" si="70"/>
        <v>48127</v>
      </c>
      <c r="D212">
        <f t="shared" si="71"/>
        <v>7.6138888888888889</v>
      </c>
      <c r="E212">
        <f t="shared" si="74"/>
        <v>0.50833333333333375</v>
      </c>
      <c r="F212">
        <v>0</v>
      </c>
      <c r="G212" s="5">
        <f>E212*('Tasas XCCY UF vs Camara'!$C$18/100)</f>
        <v>9.4041666666666753E-3</v>
      </c>
      <c r="H212">
        <v>0.85404236890298058</v>
      </c>
      <c r="I212">
        <f t="shared" si="72"/>
        <v>8.0315567775584538E-3</v>
      </c>
      <c r="J212" s="4">
        <f t="shared" si="73"/>
        <v>2.0938120106715363E-2</v>
      </c>
    </row>
    <row r="213" spans="1:10" x14ac:dyDescent="0.35">
      <c r="A213">
        <v>8</v>
      </c>
      <c r="B213">
        <f t="shared" si="69"/>
        <v>8</v>
      </c>
      <c r="C213" s="1">
        <f t="shared" si="70"/>
        <v>48310</v>
      </c>
      <c r="D213">
        <f t="shared" si="71"/>
        <v>8.1222222222222218</v>
      </c>
      <c r="E213">
        <f t="shared" si="74"/>
        <v>0.50833333333333286</v>
      </c>
      <c r="F213">
        <v>0</v>
      </c>
      <c r="G213" s="5">
        <f>E213*('Tasas XCCY UF vs Camara'!$C$18/100)</f>
        <v>9.4041666666666596E-3</v>
      </c>
      <c r="H213">
        <v>0.84557204879920511</v>
      </c>
      <c r="I213">
        <f t="shared" si="72"/>
        <v>7.9519004755825191E-3</v>
      </c>
      <c r="J213" s="4">
        <f t="shared" si="73"/>
        <v>2.0866950223036085E-2</v>
      </c>
    </row>
    <row r="214" spans="1:10" x14ac:dyDescent="0.35">
      <c r="A214">
        <v>8.5</v>
      </c>
      <c r="B214">
        <f t="shared" si="69"/>
        <v>8.5</v>
      </c>
      <c r="C214" s="1">
        <f t="shared" si="70"/>
        <v>48493</v>
      </c>
      <c r="D214">
        <f t="shared" si="71"/>
        <v>8.6305555555555564</v>
      </c>
      <c r="E214">
        <f t="shared" si="74"/>
        <v>0.50833333333333464</v>
      </c>
      <c r="F214">
        <v>0</v>
      </c>
      <c r="G214" s="5">
        <f>E214*('Tasas XCCY UF vs Camara'!$C$18/100)</f>
        <v>9.4041666666666926E-3</v>
      </c>
      <c r="H214">
        <v>0.83760968652685885</v>
      </c>
      <c r="I214">
        <f t="shared" si="72"/>
        <v>7.8770210937130231E-3</v>
      </c>
      <c r="J214" s="4">
        <f t="shared" si="73"/>
        <v>2.0744289276428685E-2</v>
      </c>
    </row>
    <row r="215" spans="1:10" x14ac:dyDescent="0.35">
      <c r="A215">
        <v>9</v>
      </c>
      <c r="B215">
        <f t="shared" si="69"/>
        <v>9</v>
      </c>
      <c r="C215" s="1">
        <f t="shared" si="70"/>
        <v>48675</v>
      </c>
      <c r="D215">
        <f t="shared" si="71"/>
        <v>9.1361111111111111</v>
      </c>
      <c r="E215">
        <f t="shared" si="74"/>
        <v>0.50555555555555465</v>
      </c>
      <c r="F215">
        <v>0</v>
      </c>
      <c r="G215" s="5">
        <f>E215*('Tasas XCCY UF vs Camara'!$C$18/100)</f>
        <v>9.352777777777762E-3</v>
      </c>
      <c r="H215">
        <v>0.82969083443086433</v>
      </c>
      <c r="I215">
        <f t="shared" si="72"/>
        <v>7.7599139986908768E-3</v>
      </c>
      <c r="J215" s="4">
        <f t="shared" si="73"/>
        <v>2.0645861558836298E-2</v>
      </c>
    </row>
    <row r="216" spans="1:10" x14ac:dyDescent="0.35">
      <c r="A216">
        <v>9.5</v>
      </c>
      <c r="B216">
        <f t="shared" si="69"/>
        <v>9.5</v>
      </c>
      <c r="C216" s="1">
        <f t="shared" si="70"/>
        <v>48858</v>
      </c>
      <c r="D216">
        <f t="shared" si="71"/>
        <v>9.6444444444444439</v>
      </c>
      <c r="E216">
        <f t="shared" si="74"/>
        <v>0.50833333333333286</v>
      </c>
      <c r="F216">
        <v>0</v>
      </c>
      <c r="G216" s="5">
        <f>E216*('Tasas XCCY UF vs Camara'!$C$18/100)</f>
        <v>9.4041666666666596E-3</v>
      </c>
      <c r="H216">
        <v>0.82228226088334866</v>
      </c>
      <c r="I216">
        <f t="shared" si="72"/>
        <v>7.7328794283904852E-3</v>
      </c>
      <c r="J216" s="4">
        <f t="shared" si="73"/>
        <v>2.0495736888332949E-2</v>
      </c>
    </row>
    <row r="217" spans="1:10" x14ac:dyDescent="0.35">
      <c r="A217">
        <v>10</v>
      </c>
      <c r="B217">
        <f t="shared" si="69"/>
        <v>10</v>
      </c>
      <c r="C217" s="1">
        <f t="shared" si="70"/>
        <v>49040</v>
      </c>
      <c r="D217">
        <f t="shared" si="71"/>
        <v>10.15</v>
      </c>
      <c r="E217">
        <f t="shared" si="74"/>
        <v>0.50555555555555642</v>
      </c>
      <c r="F217">
        <v>0</v>
      </c>
      <c r="G217" s="5">
        <f>E217*('Tasas XCCY UF vs Camara'!$C$18/100)</f>
        <v>9.3527777777777949E-3</v>
      </c>
      <c r="H217">
        <v>0.81491417134428934</v>
      </c>
      <c r="I217">
        <f t="shared" si="72"/>
        <v>7.6217111525450753E-3</v>
      </c>
      <c r="J217" s="4">
        <f t="shared" si="73"/>
        <v>2.0369459188657846E-2</v>
      </c>
    </row>
    <row r="218" spans="1:10" x14ac:dyDescent="0.35">
      <c r="A218">
        <v>10.5</v>
      </c>
      <c r="B218">
        <f t="shared" si="69"/>
        <v>10.5</v>
      </c>
      <c r="C218" s="1">
        <f t="shared" si="70"/>
        <v>49223</v>
      </c>
      <c r="D218">
        <f t="shared" si="71"/>
        <v>10.658333333333333</v>
      </c>
      <c r="E218">
        <f t="shared" si="74"/>
        <v>0.50833333333333286</v>
      </c>
      <c r="F218">
        <v>0</v>
      </c>
      <c r="G218" s="5">
        <f>E218*('Tasas XCCY UF vs Camara'!$C$18/100)</f>
        <v>9.4041666666666596E-3</v>
      </c>
      <c r="H218">
        <v>0.81144063598294869</v>
      </c>
      <c r="I218">
        <f t="shared" si="72"/>
        <v>7.6309229808896413E-3</v>
      </c>
      <c r="J218" s="4">
        <f t="shared" si="73"/>
        <v>1.9797236711800448E-2</v>
      </c>
    </row>
    <row r="219" spans="1:10" x14ac:dyDescent="0.35">
      <c r="A219">
        <v>11</v>
      </c>
      <c r="B219">
        <f t="shared" si="69"/>
        <v>11</v>
      </c>
      <c r="C219" s="1">
        <f t="shared" si="70"/>
        <v>49405</v>
      </c>
      <c r="D219">
        <f t="shared" si="71"/>
        <v>11.16388888888889</v>
      </c>
      <c r="E219">
        <f t="shared" si="74"/>
        <v>0.50555555555555642</v>
      </c>
      <c r="F219">
        <v>0</v>
      </c>
      <c r="G219" s="5">
        <f>E219*('Tasas XCCY UF vs Camara'!$C$18/100)</f>
        <v>9.3527777777777949E-3</v>
      </c>
      <c r="H219">
        <v>0.80798608168915642</v>
      </c>
      <c r="I219">
        <f t="shared" si="72"/>
        <v>7.5569142695760963E-3</v>
      </c>
      <c r="J219" s="4">
        <f t="shared" si="73"/>
        <v>1.9281761224261285E-2</v>
      </c>
    </row>
    <row r="220" spans="1:10" x14ac:dyDescent="0.35">
      <c r="A220">
        <v>11.5</v>
      </c>
      <c r="B220">
        <f t="shared" si="69"/>
        <v>11.5</v>
      </c>
      <c r="C220" s="1">
        <f t="shared" si="70"/>
        <v>49588</v>
      </c>
      <c r="D220">
        <f t="shared" si="71"/>
        <v>11.672222222222222</v>
      </c>
      <c r="E220">
        <f t="shared" si="74"/>
        <v>0.50833333333333286</v>
      </c>
      <c r="F220">
        <v>0</v>
      </c>
      <c r="G220" s="5">
        <f>E220*('Tasas XCCY UF vs Camara'!$C$18/100)</f>
        <v>9.4041666666666596E-3</v>
      </c>
      <c r="H220">
        <v>0.80451254632781577</v>
      </c>
      <c r="I220">
        <f t="shared" si="72"/>
        <v>7.5657700710911619E-3</v>
      </c>
      <c r="J220" s="4">
        <f t="shared" si="73"/>
        <v>1.881031365624608E-2</v>
      </c>
    </row>
    <row r="221" spans="1:10" x14ac:dyDescent="0.35">
      <c r="A221">
        <v>12</v>
      </c>
      <c r="B221">
        <f t="shared" si="69"/>
        <v>12</v>
      </c>
      <c r="C221" s="1">
        <f t="shared" si="70"/>
        <v>49771</v>
      </c>
      <c r="D221">
        <f t="shared" si="71"/>
        <v>12.180555555555555</v>
      </c>
      <c r="E221">
        <f t="shared" si="74"/>
        <v>0.50833333333333286</v>
      </c>
      <c r="F221">
        <v>0</v>
      </c>
      <c r="G221" s="5">
        <f>E221*('Tasas XCCY UF vs Camara'!$C$18/100)</f>
        <v>9.4041666666666596E-3</v>
      </c>
      <c r="H221">
        <v>0.80103901096647512</v>
      </c>
      <c r="I221">
        <f t="shared" si="72"/>
        <v>7.5331043656305541E-3</v>
      </c>
      <c r="J221" s="4">
        <f t="shared" si="73"/>
        <v>1.8379966184065566E-2</v>
      </c>
    </row>
    <row r="222" spans="1:10" x14ac:dyDescent="0.35">
      <c r="A222">
        <v>12.5</v>
      </c>
      <c r="B222">
        <f t="shared" si="69"/>
        <v>12.5</v>
      </c>
      <c r="C222" s="1">
        <f t="shared" si="70"/>
        <v>49954</v>
      </c>
      <c r="D222">
        <f t="shared" si="71"/>
        <v>12.688888888888888</v>
      </c>
      <c r="E222">
        <f t="shared" si="74"/>
        <v>0.50833333333333286</v>
      </c>
      <c r="F222">
        <v>0</v>
      </c>
      <c r="G222" s="5">
        <f>E222*('Tasas XCCY UF vs Camara'!$C$18/100)</f>
        <v>9.4041666666666596E-3</v>
      </c>
      <c r="H222">
        <f>+(($H$227-$H$221)/($D$227-$D$221))*(D222-$D$221)+$H$221</f>
        <v>0.79374531973955875</v>
      </c>
      <c r="I222">
        <f t="shared" si="72"/>
        <v>7.4645132777174279E-3</v>
      </c>
      <c r="J222" s="4">
        <f t="shared" si="73"/>
        <v>1.8371031223574752E-2</v>
      </c>
    </row>
    <row r="223" spans="1:10" x14ac:dyDescent="0.35">
      <c r="A223">
        <v>13</v>
      </c>
      <c r="B223">
        <f t="shared" si="69"/>
        <v>13</v>
      </c>
      <c r="C223" s="1">
        <f t="shared" si="70"/>
        <v>50136</v>
      </c>
      <c r="D223">
        <f t="shared" si="71"/>
        <v>13.194444444444445</v>
      </c>
      <c r="E223">
        <f t="shared" si="74"/>
        <v>0.50555555555555642</v>
      </c>
      <c r="F223">
        <v>0</v>
      </c>
      <c r="G223" s="5">
        <f>E223*('Tasas XCCY UF vs Camara'!$C$18/100)</f>
        <v>9.3527777777777949E-3</v>
      </c>
      <c r="H223">
        <f t="shared" ref="H223:H226" si="75">+(($H$227-$H$221)/($D$227-$D$221))*(D223-$D$221)+$H$221</f>
        <v>0.78649148474885511</v>
      </c>
      <c r="I223">
        <f t="shared" si="72"/>
        <v>7.3558800809705553E-3</v>
      </c>
      <c r="J223" s="4">
        <f t="shared" si="73"/>
        <v>1.8369291683173472E-2</v>
      </c>
    </row>
    <row r="224" spans="1:10" x14ac:dyDescent="0.35">
      <c r="A224">
        <v>13.5</v>
      </c>
      <c r="B224">
        <f t="shared" si="69"/>
        <v>13.5</v>
      </c>
      <c r="C224" s="1">
        <f t="shared" si="70"/>
        <v>50319</v>
      </c>
      <c r="D224">
        <f t="shared" si="71"/>
        <v>13.702777777777778</v>
      </c>
      <c r="E224">
        <f t="shared" si="74"/>
        <v>0.50833333333333286</v>
      </c>
      <c r="F224">
        <v>0</v>
      </c>
      <c r="G224" s="5">
        <f>E224*('Tasas XCCY UF vs Camara'!$C$18/100)</f>
        <v>9.4041666666666596E-3</v>
      </c>
      <c r="H224">
        <f t="shared" si="75"/>
        <v>0.77919779352193874</v>
      </c>
      <c r="I224">
        <f t="shared" si="72"/>
        <v>7.3277059165792269E-3</v>
      </c>
      <c r="J224" s="4">
        <f t="shared" si="73"/>
        <v>1.8374046549171075E-2</v>
      </c>
    </row>
    <row r="225" spans="1:10" x14ac:dyDescent="0.35">
      <c r="A225">
        <v>14</v>
      </c>
      <c r="B225">
        <f t="shared" si="69"/>
        <v>14</v>
      </c>
      <c r="C225" s="1">
        <f t="shared" si="70"/>
        <v>50501</v>
      </c>
      <c r="D225">
        <f t="shared" si="71"/>
        <v>14.208333333333334</v>
      </c>
      <c r="E225">
        <f t="shared" si="74"/>
        <v>0.50555555555555642</v>
      </c>
      <c r="F225">
        <v>0</v>
      </c>
      <c r="G225" s="5">
        <f>E225*('Tasas XCCY UF vs Camara'!$C$18/100)</f>
        <v>9.3527777777777949E-3</v>
      </c>
      <c r="H225">
        <f t="shared" si="75"/>
        <v>0.7719439585312351</v>
      </c>
      <c r="I225">
        <f t="shared" si="72"/>
        <v>7.2198203010407592E-3</v>
      </c>
      <c r="J225" s="4">
        <f t="shared" si="73"/>
        <v>1.8384666783457515E-2</v>
      </c>
    </row>
    <row r="226" spans="1:10" x14ac:dyDescent="0.35">
      <c r="A226">
        <v>14.5</v>
      </c>
      <c r="B226">
        <f t="shared" si="69"/>
        <v>14.5</v>
      </c>
      <c r="C226" s="1">
        <f t="shared" si="70"/>
        <v>50684</v>
      </c>
      <c r="D226">
        <f t="shared" si="71"/>
        <v>14.716666666666667</v>
      </c>
      <c r="E226">
        <f t="shared" si="74"/>
        <v>0.50833333333333286</v>
      </c>
      <c r="F226">
        <v>0</v>
      </c>
      <c r="G226" s="5">
        <f>E226*('Tasas XCCY UF vs Camara'!$C$18/100)</f>
        <v>9.4041666666666596E-3</v>
      </c>
      <c r="H226">
        <f t="shared" si="75"/>
        <v>0.76465026730431873</v>
      </c>
      <c r="I226">
        <f t="shared" si="72"/>
        <v>7.190898555441025E-3</v>
      </c>
      <c r="J226" s="4">
        <f t="shared" si="73"/>
        <v>1.8400771149526873E-2</v>
      </c>
    </row>
    <row r="227" spans="1:10" x14ac:dyDescent="0.35">
      <c r="A227">
        <v>15</v>
      </c>
      <c r="B227">
        <f t="shared" si="69"/>
        <v>15</v>
      </c>
      <c r="C227" s="1">
        <f t="shared" si="70"/>
        <v>50866</v>
      </c>
      <c r="D227">
        <f t="shared" si="71"/>
        <v>15.222222222222221</v>
      </c>
      <c r="E227">
        <f t="shared" si="74"/>
        <v>0.50555555555555465</v>
      </c>
      <c r="F227">
        <v>1</v>
      </c>
      <c r="G227" s="5">
        <f>E227*('Tasas XCCY UF vs Camara'!$C$18/100)</f>
        <v>9.352777777777762E-3</v>
      </c>
      <c r="H227" s="2">
        <v>0.75739643231361509</v>
      </c>
      <c r="I227">
        <f t="shared" si="72"/>
        <v>0.76448019283472601</v>
      </c>
      <c r="J227" s="8">
        <f t="shared" si="73"/>
        <v>1.8421758414699285E-2</v>
      </c>
    </row>
    <row r="228" spans="1:10" x14ac:dyDescent="0.35">
      <c r="I228">
        <f>SUM(I198:I227)</f>
        <v>0.99999999999999989</v>
      </c>
    </row>
    <row r="231" spans="1:10" x14ac:dyDescent="0.35">
      <c r="B231" t="s">
        <v>55</v>
      </c>
      <c r="C231" t="s">
        <v>35</v>
      </c>
    </row>
    <row r="232" spans="1:10" x14ac:dyDescent="0.35">
      <c r="A232" s="5" t="s">
        <v>36</v>
      </c>
      <c r="B232" t="s">
        <v>38</v>
      </c>
      <c r="C232" t="s">
        <v>37</v>
      </c>
      <c r="D232" t="s">
        <v>25</v>
      </c>
      <c r="E232" t="s">
        <v>41</v>
      </c>
      <c r="F232" t="s">
        <v>40</v>
      </c>
      <c r="G232" s="5" t="s">
        <v>105</v>
      </c>
      <c r="H232" t="s">
        <v>42</v>
      </c>
      <c r="I232" t="s">
        <v>32</v>
      </c>
      <c r="J232" s="4" t="s">
        <v>33</v>
      </c>
    </row>
    <row r="233" spans="1:10" x14ac:dyDescent="0.35">
      <c r="A233">
        <v>0.5</v>
      </c>
      <c r="B233">
        <f>A233</f>
        <v>0.5</v>
      </c>
      <c r="C233" s="1">
        <f>+DATE(YEAR($C$1),MONTH($C$1)+B233*12,DAY($C$1)+2)</f>
        <v>45571</v>
      </c>
      <c r="D233">
        <f>+(C233-$C$1)/360</f>
        <v>0.51388888888888884</v>
      </c>
      <c r="E233" s="6">
        <f>(C233-$C$1)/360</f>
        <v>0.51388888888888884</v>
      </c>
      <c r="F233">
        <v>0</v>
      </c>
      <c r="G233" s="5">
        <f>E233*('Tasas XCCY UF vs Camara'!$C$18/100)</f>
        <v>9.5069444444444446E-3</v>
      </c>
      <c r="H233">
        <v>0.98846923183584823</v>
      </c>
      <c r="I233">
        <f>H233*SUM(F233:G233)</f>
        <v>9.3973220721060846E-3</v>
      </c>
      <c r="J233" s="4">
        <f>+(1/H233)^(1/D233)-1</f>
        <v>2.2825217853303048E-2</v>
      </c>
    </row>
    <row r="234" spans="1:10" x14ac:dyDescent="0.35">
      <c r="A234">
        <v>1</v>
      </c>
      <c r="B234">
        <f t="shared" ref="B234:B272" si="76">A234</f>
        <v>1</v>
      </c>
      <c r="C234" s="1">
        <f t="shared" ref="C234:C272" si="77">+DATE(YEAR($C$1),MONTH($C$1)+B234*12,DAY($C$1)+2)</f>
        <v>45753</v>
      </c>
      <c r="D234">
        <f t="shared" ref="D234:D272" si="78">+(C234-$C$1)/360</f>
        <v>1.0194444444444444</v>
      </c>
      <c r="E234">
        <f>D234-D233</f>
        <v>0.50555555555555554</v>
      </c>
      <c r="F234">
        <v>0</v>
      </c>
      <c r="G234" s="5">
        <f>E234*('Tasas XCCY UF vs Camara'!$C$18/100)</f>
        <v>9.3527777777777793E-3</v>
      </c>
      <c r="H234">
        <v>0.9786984914042407</v>
      </c>
      <c r="I234">
        <f t="shared" ref="I234:I272" si="79">H234*SUM(F234:G234)</f>
        <v>9.1535495015502202E-3</v>
      </c>
      <c r="J234" s="4">
        <f t="shared" ref="J234:J272" si="80">+(1/H234)^(1/D234)-1</f>
        <v>2.1345600801821352E-2</v>
      </c>
    </row>
    <row r="235" spans="1:10" x14ac:dyDescent="0.35">
      <c r="A235">
        <v>1.5</v>
      </c>
      <c r="B235">
        <f t="shared" si="76"/>
        <v>1.5</v>
      </c>
      <c r="C235" s="1">
        <f t="shared" si="77"/>
        <v>45936</v>
      </c>
      <c r="D235">
        <f t="shared" si="78"/>
        <v>1.5277777777777777</v>
      </c>
      <c r="E235">
        <f t="shared" ref="E235:E272" si="81">D235-D234</f>
        <v>0.5083333333333333</v>
      </c>
      <c r="F235">
        <v>0</v>
      </c>
      <c r="G235" s="5">
        <f>E235*('Tasas XCCY UF vs Camara'!$C$18/100)</f>
        <v>9.4041666666666666E-3</v>
      </c>
      <c r="H235">
        <v>0.96991903870246388</v>
      </c>
      <c r="I235">
        <f t="shared" si="79"/>
        <v>9.1212802931310878E-3</v>
      </c>
      <c r="J235" s="4">
        <f t="shared" si="80"/>
        <v>2.0192739655148007E-2</v>
      </c>
    </row>
    <row r="236" spans="1:10" x14ac:dyDescent="0.35">
      <c r="A236">
        <v>2</v>
      </c>
      <c r="B236">
        <f t="shared" si="76"/>
        <v>2</v>
      </c>
      <c r="C236" s="1">
        <f t="shared" si="77"/>
        <v>46118</v>
      </c>
      <c r="D236">
        <f t="shared" si="78"/>
        <v>2.0333333333333332</v>
      </c>
      <c r="E236">
        <f t="shared" si="81"/>
        <v>0.50555555555555554</v>
      </c>
      <c r="F236">
        <v>0</v>
      </c>
      <c r="G236" s="5">
        <f>E236*('Tasas XCCY UF vs Camara'!$C$18/100)</f>
        <v>9.3527777777777793E-3</v>
      </c>
      <c r="H236">
        <v>0.95988340577914977</v>
      </c>
      <c r="I236">
        <f t="shared" si="79"/>
        <v>8.9775761868288832E-3</v>
      </c>
      <c r="J236" s="4">
        <f t="shared" si="80"/>
        <v>2.0340224408298635E-2</v>
      </c>
    </row>
    <row r="237" spans="1:10" x14ac:dyDescent="0.35">
      <c r="A237">
        <v>2.5</v>
      </c>
      <c r="B237">
        <f t="shared" si="76"/>
        <v>2.5</v>
      </c>
      <c r="C237" s="1">
        <f t="shared" si="77"/>
        <v>46301</v>
      </c>
      <c r="D237">
        <f t="shared" si="78"/>
        <v>2.5416666666666665</v>
      </c>
      <c r="E237">
        <f t="shared" si="81"/>
        <v>0.5083333333333333</v>
      </c>
      <c r="F237">
        <v>0</v>
      </c>
      <c r="G237" s="5">
        <f>E237*('Tasas XCCY UF vs Camara'!$C$18/100)</f>
        <v>9.4041666666666666E-3</v>
      </c>
      <c r="H237">
        <v>0.95007987870123201</v>
      </c>
      <c r="I237">
        <f t="shared" si="79"/>
        <v>8.9347095259528359E-3</v>
      </c>
      <c r="J237" s="4">
        <f t="shared" si="80"/>
        <v>2.0352226617283087E-2</v>
      </c>
    </row>
    <row r="238" spans="1:10" x14ac:dyDescent="0.35">
      <c r="A238">
        <v>3</v>
      </c>
      <c r="B238">
        <f t="shared" si="76"/>
        <v>3</v>
      </c>
      <c r="C238" s="1">
        <f t="shared" si="77"/>
        <v>46483</v>
      </c>
      <c r="D238">
        <f t="shared" si="78"/>
        <v>3.0472222222222221</v>
      </c>
      <c r="E238">
        <f t="shared" si="81"/>
        <v>0.50555555555555554</v>
      </c>
      <c r="F238">
        <v>0</v>
      </c>
      <c r="G238" s="5">
        <f>E238*('Tasas XCCY UF vs Camara'!$C$18/100)</f>
        <v>9.3527777777777793E-3</v>
      </c>
      <c r="H238">
        <v>0.94032992280953231</v>
      </c>
      <c r="I238">
        <f t="shared" si="79"/>
        <v>8.7946968058324887E-3</v>
      </c>
      <c r="J238" s="4">
        <f t="shared" si="80"/>
        <v>2.0395553966489288E-2</v>
      </c>
    </row>
    <row r="239" spans="1:10" x14ac:dyDescent="0.35">
      <c r="A239">
        <v>3.5</v>
      </c>
      <c r="B239">
        <f t="shared" si="76"/>
        <v>3.5</v>
      </c>
      <c r="C239" s="1">
        <f t="shared" si="77"/>
        <v>46666</v>
      </c>
      <c r="D239">
        <f t="shared" si="78"/>
        <v>3.5555555555555554</v>
      </c>
      <c r="E239">
        <f t="shared" si="81"/>
        <v>0.5083333333333333</v>
      </c>
      <c r="F239">
        <v>0</v>
      </c>
      <c r="G239" s="5">
        <f>E239*('Tasas XCCY UF vs Camara'!$C$18/100)</f>
        <v>9.4041666666666666E-3</v>
      </c>
      <c r="H239">
        <v>0.93039229764203935</v>
      </c>
      <c r="I239">
        <f t="shared" si="79"/>
        <v>8.7495642324086787E-3</v>
      </c>
      <c r="J239" s="4">
        <f t="shared" si="80"/>
        <v>2.0499174117375452E-2</v>
      </c>
    </row>
    <row r="240" spans="1:10" x14ac:dyDescent="0.35">
      <c r="A240">
        <v>4</v>
      </c>
      <c r="B240">
        <f t="shared" si="76"/>
        <v>4</v>
      </c>
      <c r="C240" s="1">
        <f t="shared" si="77"/>
        <v>46849</v>
      </c>
      <c r="D240">
        <f t="shared" si="78"/>
        <v>4.0638888888888891</v>
      </c>
      <c r="E240">
        <f t="shared" si="81"/>
        <v>0.50833333333333375</v>
      </c>
      <c r="F240">
        <v>0</v>
      </c>
      <c r="G240" s="5">
        <f>E240*('Tasas XCCY UF vs Camara'!$C$18/100)</f>
        <v>9.4041666666666753E-3</v>
      </c>
      <c r="H240">
        <v>0.92045467247454626</v>
      </c>
      <c r="I240">
        <f t="shared" si="79"/>
        <v>8.6561091490627209E-3</v>
      </c>
      <c r="J240" s="4">
        <f t="shared" si="80"/>
        <v>2.0605531273894639E-2</v>
      </c>
    </row>
    <row r="241" spans="1:10" x14ac:dyDescent="0.35">
      <c r="A241" s="5">
        <v>4.5</v>
      </c>
      <c r="B241">
        <f t="shared" si="76"/>
        <v>4.5</v>
      </c>
      <c r="C241" s="1">
        <f t="shared" si="77"/>
        <v>47032</v>
      </c>
      <c r="D241">
        <f t="shared" si="78"/>
        <v>4.572222222222222</v>
      </c>
      <c r="E241">
        <f t="shared" si="81"/>
        <v>0.50833333333333286</v>
      </c>
      <c r="F241">
        <v>0</v>
      </c>
      <c r="G241" s="5">
        <f>E241*('Tasas XCCY UF vs Camara'!$C$18/100)</f>
        <v>9.4041666666666596E-3</v>
      </c>
      <c r="H241">
        <v>0.91124693740504237</v>
      </c>
      <c r="I241">
        <f t="shared" si="79"/>
        <v>8.5695180738465798E-3</v>
      </c>
      <c r="J241" s="4">
        <f t="shared" si="80"/>
        <v>2.053540116053898E-2</v>
      </c>
    </row>
    <row r="242" spans="1:10" x14ac:dyDescent="0.35">
      <c r="A242">
        <v>5</v>
      </c>
      <c r="B242">
        <f t="shared" si="76"/>
        <v>5</v>
      </c>
      <c r="C242" s="1">
        <f t="shared" si="77"/>
        <v>47214</v>
      </c>
      <c r="D242">
        <f t="shared" si="78"/>
        <v>5.0777777777777775</v>
      </c>
      <c r="E242">
        <f t="shared" si="81"/>
        <v>0.50555555555555554</v>
      </c>
      <c r="F242">
        <v>0</v>
      </c>
      <c r="G242" s="5">
        <f>E242*('Tasas XCCY UF vs Camara'!$C$18/100)</f>
        <v>9.3527777777777793E-3</v>
      </c>
      <c r="H242">
        <v>0.90208951782772151</v>
      </c>
      <c r="I242">
        <f t="shared" si="79"/>
        <v>8.4370427959053855E-3</v>
      </c>
      <c r="J242" s="4">
        <f t="shared" si="80"/>
        <v>2.0499936176433087E-2</v>
      </c>
    </row>
    <row r="243" spans="1:10" x14ac:dyDescent="0.35">
      <c r="A243">
        <v>5.5</v>
      </c>
      <c r="B243">
        <f t="shared" si="76"/>
        <v>5.5</v>
      </c>
      <c r="C243" s="1">
        <f t="shared" si="77"/>
        <v>47397</v>
      </c>
      <c r="D243">
        <f t="shared" si="78"/>
        <v>5.5861111111111112</v>
      </c>
      <c r="E243">
        <f t="shared" si="81"/>
        <v>0.50833333333333375</v>
      </c>
      <c r="F243">
        <v>0</v>
      </c>
      <c r="G243" s="5">
        <f>E243*('Tasas XCCY UF vs Camara'!$C$18/100)</f>
        <v>9.4041666666666753E-3</v>
      </c>
      <c r="H243">
        <v>0.89203366426541864</v>
      </c>
      <c r="I243">
        <f t="shared" si="79"/>
        <v>8.3888332510293814E-3</v>
      </c>
      <c r="J243" s="4">
        <f t="shared" si="80"/>
        <v>2.0663354076956963E-2</v>
      </c>
    </row>
    <row r="244" spans="1:10" x14ac:dyDescent="0.35">
      <c r="A244">
        <v>6</v>
      </c>
      <c r="B244">
        <f t="shared" si="76"/>
        <v>6</v>
      </c>
      <c r="C244" s="1">
        <f t="shared" si="77"/>
        <v>47579</v>
      </c>
      <c r="D244">
        <f t="shared" si="78"/>
        <v>6.0916666666666668</v>
      </c>
      <c r="E244">
        <f t="shared" si="81"/>
        <v>0.50555555555555554</v>
      </c>
      <c r="F244">
        <v>0</v>
      </c>
      <c r="G244" s="5">
        <f>E244*('Tasas XCCY UF vs Camara'!$C$18/100)</f>
        <v>9.3527777777777793E-3</v>
      </c>
      <c r="H244">
        <v>0.88203276072258185</v>
      </c>
      <c r="I244">
        <f t="shared" si="79"/>
        <v>8.2494564037581489E-3</v>
      </c>
      <c r="J244" s="4">
        <f t="shared" si="80"/>
        <v>2.0819969935254479E-2</v>
      </c>
    </row>
    <row r="245" spans="1:10" x14ac:dyDescent="0.35">
      <c r="A245">
        <v>6.5</v>
      </c>
      <c r="B245">
        <f t="shared" si="76"/>
        <v>6.5</v>
      </c>
      <c r="C245" s="1">
        <f t="shared" si="77"/>
        <v>47762</v>
      </c>
      <c r="D245">
        <f t="shared" si="78"/>
        <v>6.6</v>
      </c>
      <c r="E245">
        <f t="shared" si="81"/>
        <v>0.50833333333333286</v>
      </c>
      <c r="F245">
        <v>0</v>
      </c>
      <c r="G245" s="5">
        <f>E245*('Tasas XCCY UF vs Camara'!$C$18/100)</f>
        <v>9.4041666666666596E-3</v>
      </c>
      <c r="H245">
        <v>0.87224598504040074</v>
      </c>
      <c r="I245">
        <f t="shared" si="79"/>
        <v>8.2027466176507625E-3</v>
      </c>
      <c r="J245" s="4">
        <f t="shared" si="80"/>
        <v>2.0925600168833158E-2</v>
      </c>
    </row>
    <row r="246" spans="1:10" x14ac:dyDescent="0.35">
      <c r="A246">
        <v>7</v>
      </c>
      <c r="B246">
        <f t="shared" si="76"/>
        <v>7</v>
      </c>
      <c r="C246" s="1">
        <f t="shared" si="77"/>
        <v>47944</v>
      </c>
      <c r="D246">
        <f t="shared" si="78"/>
        <v>7.1055555555555552</v>
      </c>
      <c r="E246">
        <f t="shared" si="81"/>
        <v>0.50555555555555554</v>
      </c>
      <c r="F246">
        <v>0</v>
      </c>
      <c r="G246" s="5">
        <f>E246*('Tasas XCCY UF vs Camara'!$C$18/100)</f>
        <v>9.3527777777777793E-3</v>
      </c>
      <c r="H246">
        <v>0.86251268900675615</v>
      </c>
      <c r="I246">
        <f t="shared" si="79"/>
        <v>8.0668895107937448E-3</v>
      </c>
      <c r="J246" s="4">
        <f t="shared" si="80"/>
        <v>2.1033614266791512E-2</v>
      </c>
    </row>
    <row r="247" spans="1:10" x14ac:dyDescent="0.35">
      <c r="A247">
        <v>7.5</v>
      </c>
      <c r="B247">
        <f t="shared" si="76"/>
        <v>7.5</v>
      </c>
      <c r="C247" s="1">
        <f t="shared" si="77"/>
        <v>48127</v>
      </c>
      <c r="D247">
        <f t="shared" si="78"/>
        <v>7.6138888888888889</v>
      </c>
      <c r="E247">
        <f t="shared" si="81"/>
        <v>0.50833333333333375</v>
      </c>
      <c r="F247">
        <v>0</v>
      </c>
      <c r="G247" s="5">
        <f>E247*('Tasas XCCY UF vs Camara'!$C$18/100)</f>
        <v>9.4041666666666753E-3</v>
      </c>
      <c r="H247">
        <v>0.85404236890298058</v>
      </c>
      <c r="I247">
        <f t="shared" si="79"/>
        <v>8.0315567775584538E-3</v>
      </c>
      <c r="J247" s="4">
        <f t="shared" si="80"/>
        <v>2.0938120106715363E-2</v>
      </c>
    </row>
    <row r="248" spans="1:10" x14ac:dyDescent="0.35">
      <c r="A248">
        <v>8</v>
      </c>
      <c r="B248">
        <f t="shared" si="76"/>
        <v>8</v>
      </c>
      <c r="C248" s="1">
        <f t="shared" si="77"/>
        <v>48310</v>
      </c>
      <c r="D248">
        <f t="shared" si="78"/>
        <v>8.1222222222222218</v>
      </c>
      <c r="E248">
        <f t="shared" si="81"/>
        <v>0.50833333333333286</v>
      </c>
      <c r="F248">
        <v>0</v>
      </c>
      <c r="G248" s="5">
        <f>E248*('Tasas XCCY UF vs Camara'!$C$18/100)</f>
        <v>9.4041666666666596E-3</v>
      </c>
      <c r="H248">
        <v>0.84557204879920511</v>
      </c>
      <c r="I248">
        <f t="shared" si="79"/>
        <v>7.9519004755825191E-3</v>
      </c>
      <c r="J248" s="4">
        <f t="shared" si="80"/>
        <v>2.0866950223036085E-2</v>
      </c>
    </row>
    <row r="249" spans="1:10" x14ac:dyDescent="0.35">
      <c r="A249">
        <v>8.5</v>
      </c>
      <c r="B249">
        <f t="shared" si="76"/>
        <v>8.5</v>
      </c>
      <c r="C249" s="1">
        <f t="shared" si="77"/>
        <v>48493</v>
      </c>
      <c r="D249">
        <f t="shared" si="78"/>
        <v>8.6305555555555564</v>
      </c>
      <c r="E249">
        <f t="shared" si="81"/>
        <v>0.50833333333333464</v>
      </c>
      <c r="F249">
        <v>0</v>
      </c>
      <c r="G249" s="5">
        <f>E249*('Tasas XCCY UF vs Camara'!$C$18/100)</f>
        <v>9.4041666666666926E-3</v>
      </c>
      <c r="H249">
        <v>0.83760968652685885</v>
      </c>
      <c r="I249">
        <f t="shared" si="79"/>
        <v>7.8770210937130231E-3</v>
      </c>
      <c r="J249" s="4">
        <f t="shared" si="80"/>
        <v>2.0744289276428685E-2</v>
      </c>
    </row>
    <row r="250" spans="1:10" x14ac:dyDescent="0.35">
      <c r="A250">
        <v>9</v>
      </c>
      <c r="B250">
        <f t="shared" si="76"/>
        <v>9</v>
      </c>
      <c r="C250" s="1">
        <f t="shared" si="77"/>
        <v>48675</v>
      </c>
      <c r="D250">
        <f t="shared" si="78"/>
        <v>9.1361111111111111</v>
      </c>
      <c r="E250">
        <f t="shared" si="81"/>
        <v>0.50555555555555465</v>
      </c>
      <c r="F250">
        <v>0</v>
      </c>
      <c r="G250" s="5">
        <f>E250*('Tasas XCCY UF vs Camara'!$C$18/100)</f>
        <v>9.352777777777762E-3</v>
      </c>
      <c r="H250">
        <v>0.82969083443086433</v>
      </c>
      <c r="I250">
        <f t="shared" si="79"/>
        <v>7.7599139986908768E-3</v>
      </c>
      <c r="J250" s="4">
        <f t="shared" si="80"/>
        <v>2.0645861558836298E-2</v>
      </c>
    </row>
    <row r="251" spans="1:10" x14ac:dyDescent="0.35">
      <c r="A251">
        <v>9.5</v>
      </c>
      <c r="B251">
        <f t="shared" si="76"/>
        <v>9.5</v>
      </c>
      <c r="C251" s="1">
        <f t="shared" si="77"/>
        <v>48858</v>
      </c>
      <c r="D251">
        <f t="shared" si="78"/>
        <v>9.6444444444444439</v>
      </c>
      <c r="E251">
        <f t="shared" si="81"/>
        <v>0.50833333333333286</v>
      </c>
      <c r="F251">
        <v>0</v>
      </c>
      <c r="G251" s="5">
        <f>E251*('Tasas XCCY UF vs Camara'!$C$18/100)</f>
        <v>9.4041666666666596E-3</v>
      </c>
      <c r="H251">
        <v>0.82228226088334866</v>
      </c>
      <c r="I251">
        <f t="shared" si="79"/>
        <v>7.7328794283904852E-3</v>
      </c>
      <c r="J251" s="4">
        <f t="shared" si="80"/>
        <v>2.0495736888332949E-2</v>
      </c>
    </row>
    <row r="252" spans="1:10" x14ac:dyDescent="0.35">
      <c r="A252">
        <v>10</v>
      </c>
      <c r="B252">
        <f t="shared" si="76"/>
        <v>10</v>
      </c>
      <c r="C252" s="1">
        <f t="shared" si="77"/>
        <v>49040</v>
      </c>
      <c r="D252">
        <f t="shared" si="78"/>
        <v>10.15</v>
      </c>
      <c r="E252">
        <f t="shared" si="81"/>
        <v>0.50555555555555642</v>
      </c>
      <c r="F252">
        <v>0</v>
      </c>
      <c r="G252" s="5">
        <f>E252*('Tasas XCCY UF vs Camara'!$C$18/100)</f>
        <v>9.3527777777777949E-3</v>
      </c>
      <c r="H252">
        <v>0.81491417134428934</v>
      </c>
      <c r="I252">
        <f t="shared" si="79"/>
        <v>7.6217111525450753E-3</v>
      </c>
      <c r="J252" s="4">
        <f t="shared" si="80"/>
        <v>2.0369459188657846E-2</v>
      </c>
    </row>
    <row r="253" spans="1:10" x14ac:dyDescent="0.35">
      <c r="A253">
        <v>10.5</v>
      </c>
      <c r="B253">
        <f t="shared" si="76"/>
        <v>10.5</v>
      </c>
      <c r="C253" s="1">
        <f t="shared" si="77"/>
        <v>49223</v>
      </c>
      <c r="D253">
        <f t="shared" si="78"/>
        <v>10.658333333333333</v>
      </c>
      <c r="E253">
        <f t="shared" si="81"/>
        <v>0.50833333333333286</v>
      </c>
      <c r="F253">
        <v>0</v>
      </c>
      <c r="G253" s="5">
        <f>E253*('Tasas XCCY UF vs Camara'!$C$18/100)</f>
        <v>9.4041666666666596E-3</v>
      </c>
      <c r="H253">
        <v>0.81144063598294869</v>
      </c>
      <c r="I253">
        <f t="shared" si="79"/>
        <v>7.6309229808896413E-3</v>
      </c>
      <c r="J253" s="4">
        <f t="shared" si="80"/>
        <v>1.9797236711800448E-2</v>
      </c>
    </row>
    <row r="254" spans="1:10" x14ac:dyDescent="0.35">
      <c r="A254">
        <v>11</v>
      </c>
      <c r="B254">
        <f t="shared" si="76"/>
        <v>11</v>
      </c>
      <c r="C254" s="1">
        <f t="shared" si="77"/>
        <v>49405</v>
      </c>
      <c r="D254">
        <f t="shared" si="78"/>
        <v>11.16388888888889</v>
      </c>
      <c r="E254">
        <f t="shared" si="81"/>
        <v>0.50555555555555642</v>
      </c>
      <c r="F254">
        <v>0</v>
      </c>
      <c r="G254" s="5">
        <f>E254*('Tasas XCCY UF vs Camara'!$C$18/100)</f>
        <v>9.3527777777777949E-3</v>
      </c>
      <c r="H254">
        <v>0.80798608168915642</v>
      </c>
      <c r="I254">
        <f t="shared" si="79"/>
        <v>7.5569142695760963E-3</v>
      </c>
      <c r="J254" s="4">
        <f t="shared" si="80"/>
        <v>1.9281761224261285E-2</v>
      </c>
    </row>
    <row r="255" spans="1:10" x14ac:dyDescent="0.35">
      <c r="A255">
        <v>11.5</v>
      </c>
      <c r="B255">
        <f t="shared" si="76"/>
        <v>11.5</v>
      </c>
      <c r="C255" s="1">
        <f t="shared" si="77"/>
        <v>49588</v>
      </c>
      <c r="D255">
        <f t="shared" si="78"/>
        <v>11.672222222222222</v>
      </c>
      <c r="E255">
        <f t="shared" si="81"/>
        <v>0.50833333333333286</v>
      </c>
      <c r="F255">
        <v>0</v>
      </c>
      <c r="G255" s="5">
        <f>E255*('Tasas XCCY UF vs Camara'!$C$18/100)</f>
        <v>9.4041666666666596E-3</v>
      </c>
      <c r="H255">
        <v>0.80451254632781577</v>
      </c>
      <c r="I255">
        <f t="shared" si="79"/>
        <v>7.5657700710911619E-3</v>
      </c>
      <c r="J255" s="4">
        <f t="shared" si="80"/>
        <v>1.881031365624608E-2</v>
      </c>
    </row>
    <row r="256" spans="1:10" x14ac:dyDescent="0.35">
      <c r="A256">
        <v>12</v>
      </c>
      <c r="B256">
        <f t="shared" si="76"/>
        <v>12</v>
      </c>
      <c r="C256" s="1">
        <f t="shared" si="77"/>
        <v>49771</v>
      </c>
      <c r="D256">
        <f t="shared" si="78"/>
        <v>12.180555555555555</v>
      </c>
      <c r="E256">
        <f t="shared" si="81"/>
        <v>0.50833333333333286</v>
      </c>
      <c r="F256">
        <v>0</v>
      </c>
      <c r="G256" s="5">
        <f>E256*('Tasas XCCY UF vs Camara'!$C$18/100)</f>
        <v>9.4041666666666596E-3</v>
      </c>
      <c r="H256">
        <v>0.80103901096647512</v>
      </c>
      <c r="I256">
        <f t="shared" si="79"/>
        <v>7.5331043656305541E-3</v>
      </c>
      <c r="J256" s="4">
        <f t="shared" si="80"/>
        <v>1.8379966184065566E-2</v>
      </c>
    </row>
    <row r="257" spans="1:10" x14ac:dyDescent="0.35">
      <c r="A257">
        <v>12.5</v>
      </c>
      <c r="B257">
        <f t="shared" si="76"/>
        <v>12.5</v>
      </c>
      <c r="C257" s="1">
        <f t="shared" si="77"/>
        <v>49954</v>
      </c>
      <c r="D257">
        <f t="shared" si="78"/>
        <v>12.688888888888888</v>
      </c>
      <c r="E257">
        <f t="shared" si="81"/>
        <v>0.50833333333333286</v>
      </c>
      <c r="F257">
        <v>0</v>
      </c>
      <c r="G257" s="5">
        <f>E257*('Tasas XCCY UF vs Camara'!$C$18/100)</f>
        <v>9.4041666666666596E-3</v>
      </c>
      <c r="H257">
        <v>0.79374531973955875</v>
      </c>
      <c r="I257">
        <f t="shared" si="79"/>
        <v>7.4645132777174279E-3</v>
      </c>
      <c r="J257" s="4">
        <f t="shared" si="80"/>
        <v>1.8371031223574752E-2</v>
      </c>
    </row>
    <row r="258" spans="1:10" x14ac:dyDescent="0.35">
      <c r="A258">
        <v>13</v>
      </c>
      <c r="B258">
        <f t="shared" si="76"/>
        <v>13</v>
      </c>
      <c r="C258" s="1">
        <f t="shared" si="77"/>
        <v>50136</v>
      </c>
      <c r="D258">
        <f t="shared" si="78"/>
        <v>13.194444444444445</v>
      </c>
      <c r="E258">
        <f t="shared" si="81"/>
        <v>0.50555555555555642</v>
      </c>
      <c r="F258">
        <v>0</v>
      </c>
      <c r="G258" s="5">
        <f>E258*('Tasas XCCY UF vs Camara'!$C$18/100)</f>
        <v>9.3527777777777949E-3</v>
      </c>
      <c r="H258">
        <v>0.78649148474885511</v>
      </c>
      <c r="I258">
        <f t="shared" si="79"/>
        <v>7.3558800809705553E-3</v>
      </c>
      <c r="J258" s="4">
        <f t="shared" si="80"/>
        <v>1.8369291683173472E-2</v>
      </c>
    </row>
    <row r="259" spans="1:10" x14ac:dyDescent="0.35">
      <c r="A259">
        <v>13.5</v>
      </c>
      <c r="B259">
        <f t="shared" si="76"/>
        <v>13.5</v>
      </c>
      <c r="C259" s="1">
        <f t="shared" si="77"/>
        <v>50319</v>
      </c>
      <c r="D259">
        <f t="shared" si="78"/>
        <v>13.702777777777778</v>
      </c>
      <c r="E259">
        <f t="shared" si="81"/>
        <v>0.50833333333333286</v>
      </c>
      <c r="F259">
        <v>0</v>
      </c>
      <c r="G259" s="5">
        <f>E259*('Tasas XCCY UF vs Camara'!$C$18/100)</f>
        <v>9.4041666666666596E-3</v>
      </c>
      <c r="H259">
        <v>0.77919779352193874</v>
      </c>
      <c r="I259">
        <f t="shared" si="79"/>
        <v>7.3277059165792269E-3</v>
      </c>
      <c r="J259" s="4">
        <f t="shared" si="80"/>
        <v>1.8374046549171075E-2</v>
      </c>
    </row>
    <row r="260" spans="1:10" x14ac:dyDescent="0.35">
      <c r="A260">
        <v>14</v>
      </c>
      <c r="B260">
        <f t="shared" si="76"/>
        <v>14</v>
      </c>
      <c r="C260" s="1">
        <f t="shared" si="77"/>
        <v>50501</v>
      </c>
      <c r="D260">
        <f t="shared" si="78"/>
        <v>14.208333333333334</v>
      </c>
      <c r="E260">
        <f t="shared" si="81"/>
        <v>0.50555555555555642</v>
      </c>
      <c r="F260">
        <v>0</v>
      </c>
      <c r="G260" s="5">
        <f>E260*('Tasas XCCY UF vs Camara'!$C$18/100)</f>
        <v>9.3527777777777949E-3</v>
      </c>
      <c r="H260">
        <v>0.7719439585312351</v>
      </c>
      <c r="I260">
        <f t="shared" si="79"/>
        <v>7.2198203010407592E-3</v>
      </c>
      <c r="J260" s="4">
        <f t="shared" si="80"/>
        <v>1.8384666783457515E-2</v>
      </c>
    </row>
    <row r="261" spans="1:10" x14ac:dyDescent="0.35">
      <c r="A261">
        <v>14.5</v>
      </c>
      <c r="B261">
        <f t="shared" si="76"/>
        <v>14.5</v>
      </c>
      <c r="C261" s="1">
        <f t="shared" si="77"/>
        <v>50684</v>
      </c>
      <c r="D261">
        <f t="shared" si="78"/>
        <v>14.716666666666667</v>
      </c>
      <c r="E261">
        <f t="shared" si="81"/>
        <v>0.50833333333333286</v>
      </c>
      <c r="F261">
        <v>0</v>
      </c>
      <c r="G261" s="5">
        <f>E261*('Tasas XCCY UF vs Camara'!$C$18/100)</f>
        <v>9.4041666666666596E-3</v>
      </c>
      <c r="H261">
        <v>0.76465026730431873</v>
      </c>
      <c r="I261">
        <f t="shared" si="79"/>
        <v>7.190898555441025E-3</v>
      </c>
      <c r="J261" s="4">
        <f t="shared" si="80"/>
        <v>1.8400771149526873E-2</v>
      </c>
    </row>
    <row r="262" spans="1:10" x14ac:dyDescent="0.35">
      <c r="A262">
        <v>15</v>
      </c>
      <c r="B262">
        <f t="shared" si="76"/>
        <v>15</v>
      </c>
      <c r="C262" s="1">
        <f t="shared" si="77"/>
        <v>50866</v>
      </c>
      <c r="D262">
        <f t="shared" si="78"/>
        <v>15.222222222222221</v>
      </c>
      <c r="E262">
        <f t="shared" si="81"/>
        <v>0.50555555555555465</v>
      </c>
      <c r="F262">
        <v>0</v>
      </c>
      <c r="G262" s="5">
        <f>E262*('Tasas XCCY UF vs Camara'!$C$18/100)</f>
        <v>9.352777777777762E-3</v>
      </c>
      <c r="H262">
        <v>0.75739643231361509</v>
      </c>
      <c r="I262">
        <f t="shared" si="79"/>
        <v>7.083760521110938E-3</v>
      </c>
      <c r="J262" s="4">
        <f t="shared" si="80"/>
        <v>1.8421758414699285E-2</v>
      </c>
    </row>
    <row r="263" spans="1:10" x14ac:dyDescent="0.35">
      <c r="A263">
        <v>15.5</v>
      </c>
      <c r="B263">
        <f t="shared" si="76"/>
        <v>15.5</v>
      </c>
      <c r="C263" s="1">
        <f t="shared" si="77"/>
        <v>51049</v>
      </c>
      <c r="D263">
        <f t="shared" si="78"/>
        <v>15.730555555555556</v>
      </c>
      <c r="E263">
        <f t="shared" si="81"/>
        <v>0.50833333333333464</v>
      </c>
      <c r="F263">
        <v>0</v>
      </c>
      <c r="G263" s="5">
        <f>E263*('Tasas XCCY UF vs Camara'!$C$18/100)</f>
        <v>9.4041666666666926E-3</v>
      </c>
      <c r="H263">
        <f>+(($H$272-$H$262)/($D$272-$D$262))*(D263-$D$262)+$H$262</f>
        <v>0.7506234921616165</v>
      </c>
      <c r="I263">
        <f t="shared" si="79"/>
        <v>7.0589884242032216E-3</v>
      </c>
      <c r="J263" s="4">
        <f t="shared" si="80"/>
        <v>1.8402558593640483E-2</v>
      </c>
    </row>
    <row r="264" spans="1:10" x14ac:dyDescent="0.35">
      <c r="A264">
        <v>16</v>
      </c>
      <c r="B264">
        <f t="shared" si="76"/>
        <v>16</v>
      </c>
      <c r="C264" s="1">
        <f t="shared" si="77"/>
        <v>51232</v>
      </c>
      <c r="D264">
        <f t="shared" si="78"/>
        <v>16.238888888888887</v>
      </c>
      <c r="E264">
        <f t="shared" si="81"/>
        <v>0.50833333333333108</v>
      </c>
      <c r="F264">
        <v>0</v>
      </c>
      <c r="G264" s="5">
        <f>E264*('Tasas XCCY UF vs Camara'!$C$18/100)</f>
        <v>9.4041666666666267E-3</v>
      </c>
      <c r="H264">
        <f>+(($H$272-$H$262)/($D$272-$D$262))*(D264-$D$262)+$H$262</f>
        <v>0.74385055200961803</v>
      </c>
      <c r="I264">
        <f t="shared" si="79"/>
        <v>6.9952945661904201E-3</v>
      </c>
      <c r="J264" s="4">
        <f t="shared" si="80"/>
        <v>1.8389667185378267E-2</v>
      </c>
    </row>
    <row r="265" spans="1:10" x14ac:dyDescent="0.35">
      <c r="A265">
        <v>16.5</v>
      </c>
      <c r="B265">
        <f t="shared" si="76"/>
        <v>16.5</v>
      </c>
      <c r="C265" s="1">
        <f t="shared" si="77"/>
        <v>51415</v>
      </c>
      <c r="D265">
        <f t="shared" si="78"/>
        <v>16.747222222222224</v>
      </c>
      <c r="E265">
        <f t="shared" si="81"/>
        <v>0.50833333333333641</v>
      </c>
      <c r="F265">
        <v>0</v>
      </c>
      <c r="G265" s="5">
        <f>E265*('Tasas XCCY UF vs Camara'!$C$18/100)</f>
        <v>9.4041666666667256E-3</v>
      </c>
      <c r="H265">
        <f t="shared" ref="H265:H271" si="82">+(($H$272-$H$262)/($D$272-$D$262))*(D265-$D$262)+$H$262</f>
        <v>0.73707761185761944</v>
      </c>
      <c r="I265">
        <f t="shared" si="79"/>
        <v>6.93160070817774E-3</v>
      </c>
      <c r="J265" s="4">
        <f t="shared" si="80"/>
        <v>1.8382600117099468E-2</v>
      </c>
    </row>
    <row r="266" spans="1:10" x14ac:dyDescent="0.35">
      <c r="A266">
        <v>17</v>
      </c>
      <c r="B266">
        <f t="shared" si="76"/>
        <v>17</v>
      </c>
      <c r="C266" s="1">
        <f t="shared" si="77"/>
        <v>51597</v>
      </c>
      <c r="D266">
        <f t="shared" si="78"/>
        <v>17.252777777777776</v>
      </c>
      <c r="E266">
        <f t="shared" si="81"/>
        <v>0.50555555555555287</v>
      </c>
      <c r="F266">
        <v>0</v>
      </c>
      <c r="G266" s="5">
        <f>E266*('Tasas XCCY UF vs Camara'!$C$18/100)</f>
        <v>9.352777777777729E-3</v>
      </c>
      <c r="H266">
        <f t="shared" si="82"/>
        <v>0.73034168230754437</v>
      </c>
      <c r="I266">
        <f t="shared" si="79"/>
        <v>6.8307234564708033E-3</v>
      </c>
      <c r="J266" s="4">
        <f t="shared" si="80"/>
        <v>1.8380928016036968E-2</v>
      </c>
    </row>
    <row r="267" spans="1:10" x14ac:dyDescent="0.35">
      <c r="A267">
        <v>17.5</v>
      </c>
      <c r="B267">
        <f t="shared" si="76"/>
        <v>17.5</v>
      </c>
      <c r="C267" s="1">
        <f t="shared" si="77"/>
        <v>51780</v>
      </c>
      <c r="D267">
        <f t="shared" si="78"/>
        <v>17.761111111111113</v>
      </c>
      <c r="E267">
        <f t="shared" si="81"/>
        <v>0.50833333333333641</v>
      </c>
      <c r="F267">
        <v>0</v>
      </c>
      <c r="G267" s="5">
        <f>E267*('Tasas XCCY UF vs Camara'!$C$18/100)</f>
        <v>9.4041666666667256E-3</v>
      </c>
      <c r="H267">
        <f t="shared" si="82"/>
        <v>0.72356874215554579</v>
      </c>
      <c r="I267">
        <f t="shared" si="79"/>
        <v>6.8045610460211545E-3</v>
      </c>
      <c r="J267" s="4">
        <f t="shared" si="80"/>
        <v>1.8384260698186106E-2</v>
      </c>
    </row>
    <row r="268" spans="1:10" x14ac:dyDescent="0.35">
      <c r="A268">
        <v>18</v>
      </c>
      <c r="B268">
        <f t="shared" si="76"/>
        <v>18</v>
      </c>
      <c r="C268" s="1">
        <f t="shared" si="77"/>
        <v>51962</v>
      </c>
      <c r="D268">
        <f t="shared" si="78"/>
        <v>18.266666666666666</v>
      </c>
      <c r="E268">
        <f t="shared" si="81"/>
        <v>0.50555555555555287</v>
      </c>
      <c r="F268">
        <v>0</v>
      </c>
      <c r="G268" s="5">
        <f>E268*('Tasas XCCY UF vs Camara'!$C$18/100)</f>
        <v>9.352777777777729E-3</v>
      </c>
      <c r="H268">
        <f t="shared" si="82"/>
        <v>0.71683281260547072</v>
      </c>
      <c r="I268">
        <f t="shared" si="79"/>
        <v>6.7043780001183537E-3</v>
      </c>
      <c r="J268" s="4">
        <f t="shared" si="80"/>
        <v>1.8392236120757355E-2</v>
      </c>
    </row>
    <row r="269" spans="1:10" x14ac:dyDescent="0.35">
      <c r="A269">
        <v>18.5</v>
      </c>
      <c r="B269">
        <f t="shared" si="76"/>
        <v>18.5</v>
      </c>
      <c r="C269" s="1">
        <f t="shared" si="77"/>
        <v>52145</v>
      </c>
      <c r="D269">
        <f t="shared" si="78"/>
        <v>18.774999999999999</v>
      </c>
      <c r="E269">
        <f t="shared" si="81"/>
        <v>0.50833333333333286</v>
      </c>
      <c r="F269">
        <v>0</v>
      </c>
      <c r="G269" s="5">
        <f>E269*('Tasas XCCY UF vs Camara'!$C$18/100)</f>
        <v>9.4041666666666596E-3</v>
      </c>
      <c r="H269">
        <f t="shared" si="82"/>
        <v>0.71005987245347213</v>
      </c>
      <c r="I269">
        <f t="shared" si="79"/>
        <v>6.6775213838645223E-3</v>
      </c>
      <c r="J269" s="4">
        <f t="shared" si="80"/>
        <v>1.8404651888329182E-2</v>
      </c>
    </row>
    <row r="270" spans="1:10" x14ac:dyDescent="0.35">
      <c r="A270">
        <v>19</v>
      </c>
      <c r="B270">
        <f t="shared" si="76"/>
        <v>19</v>
      </c>
      <c r="C270" s="1">
        <f t="shared" si="77"/>
        <v>52327</v>
      </c>
      <c r="D270">
        <f t="shared" si="78"/>
        <v>19.280555555555555</v>
      </c>
      <c r="E270">
        <f t="shared" si="81"/>
        <v>0.50555555555555642</v>
      </c>
      <c r="F270">
        <v>0</v>
      </c>
      <c r="G270" s="5">
        <f>E270*('Tasas XCCY UF vs Camara'!$C$18/100)</f>
        <v>9.3527777777777949E-3</v>
      </c>
      <c r="H270">
        <f t="shared" si="82"/>
        <v>0.70332394290339706</v>
      </c>
      <c r="I270">
        <f t="shared" si="79"/>
        <v>6.5780325437659508E-3</v>
      </c>
      <c r="J270" s="4">
        <f t="shared" si="80"/>
        <v>1.8421117212141125E-2</v>
      </c>
    </row>
    <row r="271" spans="1:10" x14ac:dyDescent="0.35">
      <c r="A271">
        <v>19.5</v>
      </c>
      <c r="B271">
        <f t="shared" si="76"/>
        <v>19.5</v>
      </c>
      <c r="C271" s="1">
        <f t="shared" si="77"/>
        <v>52510</v>
      </c>
      <c r="D271">
        <f t="shared" si="78"/>
        <v>19.788888888888888</v>
      </c>
      <c r="E271">
        <f t="shared" si="81"/>
        <v>0.50833333333333286</v>
      </c>
      <c r="F271">
        <v>0</v>
      </c>
      <c r="G271" s="5">
        <f>E271*('Tasas XCCY UF vs Camara'!$C$18/100)</f>
        <v>9.4041666666666596E-3</v>
      </c>
      <c r="H271">
        <f t="shared" si="82"/>
        <v>0.69655100275139858</v>
      </c>
      <c r="I271">
        <f t="shared" si="79"/>
        <v>6.5504817217079394E-3</v>
      </c>
      <c r="J271" s="4">
        <f t="shared" si="80"/>
        <v>1.8441584984705939E-2</v>
      </c>
    </row>
    <row r="272" spans="1:10" x14ac:dyDescent="0.35">
      <c r="A272">
        <v>20</v>
      </c>
      <c r="B272">
        <f t="shared" si="76"/>
        <v>20</v>
      </c>
      <c r="C272" s="1">
        <f t="shared" si="77"/>
        <v>52693</v>
      </c>
      <c r="D272">
        <f t="shared" si="78"/>
        <v>20.297222222222221</v>
      </c>
      <c r="E272">
        <f t="shared" si="81"/>
        <v>0.50833333333333286</v>
      </c>
      <c r="F272">
        <v>1</v>
      </c>
      <c r="G272" s="5">
        <f>E272*('Tasas XCCY UF vs Camara'!$C$18/100)</f>
        <v>9.4041666666666596E-3</v>
      </c>
      <c r="H272" s="2">
        <v>0.6897780625994</v>
      </c>
      <c r="I272">
        <f t="shared" si="79"/>
        <v>0.69626485046309516</v>
      </c>
      <c r="J272" s="8">
        <f t="shared" si="80"/>
        <v>1.8465772292683313E-2</v>
      </c>
    </row>
    <row r="273" spans="1:10" x14ac:dyDescent="0.35">
      <c r="I273">
        <f>SUM(I233:I272)</f>
        <v>1</v>
      </c>
    </row>
    <row r="276" spans="1:10" x14ac:dyDescent="0.35">
      <c r="B276" t="s">
        <v>56</v>
      </c>
      <c r="C276" t="s">
        <v>35</v>
      </c>
    </row>
    <row r="277" spans="1:10" x14ac:dyDescent="0.35">
      <c r="A277" s="5" t="s">
        <v>36</v>
      </c>
      <c r="B277" t="s">
        <v>38</v>
      </c>
      <c r="C277" t="s">
        <v>37</v>
      </c>
      <c r="D277" t="s">
        <v>25</v>
      </c>
      <c r="E277" t="s">
        <v>41</v>
      </c>
      <c r="F277" t="s">
        <v>40</v>
      </c>
      <c r="G277" s="5" t="s">
        <v>105</v>
      </c>
      <c r="H277" t="s">
        <v>42</v>
      </c>
      <c r="I277" t="s">
        <v>32</v>
      </c>
      <c r="J277" s="4" t="s">
        <v>33</v>
      </c>
    </row>
    <row r="278" spans="1:10" x14ac:dyDescent="0.35">
      <c r="A278">
        <v>0.5</v>
      </c>
      <c r="B278">
        <f>A278</f>
        <v>0.5</v>
      </c>
      <c r="C278" s="1">
        <f>+DATE(YEAR($C$1),MONTH($C$1)+B278*12,DAY($C$1)+2)</f>
        <v>45571</v>
      </c>
      <c r="D278">
        <f>+(C278-$C$1)/360</f>
        <v>0.51388888888888884</v>
      </c>
      <c r="E278" s="6">
        <f>(C278-$C$1)/360</f>
        <v>0.51388888888888884</v>
      </c>
      <c r="F278">
        <v>0</v>
      </c>
      <c r="G278" s="5">
        <f>E278*('Tasas XCCY UF vs Camara'!$C$18/100)</f>
        <v>9.5069444444444446E-3</v>
      </c>
      <c r="H278">
        <v>0.98846923183584823</v>
      </c>
      <c r="I278">
        <f>H278*SUM(F278:G278)</f>
        <v>9.3973220721060846E-3</v>
      </c>
      <c r="J278" s="4">
        <f>+(1/H278)^(1/D278)-1</f>
        <v>2.2825217853303048E-2</v>
      </c>
    </row>
    <row r="279" spans="1:10" x14ac:dyDescent="0.35">
      <c r="A279">
        <v>1</v>
      </c>
      <c r="B279">
        <f t="shared" ref="B279:B327" si="83">A279</f>
        <v>1</v>
      </c>
      <c r="C279" s="1">
        <f t="shared" ref="C279:C327" si="84">+DATE(YEAR($C$1),MONTH($C$1)+B279*12,DAY($C$1)+2)</f>
        <v>45753</v>
      </c>
      <c r="D279">
        <f t="shared" ref="D279:D327" si="85">+(C279-$C$1)/360</f>
        <v>1.0194444444444444</v>
      </c>
      <c r="E279">
        <f>D279-D278</f>
        <v>0.50555555555555554</v>
      </c>
      <c r="F279">
        <v>0</v>
      </c>
      <c r="G279" s="5">
        <f>E279*('Tasas XCCY UF vs Camara'!$C$18/100)</f>
        <v>9.3527777777777793E-3</v>
      </c>
      <c r="H279">
        <v>0.9786984914042407</v>
      </c>
      <c r="I279">
        <f t="shared" ref="I279:I327" si="86">H279*SUM(F279:G279)</f>
        <v>9.1535495015502202E-3</v>
      </c>
      <c r="J279" s="4">
        <f t="shared" ref="J279:J327" si="87">+(1/H279)^(1/D279)-1</f>
        <v>2.1345600801821352E-2</v>
      </c>
    </row>
    <row r="280" spans="1:10" x14ac:dyDescent="0.35">
      <c r="A280">
        <v>1.5</v>
      </c>
      <c r="B280">
        <f t="shared" si="83"/>
        <v>1.5</v>
      </c>
      <c r="C280" s="1">
        <f t="shared" si="84"/>
        <v>45936</v>
      </c>
      <c r="D280">
        <f t="shared" si="85"/>
        <v>1.5277777777777777</v>
      </c>
      <c r="E280">
        <f t="shared" ref="E280:E327" si="88">D280-D279</f>
        <v>0.5083333333333333</v>
      </c>
      <c r="F280">
        <v>0</v>
      </c>
      <c r="G280" s="5">
        <f>E280*('Tasas XCCY UF vs Camara'!$C$18/100)</f>
        <v>9.4041666666666666E-3</v>
      </c>
      <c r="H280">
        <v>0.96991903870246388</v>
      </c>
      <c r="I280">
        <f t="shared" si="86"/>
        <v>9.1212802931310878E-3</v>
      </c>
      <c r="J280" s="4">
        <f t="shared" si="87"/>
        <v>2.0192739655148007E-2</v>
      </c>
    </row>
    <row r="281" spans="1:10" x14ac:dyDescent="0.35">
      <c r="A281">
        <v>2</v>
      </c>
      <c r="B281">
        <f t="shared" si="83"/>
        <v>2</v>
      </c>
      <c r="C281" s="1">
        <f t="shared" si="84"/>
        <v>46118</v>
      </c>
      <c r="D281">
        <f t="shared" si="85"/>
        <v>2.0333333333333332</v>
      </c>
      <c r="E281">
        <f t="shared" si="88"/>
        <v>0.50555555555555554</v>
      </c>
      <c r="F281">
        <v>0</v>
      </c>
      <c r="G281" s="5">
        <f>E281*('Tasas XCCY UF vs Camara'!$C$18/100)</f>
        <v>9.3527777777777793E-3</v>
      </c>
      <c r="H281">
        <v>0.95988340577914977</v>
      </c>
      <c r="I281">
        <f t="shared" si="86"/>
        <v>8.9775761868288832E-3</v>
      </c>
      <c r="J281" s="4">
        <f t="shared" si="87"/>
        <v>2.0340224408298635E-2</v>
      </c>
    </row>
    <row r="282" spans="1:10" x14ac:dyDescent="0.35">
      <c r="A282">
        <v>2.5</v>
      </c>
      <c r="B282">
        <f t="shared" si="83"/>
        <v>2.5</v>
      </c>
      <c r="C282" s="1">
        <f t="shared" si="84"/>
        <v>46301</v>
      </c>
      <c r="D282">
        <f t="shared" si="85"/>
        <v>2.5416666666666665</v>
      </c>
      <c r="E282">
        <f t="shared" si="88"/>
        <v>0.5083333333333333</v>
      </c>
      <c r="F282">
        <v>0</v>
      </c>
      <c r="G282" s="5">
        <f>E282*('Tasas XCCY UF vs Camara'!$C$18/100)</f>
        <v>9.4041666666666666E-3</v>
      </c>
      <c r="H282">
        <v>0.95007987870123201</v>
      </c>
      <c r="I282">
        <f t="shared" si="86"/>
        <v>8.9347095259528359E-3</v>
      </c>
      <c r="J282" s="4">
        <f t="shared" si="87"/>
        <v>2.0352226617283087E-2</v>
      </c>
    </row>
    <row r="283" spans="1:10" x14ac:dyDescent="0.35">
      <c r="A283">
        <v>3</v>
      </c>
      <c r="B283">
        <f t="shared" si="83"/>
        <v>3</v>
      </c>
      <c r="C283" s="1">
        <f t="shared" si="84"/>
        <v>46483</v>
      </c>
      <c r="D283">
        <f t="shared" si="85"/>
        <v>3.0472222222222221</v>
      </c>
      <c r="E283">
        <f t="shared" si="88"/>
        <v>0.50555555555555554</v>
      </c>
      <c r="F283">
        <v>0</v>
      </c>
      <c r="G283" s="5">
        <f>E283*('Tasas XCCY UF vs Camara'!$C$18/100)</f>
        <v>9.3527777777777793E-3</v>
      </c>
      <c r="H283">
        <v>0.94032992280953231</v>
      </c>
      <c r="I283">
        <f t="shared" si="86"/>
        <v>8.7946968058324887E-3</v>
      </c>
      <c r="J283" s="4">
        <f t="shared" si="87"/>
        <v>2.0395553966489288E-2</v>
      </c>
    </row>
    <row r="284" spans="1:10" x14ac:dyDescent="0.35">
      <c r="A284">
        <v>3.5</v>
      </c>
      <c r="B284">
        <f t="shared" si="83"/>
        <v>3.5</v>
      </c>
      <c r="C284" s="1">
        <f t="shared" si="84"/>
        <v>46666</v>
      </c>
      <c r="D284">
        <f t="shared" si="85"/>
        <v>3.5555555555555554</v>
      </c>
      <c r="E284">
        <f t="shared" si="88"/>
        <v>0.5083333333333333</v>
      </c>
      <c r="F284">
        <v>0</v>
      </c>
      <c r="G284" s="5">
        <f>E284*('Tasas XCCY UF vs Camara'!$C$18/100)</f>
        <v>9.4041666666666666E-3</v>
      </c>
      <c r="H284">
        <v>0.93039229764203935</v>
      </c>
      <c r="I284">
        <f t="shared" si="86"/>
        <v>8.7495642324086787E-3</v>
      </c>
      <c r="J284" s="4">
        <f t="shared" si="87"/>
        <v>2.0499174117375452E-2</v>
      </c>
    </row>
    <row r="285" spans="1:10" x14ac:dyDescent="0.35">
      <c r="A285">
        <v>4</v>
      </c>
      <c r="B285">
        <f t="shared" si="83"/>
        <v>4</v>
      </c>
      <c r="C285" s="1">
        <f t="shared" si="84"/>
        <v>46849</v>
      </c>
      <c r="D285">
        <f t="shared" si="85"/>
        <v>4.0638888888888891</v>
      </c>
      <c r="E285">
        <f t="shared" si="88"/>
        <v>0.50833333333333375</v>
      </c>
      <c r="F285">
        <v>0</v>
      </c>
      <c r="G285" s="5">
        <f>E285*('Tasas XCCY UF vs Camara'!$C$18/100)</f>
        <v>9.4041666666666753E-3</v>
      </c>
      <c r="H285">
        <v>0.92045467247454626</v>
      </c>
      <c r="I285">
        <f t="shared" si="86"/>
        <v>8.6561091490627209E-3</v>
      </c>
      <c r="J285" s="4">
        <f t="shared" si="87"/>
        <v>2.0605531273894639E-2</v>
      </c>
    </row>
    <row r="286" spans="1:10" x14ac:dyDescent="0.35">
      <c r="A286" s="5">
        <v>4.5</v>
      </c>
      <c r="B286">
        <f t="shared" si="83"/>
        <v>4.5</v>
      </c>
      <c r="C286" s="1">
        <f t="shared" si="84"/>
        <v>47032</v>
      </c>
      <c r="D286">
        <f t="shared" si="85"/>
        <v>4.572222222222222</v>
      </c>
      <c r="E286">
        <f t="shared" si="88"/>
        <v>0.50833333333333286</v>
      </c>
      <c r="F286">
        <v>0</v>
      </c>
      <c r="G286" s="5">
        <f>E286*('Tasas XCCY UF vs Camara'!$C$18/100)</f>
        <v>9.4041666666666596E-3</v>
      </c>
      <c r="H286">
        <v>0.91124693740504237</v>
      </c>
      <c r="I286">
        <f t="shared" si="86"/>
        <v>8.5695180738465798E-3</v>
      </c>
      <c r="J286" s="4">
        <f t="shared" si="87"/>
        <v>2.053540116053898E-2</v>
      </c>
    </row>
    <row r="287" spans="1:10" x14ac:dyDescent="0.35">
      <c r="A287">
        <v>5</v>
      </c>
      <c r="B287">
        <f t="shared" si="83"/>
        <v>5</v>
      </c>
      <c r="C287" s="1">
        <f t="shared" si="84"/>
        <v>47214</v>
      </c>
      <c r="D287">
        <f t="shared" si="85"/>
        <v>5.0777777777777775</v>
      </c>
      <c r="E287">
        <f t="shared" si="88"/>
        <v>0.50555555555555554</v>
      </c>
      <c r="F287">
        <v>0</v>
      </c>
      <c r="G287" s="5">
        <f>E287*('Tasas XCCY UF vs Camara'!$C$18/100)</f>
        <v>9.3527777777777793E-3</v>
      </c>
      <c r="H287">
        <v>0.90208951782772151</v>
      </c>
      <c r="I287">
        <f t="shared" si="86"/>
        <v>8.4370427959053855E-3</v>
      </c>
      <c r="J287" s="4">
        <f t="shared" si="87"/>
        <v>2.0499936176433087E-2</v>
      </c>
    </row>
    <row r="288" spans="1:10" x14ac:dyDescent="0.35">
      <c r="A288">
        <v>5.5</v>
      </c>
      <c r="B288">
        <f t="shared" si="83"/>
        <v>5.5</v>
      </c>
      <c r="C288" s="1">
        <f t="shared" si="84"/>
        <v>47397</v>
      </c>
      <c r="D288">
        <f t="shared" si="85"/>
        <v>5.5861111111111112</v>
      </c>
      <c r="E288">
        <f t="shared" si="88"/>
        <v>0.50833333333333375</v>
      </c>
      <c r="F288">
        <v>0</v>
      </c>
      <c r="G288" s="5">
        <f>E288*('Tasas XCCY UF vs Camara'!$C$18/100)</f>
        <v>9.4041666666666753E-3</v>
      </c>
      <c r="H288">
        <v>0.89203366426541864</v>
      </c>
      <c r="I288">
        <f t="shared" si="86"/>
        <v>8.3888332510293814E-3</v>
      </c>
      <c r="J288" s="4">
        <f t="shared" si="87"/>
        <v>2.0663354076956963E-2</v>
      </c>
    </row>
    <row r="289" spans="1:10" x14ac:dyDescent="0.35">
      <c r="A289">
        <v>6</v>
      </c>
      <c r="B289">
        <f t="shared" si="83"/>
        <v>6</v>
      </c>
      <c r="C289" s="1">
        <f t="shared" si="84"/>
        <v>47579</v>
      </c>
      <c r="D289">
        <f t="shared" si="85"/>
        <v>6.0916666666666668</v>
      </c>
      <c r="E289">
        <f t="shared" si="88"/>
        <v>0.50555555555555554</v>
      </c>
      <c r="F289">
        <v>0</v>
      </c>
      <c r="G289" s="5">
        <f>E289*('Tasas XCCY UF vs Camara'!$C$18/100)</f>
        <v>9.3527777777777793E-3</v>
      </c>
      <c r="H289">
        <v>0.88203276072258185</v>
      </c>
      <c r="I289">
        <f t="shared" si="86"/>
        <v>8.2494564037581489E-3</v>
      </c>
      <c r="J289" s="4">
        <f t="shared" si="87"/>
        <v>2.0819969935254479E-2</v>
      </c>
    </row>
    <row r="290" spans="1:10" x14ac:dyDescent="0.35">
      <c r="A290">
        <v>6.5</v>
      </c>
      <c r="B290">
        <f t="shared" si="83"/>
        <v>6.5</v>
      </c>
      <c r="C290" s="1">
        <f t="shared" si="84"/>
        <v>47762</v>
      </c>
      <c r="D290">
        <f t="shared" si="85"/>
        <v>6.6</v>
      </c>
      <c r="E290">
        <f t="shared" si="88"/>
        <v>0.50833333333333286</v>
      </c>
      <c r="F290">
        <v>0</v>
      </c>
      <c r="G290" s="5">
        <f>E290*('Tasas XCCY UF vs Camara'!$C$18/100)</f>
        <v>9.4041666666666596E-3</v>
      </c>
      <c r="H290">
        <v>0.87224598504040074</v>
      </c>
      <c r="I290">
        <f t="shared" si="86"/>
        <v>8.2027466176507625E-3</v>
      </c>
      <c r="J290" s="4">
        <f t="shared" si="87"/>
        <v>2.0925600168833158E-2</v>
      </c>
    </row>
    <row r="291" spans="1:10" x14ac:dyDescent="0.35">
      <c r="A291">
        <v>7</v>
      </c>
      <c r="B291">
        <f t="shared" si="83"/>
        <v>7</v>
      </c>
      <c r="C291" s="1">
        <f t="shared" si="84"/>
        <v>47944</v>
      </c>
      <c r="D291">
        <f t="shared" si="85"/>
        <v>7.1055555555555552</v>
      </c>
      <c r="E291">
        <f t="shared" si="88"/>
        <v>0.50555555555555554</v>
      </c>
      <c r="F291">
        <v>0</v>
      </c>
      <c r="G291" s="5">
        <f>E291*('Tasas XCCY UF vs Camara'!$C$18/100)</f>
        <v>9.3527777777777793E-3</v>
      </c>
      <c r="H291">
        <v>0.86251268900675615</v>
      </c>
      <c r="I291">
        <f t="shared" si="86"/>
        <v>8.0668895107937448E-3</v>
      </c>
      <c r="J291" s="4">
        <f t="shared" si="87"/>
        <v>2.1033614266791512E-2</v>
      </c>
    </row>
    <row r="292" spans="1:10" x14ac:dyDescent="0.35">
      <c r="A292">
        <v>7.5</v>
      </c>
      <c r="B292">
        <f t="shared" si="83"/>
        <v>7.5</v>
      </c>
      <c r="C292" s="1">
        <f t="shared" si="84"/>
        <v>48127</v>
      </c>
      <c r="D292">
        <f t="shared" si="85"/>
        <v>7.6138888888888889</v>
      </c>
      <c r="E292">
        <f t="shared" si="88"/>
        <v>0.50833333333333375</v>
      </c>
      <c r="F292">
        <v>0</v>
      </c>
      <c r="G292" s="5">
        <f>E292*('Tasas XCCY UF vs Camara'!$C$18/100)</f>
        <v>9.4041666666666753E-3</v>
      </c>
      <c r="H292">
        <v>0.85404236890298058</v>
      </c>
      <c r="I292">
        <f t="shared" si="86"/>
        <v>8.0315567775584538E-3</v>
      </c>
      <c r="J292" s="4">
        <f t="shared" si="87"/>
        <v>2.0938120106715363E-2</v>
      </c>
    </row>
    <row r="293" spans="1:10" x14ac:dyDescent="0.35">
      <c r="A293">
        <v>8</v>
      </c>
      <c r="B293">
        <f t="shared" si="83"/>
        <v>8</v>
      </c>
      <c r="C293" s="1">
        <f t="shared" si="84"/>
        <v>48310</v>
      </c>
      <c r="D293">
        <f t="shared" si="85"/>
        <v>8.1222222222222218</v>
      </c>
      <c r="E293">
        <f t="shared" si="88"/>
        <v>0.50833333333333286</v>
      </c>
      <c r="F293">
        <v>0</v>
      </c>
      <c r="G293" s="5">
        <f>E293*('Tasas XCCY UF vs Camara'!$C$18/100)</f>
        <v>9.4041666666666596E-3</v>
      </c>
      <c r="H293">
        <v>0.84557204879920511</v>
      </c>
      <c r="I293">
        <f t="shared" si="86"/>
        <v>7.9519004755825191E-3</v>
      </c>
      <c r="J293" s="4">
        <f t="shared" si="87"/>
        <v>2.0866950223036085E-2</v>
      </c>
    </row>
    <row r="294" spans="1:10" x14ac:dyDescent="0.35">
      <c r="A294">
        <v>8.5</v>
      </c>
      <c r="B294">
        <f t="shared" si="83"/>
        <v>8.5</v>
      </c>
      <c r="C294" s="1">
        <f t="shared" si="84"/>
        <v>48493</v>
      </c>
      <c r="D294">
        <f t="shared" si="85"/>
        <v>8.6305555555555564</v>
      </c>
      <c r="E294">
        <f t="shared" si="88"/>
        <v>0.50833333333333464</v>
      </c>
      <c r="F294">
        <v>0</v>
      </c>
      <c r="G294" s="5">
        <f>E294*('Tasas XCCY UF vs Camara'!$C$18/100)</f>
        <v>9.4041666666666926E-3</v>
      </c>
      <c r="H294">
        <v>0.83760968652685885</v>
      </c>
      <c r="I294">
        <f t="shared" si="86"/>
        <v>7.8770210937130231E-3</v>
      </c>
      <c r="J294" s="4">
        <f t="shared" si="87"/>
        <v>2.0744289276428685E-2</v>
      </c>
    </row>
    <row r="295" spans="1:10" x14ac:dyDescent="0.35">
      <c r="A295">
        <v>9</v>
      </c>
      <c r="B295">
        <f t="shared" si="83"/>
        <v>9</v>
      </c>
      <c r="C295" s="1">
        <f t="shared" si="84"/>
        <v>48675</v>
      </c>
      <c r="D295">
        <f t="shared" si="85"/>
        <v>9.1361111111111111</v>
      </c>
      <c r="E295">
        <f t="shared" si="88"/>
        <v>0.50555555555555465</v>
      </c>
      <c r="F295">
        <v>0</v>
      </c>
      <c r="G295" s="5">
        <f>E295*('Tasas XCCY UF vs Camara'!$C$18/100)</f>
        <v>9.352777777777762E-3</v>
      </c>
      <c r="H295">
        <v>0.82969083443086433</v>
      </c>
      <c r="I295">
        <f t="shared" si="86"/>
        <v>7.7599139986908768E-3</v>
      </c>
      <c r="J295" s="4">
        <f t="shared" si="87"/>
        <v>2.0645861558836298E-2</v>
      </c>
    </row>
    <row r="296" spans="1:10" x14ac:dyDescent="0.35">
      <c r="A296">
        <v>9.5</v>
      </c>
      <c r="B296">
        <f t="shared" si="83"/>
        <v>9.5</v>
      </c>
      <c r="C296" s="1">
        <f t="shared" si="84"/>
        <v>48858</v>
      </c>
      <c r="D296">
        <f t="shared" si="85"/>
        <v>9.6444444444444439</v>
      </c>
      <c r="E296">
        <f t="shared" si="88"/>
        <v>0.50833333333333286</v>
      </c>
      <c r="F296">
        <v>0</v>
      </c>
      <c r="G296" s="5">
        <f>E296*('Tasas XCCY UF vs Camara'!$C$18/100)</f>
        <v>9.4041666666666596E-3</v>
      </c>
      <c r="H296">
        <v>0.82228226088334866</v>
      </c>
      <c r="I296">
        <f t="shared" si="86"/>
        <v>7.7328794283904852E-3</v>
      </c>
      <c r="J296" s="4">
        <f t="shared" si="87"/>
        <v>2.0495736888332949E-2</v>
      </c>
    </row>
    <row r="297" spans="1:10" x14ac:dyDescent="0.35">
      <c r="A297">
        <v>10</v>
      </c>
      <c r="B297">
        <f t="shared" si="83"/>
        <v>10</v>
      </c>
      <c r="C297" s="1">
        <f t="shared" si="84"/>
        <v>49040</v>
      </c>
      <c r="D297">
        <f t="shared" si="85"/>
        <v>10.15</v>
      </c>
      <c r="E297">
        <f t="shared" si="88"/>
        <v>0.50555555555555642</v>
      </c>
      <c r="F297">
        <v>0</v>
      </c>
      <c r="G297" s="5">
        <f>E297*('Tasas XCCY UF vs Camara'!$C$18/100)</f>
        <v>9.3527777777777949E-3</v>
      </c>
      <c r="H297">
        <v>0.81491417134428934</v>
      </c>
      <c r="I297">
        <f t="shared" si="86"/>
        <v>7.6217111525450753E-3</v>
      </c>
      <c r="J297" s="4">
        <f t="shared" si="87"/>
        <v>2.0369459188657846E-2</v>
      </c>
    </row>
    <row r="298" spans="1:10" x14ac:dyDescent="0.35">
      <c r="A298">
        <v>10.5</v>
      </c>
      <c r="B298">
        <f t="shared" si="83"/>
        <v>10.5</v>
      </c>
      <c r="C298" s="1">
        <f t="shared" si="84"/>
        <v>49223</v>
      </c>
      <c r="D298">
        <f t="shared" si="85"/>
        <v>10.658333333333333</v>
      </c>
      <c r="E298">
        <f t="shared" si="88"/>
        <v>0.50833333333333286</v>
      </c>
      <c r="F298">
        <v>0</v>
      </c>
      <c r="G298" s="5">
        <f>E298*('Tasas XCCY UF vs Camara'!$C$18/100)</f>
        <v>9.4041666666666596E-3</v>
      </c>
      <c r="H298">
        <v>0.81144063598294869</v>
      </c>
      <c r="I298">
        <f t="shared" si="86"/>
        <v>7.6309229808896413E-3</v>
      </c>
      <c r="J298" s="4">
        <f t="shared" si="87"/>
        <v>1.9797236711800448E-2</v>
      </c>
    </row>
    <row r="299" spans="1:10" x14ac:dyDescent="0.35">
      <c r="A299">
        <v>11</v>
      </c>
      <c r="B299">
        <f t="shared" si="83"/>
        <v>11</v>
      </c>
      <c r="C299" s="1">
        <f t="shared" si="84"/>
        <v>49405</v>
      </c>
      <c r="D299">
        <f t="shared" si="85"/>
        <v>11.16388888888889</v>
      </c>
      <c r="E299">
        <f t="shared" si="88"/>
        <v>0.50555555555555642</v>
      </c>
      <c r="F299">
        <v>0</v>
      </c>
      <c r="G299" s="5">
        <f>E299*('Tasas XCCY UF vs Camara'!$C$18/100)</f>
        <v>9.3527777777777949E-3</v>
      </c>
      <c r="H299">
        <v>0.80798608168915642</v>
      </c>
      <c r="I299">
        <f t="shared" si="86"/>
        <v>7.5569142695760963E-3</v>
      </c>
      <c r="J299" s="4">
        <f t="shared" si="87"/>
        <v>1.9281761224261285E-2</v>
      </c>
    </row>
    <row r="300" spans="1:10" x14ac:dyDescent="0.35">
      <c r="A300">
        <v>11.5</v>
      </c>
      <c r="B300">
        <f t="shared" si="83"/>
        <v>11.5</v>
      </c>
      <c r="C300" s="1">
        <f t="shared" si="84"/>
        <v>49588</v>
      </c>
      <c r="D300">
        <f t="shared" si="85"/>
        <v>11.672222222222222</v>
      </c>
      <c r="E300">
        <f t="shared" si="88"/>
        <v>0.50833333333333286</v>
      </c>
      <c r="F300">
        <v>0</v>
      </c>
      <c r="G300" s="5">
        <f>E300*('Tasas XCCY UF vs Camara'!$C$18/100)</f>
        <v>9.4041666666666596E-3</v>
      </c>
      <c r="H300">
        <v>0.80451254632781577</v>
      </c>
      <c r="I300">
        <f t="shared" si="86"/>
        <v>7.5657700710911619E-3</v>
      </c>
      <c r="J300" s="4">
        <f t="shared" si="87"/>
        <v>1.881031365624608E-2</v>
      </c>
    </row>
    <row r="301" spans="1:10" x14ac:dyDescent="0.35">
      <c r="A301">
        <v>12</v>
      </c>
      <c r="B301">
        <f t="shared" si="83"/>
        <v>12</v>
      </c>
      <c r="C301" s="1">
        <f t="shared" si="84"/>
        <v>49771</v>
      </c>
      <c r="D301">
        <f t="shared" si="85"/>
        <v>12.180555555555555</v>
      </c>
      <c r="E301">
        <f t="shared" si="88"/>
        <v>0.50833333333333286</v>
      </c>
      <c r="F301">
        <v>0</v>
      </c>
      <c r="G301" s="5">
        <f>E301*('Tasas XCCY UF vs Camara'!$C$18/100)</f>
        <v>9.4041666666666596E-3</v>
      </c>
      <c r="H301">
        <v>0.80103901096647512</v>
      </c>
      <c r="I301">
        <f t="shared" si="86"/>
        <v>7.5331043656305541E-3</v>
      </c>
      <c r="J301" s="4">
        <f t="shared" si="87"/>
        <v>1.8379966184065566E-2</v>
      </c>
    </row>
    <row r="302" spans="1:10" x14ac:dyDescent="0.35">
      <c r="A302">
        <v>12.5</v>
      </c>
      <c r="B302">
        <f t="shared" si="83"/>
        <v>12.5</v>
      </c>
      <c r="C302" s="1">
        <f t="shared" si="84"/>
        <v>49954</v>
      </c>
      <c r="D302">
        <f t="shared" si="85"/>
        <v>12.688888888888888</v>
      </c>
      <c r="E302">
        <f t="shared" si="88"/>
        <v>0.50833333333333286</v>
      </c>
      <c r="F302">
        <v>0</v>
      </c>
      <c r="G302" s="5">
        <f>E302*('Tasas XCCY UF vs Camara'!$C$18/100)</f>
        <v>9.4041666666666596E-3</v>
      </c>
      <c r="H302">
        <v>0.79374531973955875</v>
      </c>
      <c r="I302">
        <f t="shared" si="86"/>
        <v>7.4645132777174279E-3</v>
      </c>
      <c r="J302" s="4">
        <f t="shared" si="87"/>
        <v>1.8371031223574752E-2</v>
      </c>
    </row>
    <row r="303" spans="1:10" x14ac:dyDescent="0.35">
      <c r="A303">
        <v>13</v>
      </c>
      <c r="B303">
        <f t="shared" si="83"/>
        <v>13</v>
      </c>
      <c r="C303" s="1">
        <f t="shared" si="84"/>
        <v>50136</v>
      </c>
      <c r="D303">
        <f t="shared" si="85"/>
        <v>13.194444444444445</v>
      </c>
      <c r="E303">
        <f t="shared" si="88"/>
        <v>0.50555555555555642</v>
      </c>
      <c r="F303">
        <v>0</v>
      </c>
      <c r="G303" s="5">
        <f>E303*('Tasas XCCY UF vs Camara'!$C$18/100)</f>
        <v>9.3527777777777949E-3</v>
      </c>
      <c r="H303">
        <v>0.78649148474885511</v>
      </c>
      <c r="I303">
        <f t="shared" si="86"/>
        <v>7.3558800809705553E-3</v>
      </c>
      <c r="J303" s="4">
        <f t="shared" si="87"/>
        <v>1.8369291683173472E-2</v>
      </c>
    </row>
    <row r="304" spans="1:10" x14ac:dyDescent="0.35">
      <c r="A304">
        <v>13.5</v>
      </c>
      <c r="B304">
        <f t="shared" si="83"/>
        <v>13.5</v>
      </c>
      <c r="C304" s="1">
        <f t="shared" si="84"/>
        <v>50319</v>
      </c>
      <c r="D304">
        <f t="shared" si="85"/>
        <v>13.702777777777778</v>
      </c>
      <c r="E304">
        <f t="shared" si="88"/>
        <v>0.50833333333333286</v>
      </c>
      <c r="F304">
        <v>0</v>
      </c>
      <c r="G304" s="5">
        <f>E304*('Tasas XCCY UF vs Camara'!$C$18/100)</f>
        <v>9.4041666666666596E-3</v>
      </c>
      <c r="H304">
        <v>0.77919779352193874</v>
      </c>
      <c r="I304">
        <f t="shared" si="86"/>
        <v>7.3277059165792269E-3</v>
      </c>
      <c r="J304" s="4">
        <f t="shared" si="87"/>
        <v>1.8374046549171075E-2</v>
      </c>
    </row>
    <row r="305" spans="1:10" x14ac:dyDescent="0.35">
      <c r="A305">
        <v>14</v>
      </c>
      <c r="B305">
        <f t="shared" si="83"/>
        <v>14</v>
      </c>
      <c r="C305" s="1">
        <f t="shared" si="84"/>
        <v>50501</v>
      </c>
      <c r="D305">
        <f t="shared" si="85"/>
        <v>14.208333333333334</v>
      </c>
      <c r="E305">
        <f t="shared" si="88"/>
        <v>0.50555555555555642</v>
      </c>
      <c r="F305">
        <v>0</v>
      </c>
      <c r="G305" s="5">
        <f>E305*('Tasas XCCY UF vs Camara'!$C$18/100)</f>
        <v>9.3527777777777949E-3</v>
      </c>
      <c r="H305">
        <v>0.7719439585312351</v>
      </c>
      <c r="I305">
        <f t="shared" si="86"/>
        <v>7.2198203010407592E-3</v>
      </c>
      <c r="J305" s="4">
        <f t="shared" si="87"/>
        <v>1.8384666783457515E-2</v>
      </c>
    </row>
    <row r="306" spans="1:10" x14ac:dyDescent="0.35">
      <c r="A306">
        <v>14.5</v>
      </c>
      <c r="B306">
        <f t="shared" si="83"/>
        <v>14.5</v>
      </c>
      <c r="C306" s="1">
        <f t="shared" si="84"/>
        <v>50684</v>
      </c>
      <c r="D306">
        <f t="shared" si="85"/>
        <v>14.716666666666667</v>
      </c>
      <c r="E306">
        <f t="shared" si="88"/>
        <v>0.50833333333333286</v>
      </c>
      <c r="F306">
        <v>0</v>
      </c>
      <c r="G306" s="5">
        <f>E306*('Tasas XCCY UF vs Camara'!$C$18/100)</f>
        <v>9.4041666666666596E-3</v>
      </c>
      <c r="H306">
        <v>0.76465026730431873</v>
      </c>
      <c r="I306">
        <f t="shared" si="86"/>
        <v>7.190898555441025E-3</v>
      </c>
      <c r="J306" s="4">
        <f t="shared" si="87"/>
        <v>1.8400771149526873E-2</v>
      </c>
    </row>
    <row r="307" spans="1:10" x14ac:dyDescent="0.35">
      <c r="A307">
        <v>15</v>
      </c>
      <c r="B307">
        <f t="shared" si="83"/>
        <v>15</v>
      </c>
      <c r="C307" s="1">
        <f t="shared" si="84"/>
        <v>50866</v>
      </c>
      <c r="D307">
        <f t="shared" si="85"/>
        <v>15.222222222222221</v>
      </c>
      <c r="E307">
        <f t="shared" si="88"/>
        <v>0.50555555555555465</v>
      </c>
      <c r="F307">
        <v>0</v>
      </c>
      <c r="G307" s="5">
        <f>E307*('Tasas XCCY UF vs Camara'!$C$18/100)</f>
        <v>9.352777777777762E-3</v>
      </c>
      <c r="H307">
        <v>0.75739643231361509</v>
      </c>
      <c r="I307">
        <f t="shared" si="86"/>
        <v>7.083760521110938E-3</v>
      </c>
      <c r="J307" s="4">
        <f t="shared" si="87"/>
        <v>1.8421758414699285E-2</v>
      </c>
    </row>
    <row r="308" spans="1:10" x14ac:dyDescent="0.35">
      <c r="A308">
        <v>15.5</v>
      </c>
      <c r="B308">
        <f t="shared" si="83"/>
        <v>15.5</v>
      </c>
      <c r="C308" s="1">
        <f t="shared" si="84"/>
        <v>51049</v>
      </c>
      <c r="D308">
        <f t="shared" si="85"/>
        <v>15.730555555555556</v>
      </c>
      <c r="E308">
        <f t="shared" si="88"/>
        <v>0.50833333333333464</v>
      </c>
      <c r="F308">
        <v>0</v>
      </c>
      <c r="G308" s="5">
        <f>E308*('Tasas XCCY UF vs Camara'!$C$18/100)</f>
        <v>9.4041666666666926E-3</v>
      </c>
      <c r="H308">
        <v>0.7506234921616165</v>
      </c>
      <c r="I308">
        <f t="shared" si="86"/>
        <v>7.0589884242032216E-3</v>
      </c>
      <c r="J308" s="4">
        <f t="shared" si="87"/>
        <v>1.8402558593640483E-2</v>
      </c>
    </row>
    <row r="309" spans="1:10" x14ac:dyDescent="0.35">
      <c r="A309">
        <v>16</v>
      </c>
      <c r="B309">
        <f t="shared" si="83"/>
        <v>16</v>
      </c>
      <c r="C309" s="1">
        <f t="shared" si="84"/>
        <v>51232</v>
      </c>
      <c r="D309">
        <f t="shared" si="85"/>
        <v>16.238888888888887</v>
      </c>
      <c r="E309">
        <f t="shared" si="88"/>
        <v>0.50833333333333108</v>
      </c>
      <c r="F309">
        <v>0</v>
      </c>
      <c r="G309" s="5">
        <f>E309*('Tasas XCCY UF vs Camara'!$C$18/100)</f>
        <v>9.4041666666666267E-3</v>
      </c>
      <c r="H309">
        <v>0.74385055200961803</v>
      </c>
      <c r="I309">
        <f t="shared" si="86"/>
        <v>6.9952945661904201E-3</v>
      </c>
      <c r="J309" s="4">
        <f t="shared" si="87"/>
        <v>1.8389667185378267E-2</v>
      </c>
    </row>
    <row r="310" spans="1:10" x14ac:dyDescent="0.35">
      <c r="A310">
        <v>16.5</v>
      </c>
      <c r="B310">
        <f t="shared" si="83"/>
        <v>16.5</v>
      </c>
      <c r="C310" s="1">
        <f t="shared" si="84"/>
        <v>51415</v>
      </c>
      <c r="D310">
        <f t="shared" si="85"/>
        <v>16.747222222222224</v>
      </c>
      <c r="E310">
        <f t="shared" si="88"/>
        <v>0.50833333333333641</v>
      </c>
      <c r="F310">
        <v>0</v>
      </c>
      <c r="G310" s="5">
        <f>E310*('Tasas XCCY UF vs Camara'!$C$18/100)</f>
        <v>9.4041666666667256E-3</v>
      </c>
      <c r="H310">
        <v>0.73707761185761944</v>
      </c>
      <c r="I310">
        <f t="shared" si="86"/>
        <v>6.93160070817774E-3</v>
      </c>
      <c r="J310" s="4">
        <f t="shared" si="87"/>
        <v>1.8382600117099468E-2</v>
      </c>
    </row>
    <row r="311" spans="1:10" x14ac:dyDescent="0.35">
      <c r="A311">
        <v>17</v>
      </c>
      <c r="B311">
        <f t="shared" si="83"/>
        <v>17</v>
      </c>
      <c r="C311" s="1">
        <f t="shared" si="84"/>
        <v>51597</v>
      </c>
      <c r="D311">
        <f t="shared" si="85"/>
        <v>17.252777777777776</v>
      </c>
      <c r="E311">
        <f t="shared" si="88"/>
        <v>0.50555555555555287</v>
      </c>
      <c r="F311">
        <v>0</v>
      </c>
      <c r="G311" s="5">
        <f>E311*('Tasas XCCY UF vs Camara'!$C$18/100)</f>
        <v>9.352777777777729E-3</v>
      </c>
      <c r="H311">
        <v>0.73034168230754437</v>
      </c>
      <c r="I311">
        <f t="shared" si="86"/>
        <v>6.8307234564708033E-3</v>
      </c>
      <c r="J311" s="4">
        <f t="shared" si="87"/>
        <v>1.8380928016036968E-2</v>
      </c>
    </row>
    <row r="312" spans="1:10" x14ac:dyDescent="0.35">
      <c r="A312">
        <v>17.5</v>
      </c>
      <c r="B312">
        <f t="shared" si="83"/>
        <v>17.5</v>
      </c>
      <c r="C312" s="1">
        <f t="shared" si="84"/>
        <v>51780</v>
      </c>
      <c r="D312">
        <f t="shared" si="85"/>
        <v>17.761111111111113</v>
      </c>
      <c r="E312">
        <f t="shared" si="88"/>
        <v>0.50833333333333641</v>
      </c>
      <c r="F312">
        <v>0</v>
      </c>
      <c r="G312" s="5">
        <f>E312*('Tasas XCCY UF vs Camara'!$C$18/100)</f>
        <v>9.4041666666667256E-3</v>
      </c>
      <c r="H312">
        <v>0.72356874215554579</v>
      </c>
      <c r="I312">
        <f t="shared" si="86"/>
        <v>6.8045610460211545E-3</v>
      </c>
      <c r="J312" s="4">
        <f t="shared" si="87"/>
        <v>1.8384260698186106E-2</v>
      </c>
    </row>
    <row r="313" spans="1:10" x14ac:dyDescent="0.35">
      <c r="A313">
        <v>18</v>
      </c>
      <c r="B313">
        <f t="shared" si="83"/>
        <v>18</v>
      </c>
      <c r="C313" s="1">
        <f t="shared" si="84"/>
        <v>51962</v>
      </c>
      <c r="D313">
        <f t="shared" si="85"/>
        <v>18.266666666666666</v>
      </c>
      <c r="E313">
        <f t="shared" si="88"/>
        <v>0.50555555555555287</v>
      </c>
      <c r="F313">
        <v>0</v>
      </c>
      <c r="G313" s="5">
        <f>E313*('Tasas XCCY UF vs Camara'!$C$18/100)</f>
        <v>9.352777777777729E-3</v>
      </c>
      <c r="H313">
        <v>0.71683281260547072</v>
      </c>
      <c r="I313">
        <f t="shared" si="86"/>
        <v>6.7043780001183537E-3</v>
      </c>
      <c r="J313" s="4">
        <f t="shared" si="87"/>
        <v>1.8392236120757355E-2</v>
      </c>
    </row>
    <row r="314" spans="1:10" x14ac:dyDescent="0.35">
      <c r="A314">
        <v>18.5</v>
      </c>
      <c r="B314">
        <f t="shared" si="83"/>
        <v>18.5</v>
      </c>
      <c r="C314" s="1">
        <f t="shared" si="84"/>
        <v>52145</v>
      </c>
      <c r="D314">
        <f t="shared" si="85"/>
        <v>18.774999999999999</v>
      </c>
      <c r="E314">
        <f t="shared" si="88"/>
        <v>0.50833333333333286</v>
      </c>
      <c r="F314">
        <v>0</v>
      </c>
      <c r="G314" s="5">
        <f>E314*('Tasas XCCY UF vs Camara'!$C$18/100)</f>
        <v>9.4041666666666596E-3</v>
      </c>
      <c r="H314">
        <v>0.71005987245347213</v>
      </c>
      <c r="I314">
        <f t="shared" si="86"/>
        <v>6.6775213838645223E-3</v>
      </c>
      <c r="J314" s="4">
        <f t="shared" si="87"/>
        <v>1.8404651888329182E-2</v>
      </c>
    </row>
    <row r="315" spans="1:10" x14ac:dyDescent="0.35">
      <c r="A315">
        <v>19</v>
      </c>
      <c r="B315">
        <f t="shared" si="83"/>
        <v>19</v>
      </c>
      <c r="C315" s="1">
        <f t="shared" si="84"/>
        <v>52327</v>
      </c>
      <c r="D315">
        <f t="shared" si="85"/>
        <v>19.280555555555555</v>
      </c>
      <c r="E315">
        <f t="shared" si="88"/>
        <v>0.50555555555555642</v>
      </c>
      <c r="F315">
        <v>0</v>
      </c>
      <c r="G315" s="5">
        <f>E315*('Tasas XCCY UF vs Camara'!$C$18/100)</f>
        <v>9.3527777777777949E-3</v>
      </c>
      <c r="H315">
        <v>0.70332394290339706</v>
      </c>
      <c r="I315">
        <f t="shared" si="86"/>
        <v>6.5780325437659508E-3</v>
      </c>
      <c r="J315" s="4">
        <f t="shared" si="87"/>
        <v>1.8421117212141125E-2</v>
      </c>
    </row>
    <row r="316" spans="1:10" x14ac:dyDescent="0.35">
      <c r="A316">
        <v>19.5</v>
      </c>
      <c r="B316">
        <f t="shared" si="83"/>
        <v>19.5</v>
      </c>
      <c r="C316" s="1">
        <f t="shared" si="84"/>
        <v>52510</v>
      </c>
      <c r="D316">
        <f t="shared" si="85"/>
        <v>19.788888888888888</v>
      </c>
      <c r="E316">
        <f t="shared" si="88"/>
        <v>0.50833333333333286</v>
      </c>
      <c r="F316">
        <v>0</v>
      </c>
      <c r="G316" s="5">
        <f>E316*('Tasas XCCY UF vs Camara'!$C$18/100)</f>
        <v>9.4041666666666596E-3</v>
      </c>
      <c r="H316">
        <v>0.69655100275139858</v>
      </c>
      <c r="I316">
        <f t="shared" si="86"/>
        <v>6.5504817217079394E-3</v>
      </c>
      <c r="J316" s="4">
        <f t="shared" si="87"/>
        <v>1.8441584984705939E-2</v>
      </c>
    </row>
    <row r="317" spans="1:10" x14ac:dyDescent="0.35">
      <c r="A317">
        <v>20</v>
      </c>
      <c r="B317">
        <f t="shared" si="83"/>
        <v>20</v>
      </c>
      <c r="C317" s="1">
        <f t="shared" si="84"/>
        <v>52693</v>
      </c>
      <c r="D317">
        <f t="shared" si="85"/>
        <v>20.297222222222221</v>
      </c>
      <c r="E317">
        <f t="shared" si="88"/>
        <v>0.50833333333333286</v>
      </c>
      <c r="F317">
        <v>0</v>
      </c>
      <c r="G317" s="5">
        <f>E317*('Tasas XCCY UF vs Camara'!$C$18/100)</f>
        <v>9.4041666666666596E-3</v>
      </c>
      <c r="H317">
        <v>0.6897780625994</v>
      </c>
      <c r="I317">
        <f t="shared" si="86"/>
        <v>6.4867878636951856E-3</v>
      </c>
      <c r="J317" s="4">
        <f t="shared" si="87"/>
        <v>1.8465772292683313E-2</v>
      </c>
    </row>
    <row r="318" spans="1:10" x14ac:dyDescent="0.35">
      <c r="A318">
        <v>20.5</v>
      </c>
      <c r="B318">
        <f t="shared" si="83"/>
        <v>20.5</v>
      </c>
      <c r="C318" s="1">
        <f t="shared" si="84"/>
        <v>52876</v>
      </c>
      <c r="D318">
        <f t="shared" si="85"/>
        <v>20.805555555555557</v>
      </c>
      <c r="E318">
        <f t="shared" si="88"/>
        <v>0.50833333333333641</v>
      </c>
      <c r="F318">
        <v>0</v>
      </c>
      <c r="G318" s="5">
        <f>E318*('Tasas XCCY UF vs Camara'!$C$18/100)</f>
        <v>9.4041666666667256E-3</v>
      </c>
      <c r="H318">
        <f>+(($H$327-$H$317)/($D$327-$D$317))*(D318-$D$317)+$H$317</f>
        <v>0.68360962704619554</v>
      </c>
      <c r="I318">
        <f t="shared" si="86"/>
        <v>6.4287788676803039E-3</v>
      </c>
      <c r="J318" s="4">
        <f t="shared" si="87"/>
        <v>1.8450191621291134E-2</v>
      </c>
    </row>
    <row r="319" spans="1:10" x14ac:dyDescent="0.35">
      <c r="A319">
        <v>21</v>
      </c>
      <c r="B319">
        <f t="shared" si="83"/>
        <v>21</v>
      </c>
      <c r="C319" s="1">
        <f t="shared" si="84"/>
        <v>53058</v>
      </c>
      <c r="D319">
        <f t="shared" si="85"/>
        <v>21.31111111111111</v>
      </c>
      <c r="E319">
        <f t="shared" si="88"/>
        <v>0.50555555555555287</v>
      </c>
      <c r="F319">
        <v>0</v>
      </c>
      <c r="G319" s="5">
        <f>E319*('Tasas XCCY UF vs Camara'!$C$18/100)</f>
        <v>9.352777777777729E-3</v>
      </c>
      <c r="H319">
        <f t="shared" ref="H319:H326" si="89">+(($H$327-$H$317)/($D$327-$D$317))*(D319-$D$317)+$H$317</f>
        <v>0.67747489879109601</v>
      </c>
      <c r="I319">
        <f t="shared" si="86"/>
        <v>6.3362721784155787E-3</v>
      </c>
      <c r="J319" s="4">
        <f t="shared" si="87"/>
        <v>1.8439292719645062E-2</v>
      </c>
    </row>
    <row r="320" spans="1:10" x14ac:dyDescent="0.35">
      <c r="A320">
        <v>21.5</v>
      </c>
      <c r="B320">
        <f t="shared" si="83"/>
        <v>21.5</v>
      </c>
      <c r="C320" s="1">
        <f t="shared" si="84"/>
        <v>53241</v>
      </c>
      <c r="D320">
        <f t="shared" si="85"/>
        <v>21.819444444444443</v>
      </c>
      <c r="E320">
        <f t="shared" si="88"/>
        <v>0.50833333333333286</v>
      </c>
      <c r="F320">
        <v>0</v>
      </c>
      <c r="G320" s="5">
        <f>E320*('Tasas XCCY UF vs Camara'!$C$18/100)</f>
        <v>9.4041666666666596E-3</v>
      </c>
      <c r="H320">
        <f t="shared" si="89"/>
        <v>0.67130646323789156</v>
      </c>
      <c r="I320">
        <f t="shared" si="86"/>
        <v>6.3130778646996672E-3</v>
      </c>
      <c r="J320" s="4">
        <f t="shared" si="87"/>
        <v>1.8432702452397809E-2</v>
      </c>
    </row>
    <row r="321" spans="1:10" x14ac:dyDescent="0.35">
      <c r="A321">
        <v>22</v>
      </c>
      <c r="B321">
        <f t="shared" si="83"/>
        <v>22</v>
      </c>
      <c r="C321" s="1">
        <f t="shared" si="84"/>
        <v>53423</v>
      </c>
      <c r="D321">
        <f t="shared" si="85"/>
        <v>22.324999999999999</v>
      </c>
      <c r="E321">
        <f t="shared" si="88"/>
        <v>0.50555555555555642</v>
      </c>
      <c r="F321">
        <v>0</v>
      </c>
      <c r="G321" s="5">
        <f>E321*('Tasas XCCY UF vs Camara'!$C$18/100)</f>
        <v>9.3527777777777949E-3</v>
      </c>
      <c r="H321">
        <f t="shared" si="89"/>
        <v>0.66517173498279203</v>
      </c>
      <c r="I321">
        <f t="shared" si="86"/>
        <v>6.2212034213529575E-3</v>
      </c>
      <c r="J321" s="4">
        <f t="shared" si="87"/>
        <v>1.8430266072642754E-2</v>
      </c>
    </row>
    <row r="322" spans="1:10" x14ac:dyDescent="0.35">
      <c r="A322">
        <v>22.5</v>
      </c>
      <c r="B322">
        <f t="shared" si="83"/>
        <v>22.5</v>
      </c>
      <c r="C322" s="1">
        <f t="shared" si="84"/>
        <v>53606</v>
      </c>
      <c r="D322">
        <f t="shared" si="85"/>
        <v>22.833333333333332</v>
      </c>
      <c r="E322">
        <f t="shared" si="88"/>
        <v>0.50833333333333286</v>
      </c>
      <c r="F322">
        <v>0</v>
      </c>
      <c r="G322" s="5">
        <f>E322*('Tasas XCCY UF vs Camara'!$C$18/100)</f>
        <v>9.4041666666666596E-3</v>
      </c>
      <c r="H322">
        <f t="shared" si="89"/>
        <v>0.65900329942958757</v>
      </c>
      <c r="I322">
        <f t="shared" si="86"/>
        <v>6.1973768617190755E-3</v>
      </c>
      <c r="J322" s="4">
        <f t="shared" si="87"/>
        <v>1.8431750600590657E-2</v>
      </c>
    </row>
    <row r="323" spans="1:10" x14ac:dyDescent="0.35">
      <c r="A323">
        <v>23</v>
      </c>
      <c r="B323">
        <f t="shared" si="83"/>
        <v>23</v>
      </c>
      <c r="C323" s="1">
        <f t="shared" si="84"/>
        <v>53788</v>
      </c>
      <c r="D323">
        <f t="shared" si="85"/>
        <v>23.338888888888889</v>
      </c>
      <c r="E323">
        <f t="shared" si="88"/>
        <v>0.50555555555555642</v>
      </c>
      <c r="F323">
        <v>0</v>
      </c>
      <c r="G323" s="5">
        <f>E323*('Tasas XCCY UF vs Camara'!$C$18/100)</f>
        <v>9.3527777777777949E-3</v>
      </c>
      <c r="H323">
        <f t="shared" si="89"/>
        <v>0.65286857117448804</v>
      </c>
      <c r="I323">
        <f t="shared" si="86"/>
        <v>6.1061346642902921E-3</v>
      </c>
      <c r="J323" s="4">
        <f t="shared" si="87"/>
        <v>1.8436954844160081E-2</v>
      </c>
    </row>
    <row r="324" spans="1:10" x14ac:dyDescent="0.35">
      <c r="A324">
        <v>23.5</v>
      </c>
      <c r="B324">
        <f t="shared" si="83"/>
        <v>23.5</v>
      </c>
      <c r="C324" s="1">
        <f t="shared" si="84"/>
        <v>53971</v>
      </c>
      <c r="D324">
        <f t="shared" si="85"/>
        <v>23.847222222222221</v>
      </c>
      <c r="E324">
        <f t="shared" si="88"/>
        <v>0.50833333333333286</v>
      </c>
      <c r="F324">
        <v>0</v>
      </c>
      <c r="G324" s="5">
        <f>E324*('Tasas XCCY UF vs Camara'!$C$18/100)</f>
        <v>9.4041666666666596E-3</v>
      </c>
      <c r="H324">
        <f t="shared" si="89"/>
        <v>0.64670013562128359</v>
      </c>
      <c r="I324">
        <f t="shared" si="86"/>
        <v>6.081675858738483E-3</v>
      </c>
      <c r="J324" s="4">
        <f t="shared" si="87"/>
        <v>1.844576750596838E-2</v>
      </c>
    </row>
    <row r="325" spans="1:10" x14ac:dyDescent="0.35">
      <c r="A325">
        <v>24</v>
      </c>
      <c r="B325">
        <f t="shared" si="83"/>
        <v>24</v>
      </c>
      <c r="C325" s="1">
        <f t="shared" si="84"/>
        <v>54154</v>
      </c>
      <c r="D325">
        <f t="shared" si="85"/>
        <v>24.355555555555554</v>
      </c>
      <c r="E325">
        <f t="shared" si="88"/>
        <v>0.50833333333333286</v>
      </c>
      <c r="F325">
        <v>0</v>
      </c>
      <c r="G325" s="5">
        <f>E325*('Tasas XCCY UF vs Camara'!$C$18/100)</f>
        <v>9.4041666666666596E-3</v>
      </c>
      <c r="H325">
        <f t="shared" si="89"/>
        <v>0.64053170006807914</v>
      </c>
      <c r="I325">
        <f t="shared" si="86"/>
        <v>6.0236668627235562E-3</v>
      </c>
      <c r="J325" s="4">
        <f t="shared" si="87"/>
        <v>1.845801696794247E-2</v>
      </c>
    </row>
    <row r="326" spans="1:10" x14ac:dyDescent="0.35">
      <c r="A326">
        <v>24.5</v>
      </c>
      <c r="B326">
        <f t="shared" si="83"/>
        <v>24.5</v>
      </c>
      <c r="C326" s="1">
        <f t="shared" si="84"/>
        <v>54337</v>
      </c>
      <c r="D326">
        <f t="shared" si="85"/>
        <v>24.863888888888887</v>
      </c>
      <c r="E326">
        <f t="shared" si="88"/>
        <v>0.50833333333333286</v>
      </c>
      <c r="F326">
        <v>0</v>
      </c>
      <c r="G326" s="5">
        <f>E326*('Tasas XCCY UF vs Camara'!$C$18/100)</f>
        <v>9.4041666666666596E-3</v>
      </c>
      <c r="H326">
        <f t="shared" si="89"/>
        <v>0.63436326451487468</v>
      </c>
      <c r="I326">
        <f t="shared" si="86"/>
        <v>5.9656578667086294E-3</v>
      </c>
      <c r="J326" s="4">
        <f t="shared" si="87"/>
        <v>1.8473564692622402E-2</v>
      </c>
    </row>
    <row r="327" spans="1:10" x14ac:dyDescent="0.35">
      <c r="A327">
        <v>25</v>
      </c>
      <c r="B327">
        <f t="shared" si="83"/>
        <v>25</v>
      </c>
      <c r="C327" s="1">
        <f t="shared" si="84"/>
        <v>54519</v>
      </c>
      <c r="D327">
        <f t="shared" si="85"/>
        <v>25.369444444444444</v>
      </c>
      <c r="E327">
        <f t="shared" si="88"/>
        <v>0.50555555555555642</v>
      </c>
      <c r="F327">
        <v>1</v>
      </c>
      <c r="G327" s="5">
        <f>E327*('Tasas XCCY UF vs Camara'!$C$18/100)</f>
        <v>9.3527777777777949E-3</v>
      </c>
      <c r="H327" s="2">
        <v>0.62822853625977515</v>
      </c>
      <c r="I327">
        <f t="shared" si="86"/>
        <v>0.63410421815307139</v>
      </c>
      <c r="J327" s="8">
        <f t="shared" si="87"/>
        <v>1.8492174641113968E-2</v>
      </c>
    </row>
    <row r="328" spans="1:10" x14ac:dyDescent="0.35">
      <c r="I328">
        <f>SUM(I278:I327)</f>
        <v>0.99999999999999989</v>
      </c>
    </row>
    <row r="331" spans="1:10" x14ac:dyDescent="0.35">
      <c r="B331" t="s">
        <v>57</v>
      </c>
      <c r="C331" t="s">
        <v>35</v>
      </c>
    </row>
    <row r="332" spans="1:10" x14ac:dyDescent="0.35">
      <c r="A332" s="5" t="s">
        <v>36</v>
      </c>
      <c r="B332" t="s">
        <v>38</v>
      </c>
      <c r="C332" t="s">
        <v>37</v>
      </c>
      <c r="D332" t="s">
        <v>25</v>
      </c>
      <c r="E332" t="s">
        <v>41</v>
      </c>
      <c r="F332" t="s">
        <v>40</v>
      </c>
      <c r="G332" s="5" t="s">
        <v>105</v>
      </c>
      <c r="H332" t="s">
        <v>42</v>
      </c>
      <c r="I332" t="s">
        <v>32</v>
      </c>
      <c r="J332" s="4" t="s">
        <v>33</v>
      </c>
    </row>
    <row r="333" spans="1:10" x14ac:dyDescent="0.35">
      <c r="A333">
        <v>0.5</v>
      </c>
      <c r="B333">
        <f>A333</f>
        <v>0.5</v>
      </c>
      <c r="C333" s="1">
        <f>+DATE(YEAR($C$1),MONTH($C$1)+B333*12,DAY($C$1)+2)</f>
        <v>45571</v>
      </c>
      <c r="D333">
        <f>+(C333-$C$1)/360</f>
        <v>0.51388888888888884</v>
      </c>
      <c r="E333" s="6">
        <f>(C333-$C$1)/360</f>
        <v>0.51388888888888884</v>
      </c>
      <c r="F333">
        <v>0</v>
      </c>
      <c r="G333" s="5">
        <f>E333*('Tasas XCCY UF vs Camara'!$C$18/100)</f>
        <v>9.5069444444444446E-3</v>
      </c>
      <c r="H333">
        <v>0.98846923183584823</v>
      </c>
      <c r="I333">
        <f>H333*SUM(F333:G333)</f>
        <v>9.3973220721060846E-3</v>
      </c>
      <c r="J333" s="4">
        <f>+(1/H333)^(1/D333)-1</f>
        <v>2.2825217853303048E-2</v>
      </c>
    </row>
    <row r="334" spans="1:10" x14ac:dyDescent="0.35">
      <c r="A334">
        <v>1</v>
      </c>
      <c r="B334">
        <f t="shared" ref="B334:B392" si="90">A334</f>
        <v>1</v>
      </c>
      <c r="C334" s="1">
        <f t="shared" ref="C334:C392" si="91">+DATE(YEAR($C$1),MONTH($C$1)+B334*12,DAY($C$1)+2)</f>
        <v>45753</v>
      </c>
      <c r="D334">
        <f t="shared" ref="D334:D392" si="92">+(C334-$C$1)/360</f>
        <v>1.0194444444444444</v>
      </c>
      <c r="E334">
        <f>D334-D333</f>
        <v>0.50555555555555554</v>
      </c>
      <c r="F334">
        <v>0</v>
      </c>
      <c r="G334" s="5">
        <f>E334*('Tasas XCCY UF vs Camara'!$C$18/100)</f>
        <v>9.3527777777777793E-3</v>
      </c>
      <c r="H334">
        <v>0.9786984914042407</v>
      </c>
      <c r="I334">
        <f t="shared" ref="I334:I392" si="93">H334*SUM(F334:G334)</f>
        <v>9.1535495015502202E-3</v>
      </c>
      <c r="J334" s="4">
        <f t="shared" ref="J334:J392" si="94">+(1/H334)^(1/D334)-1</f>
        <v>2.1345600801821352E-2</v>
      </c>
    </row>
    <row r="335" spans="1:10" x14ac:dyDescent="0.35">
      <c r="A335">
        <v>1.5</v>
      </c>
      <c r="B335">
        <f t="shared" si="90"/>
        <v>1.5</v>
      </c>
      <c r="C335" s="1">
        <f t="shared" si="91"/>
        <v>45936</v>
      </c>
      <c r="D335">
        <f t="shared" si="92"/>
        <v>1.5277777777777777</v>
      </c>
      <c r="E335">
        <f t="shared" ref="E335:E392" si="95">D335-D334</f>
        <v>0.5083333333333333</v>
      </c>
      <c r="F335">
        <v>0</v>
      </c>
      <c r="G335" s="5">
        <f>E335*('Tasas XCCY UF vs Camara'!$C$18/100)</f>
        <v>9.4041666666666666E-3</v>
      </c>
      <c r="H335">
        <v>0.96991903870246388</v>
      </c>
      <c r="I335">
        <f t="shared" si="93"/>
        <v>9.1212802931310878E-3</v>
      </c>
      <c r="J335" s="4">
        <f t="shared" si="94"/>
        <v>2.0192739655148007E-2</v>
      </c>
    </row>
    <row r="336" spans="1:10" x14ac:dyDescent="0.35">
      <c r="A336">
        <v>2</v>
      </c>
      <c r="B336">
        <f t="shared" si="90"/>
        <v>2</v>
      </c>
      <c r="C336" s="1">
        <f t="shared" si="91"/>
        <v>46118</v>
      </c>
      <c r="D336">
        <f t="shared" si="92"/>
        <v>2.0333333333333332</v>
      </c>
      <c r="E336">
        <f t="shared" si="95"/>
        <v>0.50555555555555554</v>
      </c>
      <c r="F336">
        <v>0</v>
      </c>
      <c r="G336" s="5">
        <f>E336*('Tasas XCCY UF vs Camara'!$C$18/100)</f>
        <v>9.3527777777777793E-3</v>
      </c>
      <c r="H336">
        <v>0.95988340577914977</v>
      </c>
      <c r="I336">
        <f t="shared" si="93"/>
        <v>8.9775761868288832E-3</v>
      </c>
      <c r="J336" s="4">
        <f t="shared" si="94"/>
        <v>2.0340224408298635E-2</v>
      </c>
    </row>
    <row r="337" spans="1:10" x14ac:dyDescent="0.35">
      <c r="A337">
        <v>2.5</v>
      </c>
      <c r="B337">
        <f t="shared" si="90"/>
        <v>2.5</v>
      </c>
      <c r="C337" s="1">
        <f t="shared" si="91"/>
        <v>46301</v>
      </c>
      <c r="D337">
        <f t="shared" si="92"/>
        <v>2.5416666666666665</v>
      </c>
      <c r="E337">
        <f t="shared" si="95"/>
        <v>0.5083333333333333</v>
      </c>
      <c r="F337">
        <v>0</v>
      </c>
      <c r="G337" s="5">
        <f>E337*('Tasas XCCY UF vs Camara'!$C$18/100)</f>
        <v>9.4041666666666666E-3</v>
      </c>
      <c r="H337">
        <v>0.95007987870123201</v>
      </c>
      <c r="I337">
        <f t="shared" si="93"/>
        <v>8.9347095259528359E-3</v>
      </c>
      <c r="J337" s="4">
        <f t="shared" si="94"/>
        <v>2.0352226617283087E-2</v>
      </c>
    </row>
    <row r="338" spans="1:10" x14ac:dyDescent="0.35">
      <c r="A338">
        <v>3</v>
      </c>
      <c r="B338">
        <f t="shared" si="90"/>
        <v>3</v>
      </c>
      <c r="C338" s="1">
        <f t="shared" si="91"/>
        <v>46483</v>
      </c>
      <c r="D338">
        <f t="shared" si="92"/>
        <v>3.0472222222222221</v>
      </c>
      <c r="E338">
        <f t="shared" si="95"/>
        <v>0.50555555555555554</v>
      </c>
      <c r="F338">
        <v>0</v>
      </c>
      <c r="G338" s="5">
        <f>E338*('Tasas XCCY UF vs Camara'!$C$18/100)</f>
        <v>9.3527777777777793E-3</v>
      </c>
      <c r="H338">
        <v>0.94032992280953231</v>
      </c>
      <c r="I338">
        <f t="shared" si="93"/>
        <v>8.7946968058324887E-3</v>
      </c>
      <c r="J338" s="4">
        <f t="shared" si="94"/>
        <v>2.0395553966489288E-2</v>
      </c>
    </row>
    <row r="339" spans="1:10" x14ac:dyDescent="0.35">
      <c r="A339">
        <v>3.5</v>
      </c>
      <c r="B339">
        <f t="shared" si="90"/>
        <v>3.5</v>
      </c>
      <c r="C339" s="1">
        <f t="shared" si="91"/>
        <v>46666</v>
      </c>
      <c r="D339">
        <f t="shared" si="92"/>
        <v>3.5555555555555554</v>
      </c>
      <c r="E339">
        <f t="shared" si="95"/>
        <v>0.5083333333333333</v>
      </c>
      <c r="F339">
        <v>0</v>
      </c>
      <c r="G339" s="5">
        <f>E339*('Tasas XCCY UF vs Camara'!$C$18/100)</f>
        <v>9.4041666666666666E-3</v>
      </c>
      <c r="H339">
        <v>0.93039229764203935</v>
      </c>
      <c r="I339">
        <f t="shared" si="93"/>
        <v>8.7495642324086787E-3</v>
      </c>
      <c r="J339" s="4">
        <f t="shared" si="94"/>
        <v>2.0499174117375452E-2</v>
      </c>
    </row>
    <row r="340" spans="1:10" x14ac:dyDescent="0.35">
      <c r="A340">
        <v>4</v>
      </c>
      <c r="B340">
        <f t="shared" si="90"/>
        <v>4</v>
      </c>
      <c r="C340" s="1">
        <f t="shared" si="91"/>
        <v>46849</v>
      </c>
      <c r="D340">
        <f t="shared" si="92"/>
        <v>4.0638888888888891</v>
      </c>
      <c r="E340">
        <f t="shared" si="95"/>
        <v>0.50833333333333375</v>
      </c>
      <c r="F340">
        <v>0</v>
      </c>
      <c r="G340" s="5">
        <f>E340*('Tasas XCCY UF vs Camara'!$C$18/100)</f>
        <v>9.4041666666666753E-3</v>
      </c>
      <c r="H340">
        <v>0.92045467247454626</v>
      </c>
      <c r="I340">
        <f t="shared" si="93"/>
        <v>8.6561091490627209E-3</v>
      </c>
      <c r="J340" s="4">
        <f t="shared" si="94"/>
        <v>2.0605531273894639E-2</v>
      </c>
    </row>
    <row r="341" spans="1:10" x14ac:dyDescent="0.35">
      <c r="A341" s="5">
        <v>4.5</v>
      </c>
      <c r="B341">
        <f t="shared" si="90"/>
        <v>4.5</v>
      </c>
      <c r="C341" s="1">
        <f t="shared" si="91"/>
        <v>47032</v>
      </c>
      <c r="D341">
        <f t="shared" si="92"/>
        <v>4.572222222222222</v>
      </c>
      <c r="E341">
        <f t="shared" si="95"/>
        <v>0.50833333333333286</v>
      </c>
      <c r="F341">
        <v>0</v>
      </c>
      <c r="G341" s="5">
        <f>E341*('Tasas XCCY UF vs Camara'!$C$18/100)</f>
        <v>9.4041666666666596E-3</v>
      </c>
      <c r="H341">
        <v>0.91124693740504237</v>
      </c>
      <c r="I341">
        <f t="shared" si="93"/>
        <v>8.5695180738465798E-3</v>
      </c>
      <c r="J341" s="4">
        <f t="shared" si="94"/>
        <v>2.053540116053898E-2</v>
      </c>
    </row>
    <row r="342" spans="1:10" x14ac:dyDescent="0.35">
      <c r="A342">
        <v>5</v>
      </c>
      <c r="B342">
        <f t="shared" si="90"/>
        <v>5</v>
      </c>
      <c r="C342" s="1">
        <f t="shared" si="91"/>
        <v>47214</v>
      </c>
      <c r="D342">
        <f t="shared" si="92"/>
        <v>5.0777777777777775</v>
      </c>
      <c r="E342">
        <f t="shared" si="95"/>
        <v>0.50555555555555554</v>
      </c>
      <c r="F342">
        <v>0</v>
      </c>
      <c r="G342" s="5">
        <f>E342*('Tasas XCCY UF vs Camara'!$C$18/100)</f>
        <v>9.3527777777777793E-3</v>
      </c>
      <c r="H342">
        <v>0.90208951782772151</v>
      </c>
      <c r="I342">
        <f t="shared" si="93"/>
        <v>8.4370427959053855E-3</v>
      </c>
      <c r="J342" s="4">
        <f t="shared" si="94"/>
        <v>2.0499936176433087E-2</v>
      </c>
    </row>
    <row r="343" spans="1:10" x14ac:dyDescent="0.35">
      <c r="A343">
        <v>5.5</v>
      </c>
      <c r="B343">
        <f t="shared" si="90"/>
        <v>5.5</v>
      </c>
      <c r="C343" s="1">
        <f t="shared" si="91"/>
        <v>47397</v>
      </c>
      <c r="D343">
        <f t="shared" si="92"/>
        <v>5.5861111111111112</v>
      </c>
      <c r="E343">
        <f t="shared" si="95"/>
        <v>0.50833333333333375</v>
      </c>
      <c r="F343">
        <v>0</v>
      </c>
      <c r="G343" s="5">
        <f>E343*('Tasas XCCY UF vs Camara'!$C$18/100)</f>
        <v>9.4041666666666753E-3</v>
      </c>
      <c r="H343">
        <v>0.89203366426541864</v>
      </c>
      <c r="I343">
        <f t="shared" si="93"/>
        <v>8.3888332510293814E-3</v>
      </c>
      <c r="J343" s="4">
        <f t="shared" si="94"/>
        <v>2.0663354076956963E-2</v>
      </c>
    </row>
    <row r="344" spans="1:10" x14ac:dyDescent="0.35">
      <c r="A344">
        <v>6</v>
      </c>
      <c r="B344">
        <f t="shared" si="90"/>
        <v>6</v>
      </c>
      <c r="C344" s="1">
        <f t="shared" si="91"/>
        <v>47579</v>
      </c>
      <c r="D344">
        <f t="shared" si="92"/>
        <v>6.0916666666666668</v>
      </c>
      <c r="E344">
        <f t="shared" si="95"/>
        <v>0.50555555555555554</v>
      </c>
      <c r="F344">
        <v>0</v>
      </c>
      <c r="G344" s="5">
        <f>E344*('Tasas XCCY UF vs Camara'!$C$18/100)</f>
        <v>9.3527777777777793E-3</v>
      </c>
      <c r="H344">
        <v>0.88203276072258185</v>
      </c>
      <c r="I344">
        <f t="shared" si="93"/>
        <v>8.2494564037581489E-3</v>
      </c>
      <c r="J344" s="4">
        <f t="shared" si="94"/>
        <v>2.0819969935254479E-2</v>
      </c>
    </row>
    <row r="345" spans="1:10" x14ac:dyDescent="0.35">
      <c r="A345">
        <v>6.5</v>
      </c>
      <c r="B345">
        <f t="shared" si="90"/>
        <v>6.5</v>
      </c>
      <c r="C345" s="1">
        <f t="shared" si="91"/>
        <v>47762</v>
      </c>
      <c r="D345">
        <f t="shared" si="92"/>
        <v>6.6</v>
      </c>
      <c r="E345">
        <f t="shared" si="95"/>
        <v>0.50833333333333286</v>
      </c>
      <c r="F345">
        <v>0</v>
      </c>
      <c r="G345" s="5">
        <f>E345*('Tasas XCCY UF vs Camara'!$C$18/100)</f>
        <v>9.4041666666666596E-3</v>
      </c>
      <c r="H345">
        <v>0.87224598504040074</v>
      </c>
      <c r="I345">
        <f t="shared" si="93"/>
        <v>8.2027466176507625E-3</v>
      </c>
      <c r="J345" s="4">
        <f t="shared" si="94"/>
        <v>2.0925600168833158E-2</v>
      </c>
    </row>
    <row r="346" spans="1:10" x14ac:dyDescent="0.35">
      <c r="A346">
        <v>7</v>
      </c>
      <c r="B346">
        <f t="shared" si="90"/>
        <v>7</v>
      </c>
      <c r="C346" s="1">
        <f t="shared" si="91"/>
        <v>47944</v>
      </c>
      <c r="D346">
        <f t="shared" si="92"/>
        <v>7.1055555555555552</v>
      </c>
      <c r="E346">
        <f t="shared" si="95"/>
        <v>0.50555555555555554</v>
      </c>
      <c r="F346">
        <v>0</v>
      </c>
      <c r="G346" s="5">
        <f>E346*('Tasas XCCY UF vs Camara'!$C$18/100)</f>
        <v>9.3527777777777793E-3</v>
      </c>
      <c r="H346">
        <v>0.86251268900675615</v>
      </c>
      <c r="I346">
        <f t="shared" si="93"/>
        <v>8.0668895107937448E-3</v>
      </c>
      <c r="J346" s="4">
        <f t="shared" si="94"/>
        <v>2.1033614266791512E-2</v>
      </c>
    </row>
    <row r="347" spans="1:10" x14ac:dyDescent="0.35">
      <c r="A347">
        <v>7.5</v>
      </c>
      <c r="B347">
        <f t="shared" si="90"/>
        <v>7.5</v>
      </c>
      <c r="C347" s="1">
        <f t="shared" si="91"/>
        <v>48127</v>
      </c>
      <c r="D347">
        <f t="shared" si="92"/>
        <v>7.6138888888888889</v>
      </c>
      <c r="E347">
        <f t="shared" si="95"/>
        <v>0.50833333333333375</v>
      </c>
      <c r="F347">
        <v>0</v>
      </c>
      <c r="G347" s="5">
        <f>E347*('Tasas XCCY UF vs Camara'!$C$18/100)</f>
        <v>9.4041666666666753E-3</v>
      </c>
      <c r="H347">
        <v>0.85404236890298058</v>
      </c>
      <c r="I347">
        <f t="shared" si="93"/>
        <v>8.0315567775584538E-3</v>
      </c>
      <c r="J347" s="4">
        <f t="shared" si="94"/>
        <v>2.0938120106715363E-2</v>
      </c>
    </row>
    <row r="348" spans="1:10" x14ac:dyDescent="0.35">
      <c r="A348">
        <v>8</v>
      </c>
      <c r="B348">
        <f t="shared" si="90"/>
        <v>8</v>
      </c>
      <c r="C348" s="1">
        <f t="shared" si="91"/>
        <v>48310</v>
      </c>
      <c r="D348">
        <f t="shared" si="92"/>
        <v>8.1222222222222218</v>
      </c>
      <c r="E348">
        <f t="shared" si="95"/>
        <v>0.50833333333333286</v>
      </c>
      <c r="F348">
        <v>0</v>
      </c>
      <c r="G348" s="5">
        <f>E348*('Tasas XCCY UF vs Camara'!$C$18/100)</f>
        <v>9.4041666666666596E-3</v>
      </c>
      <c r="H348">
        <v>0.84557204879920511</v>
      </c>
      <c r="I348">
        <f t="shared" si="93"/>
        <v>7.9519004755825191E-3</v>
      </c>
      <c r="J348" s="4">
        <f t="shared" si="94"/>
        <v>2.0866950223036085E-2</v>
      </c>
    </row>
    <row r="349" spans="1:10" x14ac:dyDescent="0.35">
      <c r="A349">
        <v>8.5</v>
      </c>
      <c r="B349">
        <f t="shared" si="90"/>
        <v>8.5</v>
      </c>
      <c r="C349" s="1">
        <f t="shared" si="91"/>
        <v>48493</v>
      </c>
      <c r="D349">
        <f t="shared" si="92"/>
        <v>8.6305555555555564</v>
      </c>
      <c r="E349">
        <f t="shared" si="95"/>
        <v>0.50833333333333464</v>
      </c>
      <c r="F349">
        <v>0</v>
      </c>
      <c r="G349" s="5">
        <f>E349*('Tasas XCCY UF vs Camara'!$C$18/100)</f>
        <v>9.4041666666666926E-3</v>
      </c>
      <c r="H349">
        <v>0.83760968652685885</v>
      </c>
      <c r="I349">
        <f t="shared" si="93"/>
        <v>7.8770210937130231E-3</v>
      </c>
      <c r="J349" s="4">
        <f t="shared" si="94"/>
        <v>2.0744289276428685E-2</v>
      </c>
    </row>
    <row r="350" spans="1:10" x14ac:dyDescent="0.35">
      <c r="A350">
        <v>9</v>
      </c>
      <c r="B350">
        <f t="shared" si="90"/>
        <v>9</v>
      </c>
      <c r="C350" s="1">
        <f t="shared" si="91"/>
        <v>48675</v>
      </c>
      <c r="D350">
        <f t="shared" si="92"/>
        <v>9.1361111111111111</v>
      </c>
      <c r="E350">
        <f t="shared" si="95"/>
        <v>0.50555555555555465</v>
      </c>
      <c r="F350">
        <v>0</v>
      </c>
      <c r="G350" s="5">
        <f>E350*('Tasas XCCY UF vs Camara'!$C$18/100)</f>
        <v>9.352777777777762E-3</v>
      </c>
      <c r="H350">
        <v>0.82969083443086433</v>
      </c>
      <c r="I350">
        <f t="shared" si="93"/>
        <v>7.7599139986908768E-3</v>
      </c>
      <c r="J350" s="4">
        <f t="shared" si="94"/>
        <v>2.0645861558836298E-2</v>
      </c>
    </row>
    <row r="351" spans="1:10" x14ac:dyDescent="0.35">
      <c r="A351">
        <v>9.5</v>
      </c>
      <c r="B351">
        <f t="shared" si="90"/>
        <v>9.5</v>
      </c>
      <c r="C351" s="1">
        <f t="shared" si="91"/>
        <v>48858</v>
      </c>
      <c r="D351">
        <f t="shared" si="92"/>
        <v>9.6444444444444439</v>
      </c>
      <c r="E351">
        <f t="shared" si="95"/>
        <v>0.50833333333333286</v>
      </c>
      <c r="F351">
        <v>0</v>
      </c>
      <c r="G351" s="5">
        <f>E351*('Tasas XCCY UF vs Camara'!$C$18/100)</f>
        <v>9.4041666666666596E-3</v>
      </c>
      <c r="H351">
        <v>0.82228226088334866</v>
      </c>
      <c r="I351">
        <f t="shared" si="93"/>
        <v>7.7328794283904852E-3</v>
      </c>
      <c r="J351" s="4">
        <f t="shared" si="94"/>
        <v>2.0495736888332949E-2</v>
      </c>
    </row>
    <row r="352" spans="1:10" x14ac:dyDescent="0.35">
      <c r="A352">
        <v>10</v>
      </c>
      <c r="B352">
        <f t="shared" si="90"/>
        <v>10</v>
      </c>
      <c r="C352" s="1">
        <f t="shared" si="91"/>
        <v>49040</v>
      </c>
      <c r="D352">
        <f t="shared" si="92"/>
        <v>10.15</v>
      </c>
      <c r="E352">
        <f t="shared" si="95"/>
        <v>0.50555555555555642</v>
      </c>
      <c r="F352">
        <v>0</v>
      </c>
      <c r="G352" s="5">
        <f>E352*('Tasas XCCY UF vs Camara'!$C$18/100)</f>
        <v>9.3527777777777949E-3</v>
      </c>
      <c r="H352">
        <v>0.81491417134428934</v>
      </c>
      <c r="I352">
        <f t="shared" si="93"/>
        <v>7.6217111525450753E-3</v>
      </c>
      <c r="J352" s="4">
        <f t="shared" si="94"/>
        <v>2.0369459188657846E-2</v>
      </c>
    </row>
    <row r="353" spans="1:10" x14ac:dyDescent="0.35">
      <c r="A353">
        <v>10.5</v>
      </c>
      <c r="B353">
        <f t="shared" si="90"/>
        <v>10.5</v>
      </c>
      <c r="C353" s="1">
        <f t="shared" si="91"/>
        <v>49223</v>
      </c>
      <c r="D353">
        <f t="shared" si="92"/>
        <v>10.658333333333333</v>
      </c>
      <c r="E353">
        <f t="shared" si="95"/>
        <v>0.50833333333333286</v>
      </c>
      <c r="F353">
        <v>0</v>
      </c>
      <c r="G353" s="5">
        <f>E353*('Tasas XCCY UF vs Camara'!$C$18/100)</f>
        <v>9.4041666666666596E-3</v>
      </c>
      <c r="H353">
        <v>0.81144063598294869</v>
      </c>
      <c r="I353">
        <f t="shared" si="93"/>
        <v>7.6309229808896413E-3</v>
      </c>
      <c r="J353" s="4">
        <f t="shared" si="94"/>
        <v>1.9797236711800448E-2</v>
      </c>
    </row>
    <row r="354" spans="1:10" x14ac:dyDescent="0.35">
      <c r="A354">
        <v>11</v>
      </c>
      <c r="B354">
        <f t="shared" si="90"/>
        <v>11</v>
      </c>
      <c r="C354" s="1">
        <f t="shared" si="91"/>
        <v>49405</v>
      </c>
      <c r="D354">
        <f t="shared" si="92"/>
        <v>11.16388888888889</v>
      </c>
      <c r="E354">
        <f t="shared" si="95"/>
        <v>0.50555555555555642</v>
      </c>
      <c r="F354">
        <v>0</v>
      </c>
      <c r="G354" s="5">
        <f>E354*('Tasas XCCY UF vs Camara'!$C$18/100)</f>
        <v>9.3527777777777949E-3</v>
      </c>
      <c r="H354">
        <v>0.80798608168915642</v>
      </c>
      <c r="I354">
        <f t="shared" si="93"/>
        <v>7.5569142695760963E-3</v>
      </c>
      <c r="J354" s="4">
        <f t="shared" si="94"/>
        <v>1.9281761224261285E-2</v>
      </c>
    </row>
    <row r="355" spans="1:10" x14ac:dyDescent="0.35">
      <c r="A355">
        <v>11.5</v>
      </c>
      <c r="B355">
        <f t="shared" si="90"/>
        <v>11.5</v>
      </c>
      <c r="C355" s="1">
        <f t="shared" si="91"/>
        <v>49588</v>
      </c>
      <c r="D355">
        <f t="shared" si="92"/>
        <v>11.672222222222222</v>
      </c>
      <c r="E355">
        <f t="shared" si="95"/>
        <v>0.50833333333333286</v>
      </c>
      <c r="F355">
        <v>0</v>
      </c>
      <c r="G355" s="5">
        <f>E355*('Tasas XCCY UF vs Camara'!$C$18/100)</f>
        <v>9.4041666666666596E-3</v>
      </c>
      <c r="H355">
        <v>0.80451254632781577</v>
      </c>
      <c r="I355">
        <f t="shared" si="93"/>
        <v>7.5657700710911619E-3</v>
      </c>
      <c r="J355" s="4">
        <f t="shared" si="94"/>
        <v>1.881031365624608E-2</v>
      </c>
    </row>
    <row r="356" spans="1:10" x14ac:dyDescent="0.35">
      <c r="A356">
        <v>12</v>
      </c>
      <c r="B356">
        <f t="shared" si="90"/>
        <v>12</v>
      </c>
      <c r="C356" s="1">
        <f t="shared" si="91"/>
        <v>49771</v>
      </c>
      <c r="D356">
        <f t="shared" si="92"/>
        <v>12.180555555555555</v>
      </c>
      <c r="E356">
        <f t="shared" si="95"/>
        <v>0.50833333333333286</v>
      </c>
      <c r="F356">
        <v>0</v>
      </c>
      <c r="G356" s="5">
        <f>E356*('Tasas XCCY UF vs Camara'!$C$18/100)</f>
        <v>9.4041666666666596E-3</v>
      </c>
      <c r="H356">
        <v>0.80103901096647512</v>
      </c>
      <c r="I356">
        <f t="shared" si="93"/>
        <v>7.5331043656305541E-3</v>
      </c>
      <c r="J356" s="4">
        <f t="shared" si="94"/>
        <v>1.8379966184065566E-2</v>
      </c>
    </row>
    <row r="357" spans="1:10" x14ac:dyDescent="0.35">
      <c r="A357">
        <v>12.5</v>
      </c>
      <c r="B357">
        <f t="shared" si="90"/>
        <v>12.5</v>
      </c>
      <c r="C357" s="1">
        <f t="shared" si="91"/>
        <v>49954</v>
      </c>
      <c r="D357">
        <f t="shared" si="92"/>
        <v>12.688888888888888</v>
      </c>
      <c r="E357">
        <f t="shared" si="95"/>
        <v>0.50833333333333286</v>
      </c>
      <c r="F357">
        <v>0</v>
      </c>
      <c r="G357" s="5">
        <f>E357*('Tasas XCCY UF vs Camara'!$C$18/100)</f>
        <v>9.4041666666666596E-3</v>
      </c>
      <c r="H357">
        <v>0.79374531973955875</v>
      </c>
      <c r="I357">
        <f t="shared" si="93"/>
        <v>7.4645132777174279E-3</v>
      </c>
      <c r="J357" s="4">
        <f t="shared" si="94"/>
        <v>1.8371031223574752E-2</v>
      </c>
    </row>
    <row r="358" spans="1:10" x14ac:dyDescent="0.35">
      <c r="A358">
        <v>13</v>
      </c>
      <c r="B358">
        <f t="shared" si="90"/>
        <v>13</v>
      </c>
      <c r="C358" s="1">
        <f t="shared" si="91"/>
        <v>50136</v>
      </c>
      <c r="D358">
        <f t="shared" si="92"/>
        <v>13.194444444444445</v>
      </c>
      <c r="E358">
        <f t="shared" si="95"/>
        <v>0.50555555555555642</v>
      </c>
      <c r="F358">
        <v>0</v>
      </c>
      <c r="G358" s="5">
        <f>E358*('Tasas XCCY UF vs Camara'!$C$18/100)</f>
        <v>9.3527777777777949E-3</v>
      </c>
      <c r="H358">
        <v>0.78649148474885511</v>
      </c>
      <c r="I358">
        <f t="shared" si="93"/>
        <v>7.3558800809705553E-3</v>
      </c>
      <c r="J358" s="4">
        <f t="shared" si="94"/>
        <v>1.8369291683173472E-2</v>
      </c>
    </row>
    <row r="359" spans="1:10" x14ac:dyDescent="0.35">
      <c r="A359">
        <v>13.5</v>
      </c>
      <c r="B359">
        <f t="shared" si="90"/>
        <v>13.5</v>
      </c>
      <c r="C359" s="1">
        <f t="shared" si="91"/>
        <v>50319</v>
      </c>
      <c r="D359">
        <f t="shared" si="92"/>
        <v>13.702777777777778</v>
      </c>
      <c r="E359">
        <f t="shared" si="95"/>
        <v>0.50833333333333286</v>
      </c>
      <c r="F359">
        <v>0</v>
      </c>
      <c r="G359" s="5">
        <f>E359*('Tasas XCCY UF vs Camara'!$C$18/100)</f>
        <v>9.4041666666666596E-3</v>
      </c>
      <c r="H359">
        <v>0.77919779352193874</v>
      </c>
      <c r="I359">
        <f t="shared" si="93"/>
        <v>7.3277059165792269E-3</v>
      </c>
      <c r="J359" s="4">
        <f t="shared" si="94"/>
        <v>1.8374046549171075E-2</v>
      </c>
    </row>
    <row r="360" spans="1:10" x14ac:dyDescent="0.35">
      <c r="A360">
        <v>14</v>
      </c>
      <c r="B360">
        <f t="shared" si="90"/>
        <v>14</v>
      </c>
      <c r="C360" s="1">
        <f t="shared" si="91"/>
        <v>50501</v>
      </c>
      <c r="D360">
        <f t="shared" si="92"/>
        <v>14.208333333333334</v>
      </c>
      <c r="E360">
        <f t="shared" si="95"/>
        <v>0.50555555555555642</v>
      </c>
      <c r="F360">
        <v>0</v>
      </c>
      <c r="G360" s="5">
        <f>E360*('Tasas XCCY UF vs Camara'!$C$18/100)</f>
        <v>9.3527777777777949E-3</v>
      </c>
      <c r="H360">
        <v>0.7719439585312351</v>
      </c>
      <c r="I360">
        <f t="shared" si="93"/>
        <v>7.2198203010407592E-3</v>
      </c>
      <c r="J360" s="4">
        <f t="shared" si="94"/>
        <v>1.8384666783457515E-2</v>
      </c>
    </row>
    <row r="361" spans="1:10" x14ac:dyDescent="0.35">
      <c r="A361">
        <v>14.5</v>
      </c>
      <c r="B361">
        <f t="shared" si="90"/>
        <v>14.5</v>
      </c>
      <c r="C361" s="1">
        <f t="shared" si="91"/>
        <v>50684</v>
      </c>
      <c r="D361">
        <f t="shared" si="92"/>
        <v>14.716666666666667</v>
      </c>
      <c r="E361">
        <f t="shared" si="95"/>
        <v>0.50833333333333286</v>
      </c>
      <c r="F361">
        <v>0</v>
      </c>
      <c r="G361" s="5">
        <f>E361*('Tasas XCCY UF vs Camara'!$C$18/100)</f>
        <v>9.4041666666666596E-3</v>
      </c>
      <c r="H361">
        <v>0.76465026730431873</v>
      </c>
      <c r="I361">
        <f t="shared" si="93"/>
        <v>7.190898555441025E-3</v>
      </c>
      <c r="J361" s="4">
        <f t="shared" si="94"/>
        <v>1.8400771149526873E-2</v>
      </c>
    </row>
    <row r="362" spans="1:10" x14ac:dyDescent="0.35">
      <c r="A362">
        <v>15</v>
      </c>
      <c r="B362">
        <f t="shared" si="90"/>
        <v>15</v>
      </c>
      <c r="C362" s="1">
        <f t="shared" si="91"/>
        <v>50866</v>
      </c>
      <c r="D362">
        <f t="shared" si="92"/>
        <v>15.222222222222221</v>
      </c>
      <c r="E362">
        <f t="shared" si="95"/>
        <v>0.50555555555555465</v>
      </c>
      <c r="F362">
        <v>0</v>
      </c>
      <c r="G362" s="5">
        <f>E362*('Tasas XCCY UF vs Camara'!$C$18/100)</f>
        <v>9.352777777777762E-3</v>
      </c>
      <c r="H362">
        <v>0.75739643231361509</v>
      </c>
      <c r="I362">
        <f t="shared" si="93"/>
        <v>7.083760521110938E-3</v>
      </c>
      <c r="J362" s="4">
        <f t="shared" si="94"/>
        <v>1.8421758414699285E-2</v>
      </c>
    </row>
    <row r="363" spans="1:10" x14ac:dyDescent="0.35">
      <c r="A363">
        <v>15.5</v>
      </c>
      <c r="B363">
        <f t="shared" si="90"/>
        <v>15.5</v>
      </c>
      <c r="C363" s="1">
        <f t="shared" si="91"/>
        <v>51049</v>
      </c>
      <c r="D363">
        <f t="shared" si="92"/>
        <v>15.730555555555556</v>
      </c>
      <c r="E363">
        <f t="shared" si="95"/>
        <v>0.50833333333333464</v>
      </c>
      <c r="F363">
        <v>0</v>
      </c>
      <c r="G363" s="5">
        <f>E363*('Tasas XCCY UF vs Camara'!$C$18/100)</f>
        <v>9.4041666666666926E-3</v>
      </c>
      <c r="H363">
        <v>0.7506234921616165</v>
      </c>
      <c r="I363">
        <f t="shared" si="93"/>
        <v>7.0589884242032216E-3</v>
      </c>
      <c r="J363" s="4">
        <f t="shared" si="94"/>
        <v>1.8402558593640483E-2</v>
      </c>
    </row>
    <row r="364" spans="1:10" x14ac:dyDescent="0.35">
      <c r="A364">
        <v>16</v>
      </c>
      <c r="B364">
        <f t="shared" si="90"/>
        <v>16</v>
      </c>
      <c r="C364" s="1">
        <f t="shared" si="91"/>
        <v>51232</v>
      </c>
      <c r="D364">
        <f t="shared" si="92"/>
        <v>16.238888888888887</v>
      </c>
      <c r="E364">
        <f t="shared" si="95"/>
        <v>0.50833333333333108</v>
      </c>
      <c r="F364">
        <v>0</v>
      </c>
      <c r="G364" s="5">
        <f>E364*('Tasas XCCY UF vs Camara'!$C$18/100)</f>
        <v>9.4041666666666267E-3</v>
      </c>
      <c r="H364">
        <v>0.74385055200961803</v>
      </c>
      <c r="I364">
        <f t="shared" si="93"/>
        <v>6.9952945661904201E-3</v>
      </c>
      <c r="J364" s="4">
        <f t="shared" si="94"/>
        <v>1.8389667185378267E-2</v>
      </c>
    </row>
    <row r="365" spans="1:10" x14ac:dyDescent="0.35">
      <c r="A365">
        <v>16.5</v>
      </c>
      <c r="B365">
        <f t="shared" si="90"/>
        <v>16.5</v>
      </c>
      <c r="C365" s="1">
        <f t="shared" si="91"/>
        <v>51415</v>
      </c>
      <c r="D365">
        <f t="shared" si="92"/>
        <v>16.747222222222224</v>
      </c>
      <c r="E365">
        <f t="shared" si="95"/>
        <v>0.50833333333333641</v>
      </c>
      <c r="F365">
        <v>0</v>
      </c>
      <c r="G365" s="5">
        <f>E365*('Tasas XCCY UF vs Camara'!$C$18/100)</f>
        <v>9.4041666666667256E-3</v>
      </c>
      <c r="H365">
        <v>0.73707761185761944</v>
      </c>
      <c r="I365">
        <f t="shared" si="93"/>
        <v>6.93160070817774E-3</v>
      </c>
      <c r="J365" s="4">
        <f t="shared" si="94"/>
        <v>1.8382600117099468E-2</v>
      </c>
    </row>
    <row r="366" spans="1:10" x14ac:dyDescent="0.35">
      <c r="A366">
        <v>17</v>
      </c>
      <c r="B366">
        <f t="shared" si="90"/>
        <v>17</v>
      </c>
      <c r="C366" s="1">
        <f t="shared" si="91"/>
        <v>51597</v>
      </c>
      <c r="D366">
        <f t="shared" si="92"/>
        <v>17.252777777777776</v>
      </c>
      <c r="E366">
        <f t="shared" si="95"/>
        <v>0.50555555555555287</v>
      </c>
      <c r="F366">
        <v>0</v>
      </c>
      <c r="G366" s="5">
        <f>E366*('Tasas XCCY UF vs Camara'!$C$18/100)</f>
        <v>9.352777777777729E-3</v>
      </c>
      <c r="H366">
        <v>0.73034168230754437</v>
      </c>
      <c r="I366">
        <f t="shared" si="93"/>
        <v>6.8307234564708033E-3</v>
      </c>
      <c r="J366" s="4">
        <f t="shared" si="94"/>
        <v>1.8380928016036968E-2</v>
      </c>
    </row>
    <row r="367" spans="1:10" x14ac:dyDescent="0.35">
      <c r="A367">
        <v>17.5</v>
      </c>
      <c r="B367">
        <f t="shared" si="90"/>
        <v>17.5</v>
      </c>
      <c r="C367" s="1">
        <f t="shared" si="91"/>
        <v>51780</v>
      </c>
      <c r="D367">
        <f t="shared" si="92"/>
        <v>17.761111111111113</v>
      </c>
      <c r="E367">
        <f t="shared" si="95"/>
        <v>0.50833333333333641</v>
      </c>
      <c r="F367">
        <v>0</v>
      </c>
      <c r="G367" s="5">
        <f>E367*('Tasas XCCY UF vs Camara'!$C$18/100)</f>
        <v>9.4041666666667256E-3</v>
      </c>
      <c r="H367">
        <v>0.72356874215554579</v>
      </c>
      <c r="I367">
        <f t="shared" si="93"/>
        <v>6.8045610460211545E-3</v>
      </c>
      <c r="J367" s="4">
        <f t="shared" si="94"/>
        <v>1.8384260698186106E-2</v>
      </c>
    </row>
    <row r="368" spans="1:10" x14ac:dyDescent="0.35">
      <c r="A368">
        <v>18</v>
      </c>
      <c r="B368">
        <f t="shared" si="90"/>
        <v>18</v>
      </c>
      <c r="C368" s="1">
        <f t="shared" si="91"/>
        <v>51962</v>
      </c>
      <c r="D368">
        <f t="shared" si="92"/>
        <v>18.266666666666666</v>
      </c>
      <c r="E368">
        <f t="shared" si="95"/>
        <v>0.50555555555555287</v>
      </c>
      <c r="F368">
        <v>0</v>
      </c>
      <c r="G368" s="5">
        <f>E368*('Tasas XCCY UF vs Camara'!$C$18/100)</f>
        <v>9.352777777777729E-3</v>
      </c>
      <c r="H368">
        <v>0.71683281260547072</v>
      </c>
      <c r="I368">
        <f t="shared" si="93"/>
        <v>6.7043780001183537E-3</v>
      </c>
      <c r="J368" s="4">
        <f t="shared" si="94"/>
        <v>1.8392236120757355E-2</v>
      </c>
    </row>
    <row r="369" spans="1:10" x14ac:dyDescent="0.35">
      <c r="A369">
        <v>18.5</v>
      </c>
      <c r="B369">
        <f t="shared" si="90"/>
        <v>18.5</v>
      </c>
      <c r="C369" s="1">
        <f t="shared" si="91"/>
        <v>52145</v>
      </c>
      <c r="D369">
        <f t="shared" si="92"/>
        <v>18.774999999999999</v>
      </c>
      <c r="E369">
        <f t="shared" si="95"/>
        <v>0.50833333333333286</v>
      </c>
      <c r="F369">
        <v>0</v>
      </c>
      <c r="G369" s="5">
        <f>E369*('Tasas XCCY UF vs Camara'!$C$18/100)</f>
        <v>9.4041666666666596E-3</v>
      </c>
      <c r="H369">
        <v>0.71005987245347213</v>
      </c>
      <c r="I369">
        <f t="shared" si="93"/>
        <v>6.6775213838645223E-3</v>
      </c>
      <c r="J369" s="4">
        <f t="shared" si="94"/>
        <v>1.8404651888329182E-2</v>
      </c>
    </row>
    <row r="370" spans="1:10" x14ac:dyDescent="0.35">
      <c r="A370">
        <v>19</v>
      </c>
      <c r="B370">
        <f t="shared" si="90"/>
        <v>19</v>
      </c>
      <c r="C370" s="1">
        <f t="shared" si="91"/>
        <v>52327</v>
      </c>
      <c r="D370">
        <f t="shared" si="92"/>
        <v>19.280555555555555</v>
      </c>
      <c r="E370">
        <f t="shared" si="95"/>
        <v>0.50555555555555642</v>
      </c>
      <c r="F370">
        <v>0</v>
      </c>
      <c r="G370" s="5">
        <f>E370*('Tasas XCCY UF vs Camara'!$C$18/100)</f>
        <v>9.3527777777777949E-3</v>
      </c>
      <c r="H370">
        <v>0.70332394290339706</v>
      </c>
      <c r="I370">
        <f t="shared" si="93"/>
        <v>6.5780325437659508E-3</v>
      </c>
      <c r="J370" s="4">
        <f t="shared" si="94"/>
        <v>1.8421117212141125E-2</v>
      </c>
    </row>
    <row r="371" spans="1:10" x14ac:dyDescent="0.35">
      <c r="A371">
        <v>19.5</v>
      </c>
      <c r="B371">
        <f t="shared" si="90"/>
        <v>19.5</v>
      </c>
      <c r="C371" s="1">
        <f t="shared" si="91"/>
        <v>52510</v>
      </c>
      <c r="D371">
        <f t="shared" si="92"/>
        <v>19.788888888888888</v>
      </c>
      <c r="E371">
        <f t="shared" si="95"/>
        <v>0.50833333333333286</v>
      </c>
      <c r="F371">
        <v>0</v>
      </c>
      <c r="G371" s="5">
        <f>E371*('Tasas XCCY UF vs Camara'!$C$18/100)</f>
        <v>9.4041666666666596E-3</v>
      </c>
      <c r="H371">
        <v>0.69655100275139858</v>
      </c>
      <c r="I371">
        <f t="shared" si="93"/>
        <v>6.5504817217079394E-3</v>
      </c>
      <c r="J371" s="4">
        <f t="shared" si="94"/>
        <v>1.8441584984705939E-2</v>
      </c>
    </row>
    <row r="372" spans="1:10" x14ac:dyDescent="0.35">
      <c r="A372">
        <v>20</v>
      </c>
      <c r="B372">
        <f t="shared" si="90"/>
        <v>20</v>
      </c>
      <c r="C372" s="1">
        <f t="shared" si="91"/>
        <v>52693</v>
      </c>
      <c r="D372">
        <f t="shared" si="92"/>
        <v>20.297222222222221</v>
      </c>
      <c r="E372">
        <f t="shared" si="95"/>
        <v>0.50833333333333286</v>
      </c>
      <c r="F372">
        <v>0</v>
      </c>
      <c r="G372" s="5">
        <f>E372*('Tasas XCCY UF vs Camara'!$C$18/100)</f>
        <v>9.4041666666666596E-3</v>
      </c>
      <c r="H372">
        <v>0.6897780625994</v>
      </c>
      <c r="I372">
        <f t="shared" si="93"/>
        <v>6.4867878636951856E-3</v>
      </c>
      <c r="J372" s="4">
        <f t="shared" si="94"/>
        <v>1.8465772292683313E-2</v>
      </c>
    </row>
    <row r="373" spans="1:10" x14ac:dyDescent="0.35">
      <c r="A373">
        <v>20.5</v>
      </c>
      <c r="B373">
        <f t="shared" si="90"/>
        <v>20.5</v>
      </c>
      <c r="C373" s="1">
        <f t="shared" si="91"/>
        <v>52876</v>
      </c>
      <c r="D373">
        <f t="shared" si="92"/>
        <v>20.805555555555557</v>
      </c>
      <c r="E373">
        <f t="shared" si="95"/>
        <v>0.50833333333333641</v>
      </c>
      <c r="F373">
        <v>0</v>
      </c>
      <c r="G373" s="5">
        <f>E373*('Tasas XCCY UF vs Camara'!$C$18/100)</f>
        <v>9.4041666666667256E-3</v>
      </c>
      <c r="H373">
        <v>0.68360962704619554</v>
      </c>
      <c r="I373">
        <f t="shared" si="93"/>
        <v>6.4287788676803039E-3</v>
      </c>
      <c r="J373" s="4">
        <f t="shared" si="94"/>
        <v>1.8450191621291134E-2</v>
      </c>
    </row>
    <row r="374" spans="1:10" x14ac:dyDescent="0.35">
      <c r="A374">
        <v>21</v>
      </c>
      <c r="B374">
        <f t="shared" si="90"/>
        <v>21</v>
      </c>
      <c r="C374" s="1">
        <f t="shared" si="91"/>
        <v>53058</v>
      </c>
      <c r="D374">
        <f t="shared" si="92"/>
        <v>21.31111111111111</v>
      </c>
      <c r="E374">
        <f t="shared" si="95"/>
        <v>0.50555555555555287</v>
      </c>
      <c r="F374">
        <v>0</v>
      </c>
      <c r="G374" s="5">
        <f>E374*('Tasas XCCY UF vs Camara'!$C$18/100)</f>
        <v>9.352777777777729E-3</v>
      </c>
      <c r="H374">
        <v>0.67747489879109601</v>
      </c>
      <c r="I374">
        <f t="shared" si="93"/>
        <v>6.3362721784155787E-3</v>
      </c>
      <c r="J374" s="4">
        <f t="shared" si="94"/>
        <v>1.8439292719645062E-2</v>
      </c>
    </row>
    <row r="375" spans="1:10" x14ac:dyDescent="0.35">
      <c r="A375">
        <v>21.5</v>
      </c>
      <c r="B375">
        <f t="shared" si="90"/>
        <v>21.5</v>
      </c>
      <c r="C375" s="1">
        <f t="shared" si="91"/>
        <v>53241</v>
      </c>
      <c r="D375">
        <f t="shared" si="92"/>
        <v>21.819444444444443</v>
      </c>
      <c r="E375">
        <f t="shared" si="95"/>
        <v>0.50833333333333286</v>
      </c>
      <c r="F375">
        <v>0</v>
      </c>
      <c r="G375" s="5">
        <f>E375*('Tasas XCCY UF vs Camara'!$C$18/100)</f>
        <v>9.4041666666666596E-3</v>
      </c>
      <c r="H375">
        <v>0.67130646323789156</v>
      </c>
      <c r="I375">
        <f t="shared" si="93"/>
        <v>6.3130778646996672E-3</v>
      </c>
      <c r="J375" s="4">
        <f t="shared" si="94"/>
        <v>1.8432702452397809E-2</v>
      </c>
    </row>
    <row r="376" spans="1:10" x14ac:dyDescent="0.35">
      <c r="A376">
        <v>22</v>
      </c>
      <c r="B376">
        <f t="shared" si="90"/>
        <v>22</v>
      </c>
      <c r="C376" s="1">
        <f t="shared" si="91"/>
        <v>53423</v>
      </c>
      <c r="D376">
        <f t="shared" si="92"/>
        <v>22.324999999999999</v>
      </c>
      <c r="E376">
        <f t="shared" si="95"/>
        <v>0.50555555555555642</v>
      </c>
      <c r="F376">
        <v>0</v>
      </c>
      <c r="G376" s="5">
        <f>E376*('Tasas XCCY UF vs Camara'!$C$18/100)</f>
        <v>9.3527777777777949E-3</v>
      </c>
      <c r="H376">
        <v>0.66517173498279203</v>
      </c>
      <c r="I376">
        <f t="shared" si="93"/>
        <v>6.2212034213529575E-3</v>
      </c>
      <c r="J376" s="4">
        <f t="shared" si="94"/>
        <v>1.8430266072642754E-2</v>
      </c>
    </row>
    <row r="377" spans="1:10" x14ac:dyDescent="0.35">
      <c r="A377">
        <v>22.5</v>
      </c>
      <c r="B377">
        <f t="shared" si="90"/>
        <v>22.5</v>
      </c>
      <c r="C377" s="1">
        <f t="shared" si="91"/>
        <v>53606</v>
      </c>
      <c r="D377">
        <f t="shared" si="92"/>
        <v>22.833333333333332</v>
      </c>
      <c r="E377">
        <f t="shared" si="95"/>
        <v>0.50833333333333286</v>
      </c>
      <c r="F377">
        <v>0</v>
      </c>
      <c r="G377" s="5">
        <f>E377*('Tasas XCCY UF vs Camara'!$C$18/100)</f>
        <v>9.4041666666666596E-3</v>
      </c>
      <c r="H377">
        <v>0.65900329942958757</v>
      </c>
      <c r="I377">
        <f t="shared" si="93"/>
        <v>6.1973768617190755E-3</v>
      </c>
      <c r="J377" s="4">
        <f t="shared" si="94"/>
        <v>1.8431750600590657E-2</v>
      </c>
    </row>
    <row r="378" spans="1:10" x14ac:dyDescent="0.35">
      <c r="A378">
        <v>23</v>
      </c>
      <c r="B378">
        <f t="shared" si="90"/>
        <v>23</v>
      </c>
      <c r="C378" s="1">
        <f t="shared" si="91"/>
        <v>53788</v>
      </c>
      <c r="D378">
        <f t="shared" si="92"/>
        <v>23.338888888888889</v>
      </c>
      <c r="E378">
        <f t="shared" si="95"/>
        <v>0.50555555555555642</v>
      </c>
      <c r="F378">
        <v>0</v>
      </c>
      <c r="G378" s="5">
        <f>E378*('Tasas XCCY UF vs Camara'!$C$18/100)</f>
        <v>9.3527777777777949E-3</v>
      </c>
      <c r="H378">
        <v>0.65286857117448804</v>
      </c>
      <c r="I378">
        <f t="shared" si="93"/>
        <v>6.1061346642902921E-3</v>
      </c>
      <c r="J378" s="4">
        <f t="shared" si="94"/>
        <v>1.8436954844160081E-2</v>
      </c>
    </row>
    <row r="379" spans="1:10" x14ac:dyDescent="0.35">
      <c r="A379">
        <v>23.5</v>
      </c>
      <c r="B379">
        <f t="shared" si="90"/>
        <v>23.5</v>
      </c>
      <c r="C379" s="1">
        <f t="shared" si="91"/>
        <v>53971</v>
      </c>
      <c r="D379">
        <f t="shared" si="92"/>
        <v>23.847222222222221</v>
      </c>
      <c r="E379">
        <f t="shared" si="95"/>
        <v>0.50833333333333286</v>
      </c>
      <c r="F379">
        <v>0</v>
      </c>
      <c r="G379" s="5">
        <f>E379*('Tasas XCCY UF vs Camara'!$C$18/100)</f>
        <v>9.4041666666666596E-3</v>
      </c>
      <c r="H379">
        <v>0.64670013562128359</v>
      </c>
      <c r="I379">
        <f t="shared" si="93"/>
        <v>6.081675858738483E-3</v>
      </c>
      <c r="J379" s="4">
        <f t="shared" si="94"/>
        <v>1.844576750596838E-2</v>
      </c>
    </row>
    <row r="380" spans="1:10" x14ac:dyDescent="0.35">
      <c r="A380">
        <v>24</v>
      </c>
      <c r="B380">
        <f t="shared" si="90"/>
        <v>24</v>
      </c>
      <c r="C380" s="1">
        <f t="shared" si="91"/>
        <v>54154</v>
      </c>
      <c r="D380">
        <f t="shared" si="92"/>
        <v>24.355555555555554</v>
      </c>
      <c r="E380">
        <f t="shared" si="95"/>
        <v>0.50833333333333286</v>
      </c>
      <c r="F380">
        <v>0</v>
      </c>
      <c r="G380" s="5">
        <f>E380*('Tasas XCCY UF vs Camara'!$C$18/100)</f>
        <v>9.4041666666666596E-3</v>
      </c>
      <c r="H380">
        <v>0.64053170006807914</v>
      </c>
      <c r="I380">
        <f t="shared" si="93"/>
        <v>6.0236668627235562E-3</v>
      </c>
      <c r="J380" s="4">
        <f t="shared" si="94"/>
        <v>1.845801696794247E-2</v>
      </c>
    </row>
    <row r="381" spans="1:10" x14ac:dyDescent="0.35">
      <c r="A381">
        <v>24.5</v>
      </c>
      <c r="B381">
        <f t="shared" si="90"/>
        <v>24.5</v>
      </c>
      <c r="C381" s="1">
        <f t="shared" si="91"/>
        <v>54337</v>
      </c>
      <c r="D381">
        <f t="shared" si="92"/>
        <v>24.863888888888887</v>
      </c>
      <c r="E381">
        <f t="shared" si="95"/>
        <v>0.50833333333333286</v>
      </c>
      <c r="F381">
        <v>0</v>
      </c>
      <c r="G381" s="5">
        <f>E381*('Tasas XCCY UF vs Camara'!$C$18/100)</f>
        <v>9.4041666666666596E-3</v>
      </c>
      <c r="H381">
        <v>0.63436326451487468</v>
      </c>
      <c r="I381">
        <f t="shared" si="93"/>
        <v>5.9656578667086294E-3</v>
      </c>
      <c r="J381" s="4">
        <f t="shared" si="94"/>
        <v>1.8473564692622402E-2</v>
      </c>
    </row>
    <row r="382" spans="1:10" x14ac:dyDescent="0.35">
      <c r="A382">
        <v>25</v>
      </c>
      <c r="B382">
        <f t="shared" si="90"/>
        <v>25</v>
      </c>
      <c r="C382" s="1">
        <f t="shared" si="91"/>
        <v>54519</v>
      </c>
      <c r="D382">
        <f t="shared" si="92"/>
        <v>25.369444444444444</v>
      </c>
      <c r="E382">
        <f t="shared" si="95"/>
        <v>0.50555555555555642</v>
      </c>
      <c r="F382">
        <v>0</v>
      </c>
      <c r="G382" s="5">
        <f>E382*('Tasas XCCY UF vs Camara'!$C$18/100)</f>
        <v>9.3527777777777949E-3</v>
      </c>
      <c r="H382">
        <v>0.62822853625977515</v>
      </c>
      <c r="I382">
        <f t="shared" si="93"/>
        <v>5.875681893296297E-3</v>
      </c>
      <c r="J382" s="4">
        <f t="shared" si="94"/>
        <v>1.8492174641113968E-2</v>
      </c>
    </row>
    <row r="383" spans="1:10" x14ac:dyDescent="0.35">
      <c r="A383">
        <v>25.5</v>
      </c>
      <c r="B383">
        <f t="shared" si="90"/>
        <v>25.5</v>
      </c>
      <c r="C383" s="1">
        <f t="shared" si="91"/>
        <v>54702</v>
      </c>
      <c r="D383">
        <f t="shared" si="92"/>
        <v>25.877777777777776</v>
      </c>
      <c r="E383">
        <f t="shared" si="95"/>
        <v>0.50833333333333286</v>
      </c>
      <c r="F383">
        <v>0</v>
      </c>
      <c r="G383" s="5">
        <f>E383*('Tasas XCCY UF vs Camara'!$C$18/100)</f>
        <v>9.4041666666666596E-3</v>
      </c>
      <c r="H383">
        <f>+(($H$392-$H$382)/($D$392-$D$382))*(D383-$D$392)+$H$392</f>
        <v>0.62261051584318072</v>
      </c>
      <c r="I383">
        <f t="shared" si="93"/>
        <v>5.8551330594085746E-3</v>
      </c>
      <c r="J383" s="4">
        <f t="shared" si="94"/>
        <v>1.8479128906818465E-2</v>
      </c>
    </row>
    <row r="384" spans="1:10" x14ac:dyDescent="0.35">
      <c r="A384">
        <v>26</v>
      </c>
      <c r="B384">
        <f t="shared" si="90"/>
        <v>26</v>
      </c>
      <c r="C384" s="1">
        <f t="shared" si="91"/>
        <v>54884</v>
      </c>
      <c r="D384">
        <f t="shared" si="92"/>
        <v>26.383333333333333</v>
      </c>
      <c r="E384">
        <f t="shared" si="95"/>
        <v>0.50555555555555642</v>
      </c>
      <c r="F384">
        <v>0</v>
      </c>
      <c r="G384" s="5">
        <f>E384*('Tasas XCCY UF vs Camara'!$C$18/100)</f>
        <v>9.3527777777777949E-3</v>
      </c>
      <c r="H384">
        <f t="shared" ref="H384:H391" si="96">+(($H$392-$H$382)/($D$392-$D$382))*(D384-$D$392)+$H$392</f>
        <v>0.61702319499170422</v>
      </c>
      <c r="I384">
        <f t="shared" si="93"/>
        <v>5.7708808264918662E-3</v>
      </c>
      <c r="J384" s="4">
        <f t="shared" si="94"/>
        <v>1.8469770573583011E-2</v>
      </c>
    </row>
    <row r="385" spans="1:10" x14ac:dyDescent="0.35">
      <c r="A385">
        <v>26.5</v>
      </c>
      <c r="B385">
        <f t="shared" si="90"/>
        <v>26.5</v>
      </c>
      <c r="C385" s="1">
        <f t="shared" si="91"/>
        <v>55067</v>
      </c>
      <c r="D385">
        <f t="shared" si="92"/>
        <v>26.891666666666666</v>
      </c>
      <c r="E385">
        <f t="shared" si="95"/>
        <v>0.50833333333333286</v>
      </c>
      <c r="F385">
        <v>0</v>
      </c>
      <c r="G385" s="5">
        <f>E385*('Tasas XCCY UF vs Camara'!$C$18/100)</f>
        <v>9.4041666666666596E-3</v>
      </c>
      <c r="H385">
        <f t="shared" si="96"/>
        <v>0.61140517457510979</v>
      </c>
      <c r="I385">
        <f t="shared" si="93"/>
        <v>5.7497561625667578E-3</v>
      </c>
      <c r="J385" s="4">
        <f t="shared" si="94"/>
        <v>1.8463847050202098E-2</v>
      </c>
    </row>
    <row r="386" spans="1:10" x14ac:dyDescent="0.35">
      <c r="A386">
        <v>27</v>
      </c>
      <c r="B386">
        <f t="shared" si="90"/>
        <v>27</v>
      </c>
      <c r="C386" s="1">
        <f t="shared" si="91"/>
        <v>55249</v>
      </c>
      <c r="D386">
        <f t="shared" si="92"/>
        <v>27.397222222222222</v>
      </c>
      <c r="E386">
        <f t="shared" si="95"/>
        <v>0.50555555555555642</v>
      </c>
      <c r="F386">
        <v>0</v>
      </c>
      <c r="G386" s="5">
        <f>E386*('Tasas XCCY UF vs Camara'!$C$18/100)</f>
        <v>9.3527777777777949E-3</v>
      </c>
      <c r="H386">
        <f t="shared" si="96"/>
        <v>0.60581785372363339</v>
      </c>
      <c r="I386">
        <f t="shared" si="93"/>
        <v>5.6660797596874372E-3</v>
      </c>
      <c r="J386" s="4">
        <f t="shared" si="94"/>
        <v>1.8461286959148726E-2</v>
      </c>
    </row>
    <row r="387" spans="1:10" x14ac:dyDescent="0.35">
      <c r="A387">
        <v>27.5</v>
      </c>
      <c r="B387">
        <f t="shared" si="90"/>
        <v>27.5</v>
      </c>
      <c r="C387" s="1">
        <f t="shared" si="91"/>
        <v>55432</v>
      </c>
      <c r="D387">
        <f t="shared" si="92"/>
        <v>27.905555555555555</v>
      </c>
      <c r="E387">
        <f t="shared" si="95"/>
        <v>0.50833333333333286</v>
      </c>
      <c r="F387">
        <v>0</v>
      </c>
      <c r="G387" s="5">
        <f>E387*('Tasas XCCY UF vs Camara'!$C$18/100)</f>
        <v>9.4041666666666596E-3</v>
      </c>
      <c r="H387">
        <f t="shared" si="96"/>
        <v>0.60019983330703885</v>
      </c>
      <c r="I387">
        <f t="shared" si="93"/>
        <v>5.64437926572494E-3</v>
      </c>
      <c r="J387" s="4">
        <f t="shared" si="94"/>
        <v>1.8461936598400674E-2</v>
      </c>
    </row>
    <row r="388" spans="1:10" x14ac:dyDescent="0.35">
      <c r="A388">
        <v>28</v>
      </c>
      <c r="B388">
        <f t="shared" si="90"/>
        <v>28</v>
      </c>
      <c r="C388" s="1">
        <f t="shared" si="91"/>
        <v>55615</v>
      </c>
      <c r="D388">
        <f t="shared" si="92"/>
        <v>28.413888888888888</v>
      </c>
      <c r="E388">
        <f t="shared" si="95"/>
        <v>0.50833333333333286</v>
      </c>
      <c r="F388">
        <v>0</v>
      </c>
      <c r="G388" s="5">
        <f>E388*('Tasas XCCY UF vs Camara'!$C$18/100)</f>
        <v>9.4041666666666596E-3</v>
      </c>
      <c r="H388">
        <f t="shared" si="96"/>
        <v>0.59458181289044443</v>
      </c>
      <c r="I388">
        <f t="shared" si="93"/>
        <v>5.5915464653905501E-3</v>
      </c>
      <c r="J388" s="4">
        <f t="shared" si="94"/>
        <v>1.8465703567126068E-2</v>
      </c>
    </row>
    <row r="389" spans="1:10" x14ac:dyDescent="0.35">
      <c r="A389">
        <v>28.5</v>
      </c>
      <c r="B389">
        <f t="shared" si="90"/>
        <v>28.5</v>
      </c>
      <c r="C389" s="1">
        <f t="shared" si="91"/>
        <v>55798</v>
      </c>
      <c r="D389">
        <f t="shared" si="92"/>
        <v>28.922222222222221</v>
      </c>
      <c r="E389">
        <f t="shared" si="95"/>
        <v>0.50833333333333286</v>
      </c>
      <c r="F389">
        <v>0</v>
      </c>
      <c r="G389" s="5">
        <f>E389*('Tasas XCCY UF vs Camara'!$C$18/100)</f>
        <v>9.4041666666666596E-3</v>
      </c>
      <c r="H389">
        <f t="shared" si="96"/>
        <v>0.58896379247385</v>
      </c>
      <c r="I389">
        <f t="shared" si="93"/>
        <v>5.5387136650561601E-3</v>
      </c>
      <c r="J389" s="4">
        <f t="shared" si="94"/>
        <v>1.8472482113287558E-2</v>
      </c>
    </row>
    <row r="390" spans="1:10" x14ac:dyDescent="0.35">
      <c r="A390">
        <v>29</v>
      </c>
      <c r="B390">
        <f t="shared" si="90"/>
        <v>29</v>
      </c>
      <c r="C390" s="1">
        <f t="shared" si="91"/>
        <v>55980</v>
      </c>
      <c r="D390">
        <f t="shared" si="92"/>
        <v>29.427777777777777</v>
      </c>
      <c r="E390">
        <f t="shared" si="95"/>
        <v>0.50555555555555642</v>
      </c>
      <c r="F390">
        <v>0</v>
      </c>
      <c r="G390" s="5">
        <f>E390*('Tasas XCCY UF vs Camara'!$C$18/100)</f>
        <v>9.3527777777777949E-3</v>
      </c>
      <c r="H390">
        <f t="shared" si="96"/>
        <v>0.5833764716223736</v>
      </c>
      <c r="I390">
        <f t="shared" si="93"/>
        <v>5.4561904998681543E-3</v>
      </c>
      <c r="J390" s="4">
        <f t="shared" si="94"/>
        <v>1.8482114747427669E-2</v>
      </c>
    </row>
    <row r="391" spans="1:10" x14ac:dyDescent="0.35">
      <c r="A391">
        <v>29.5</v>
      </c>
      <c r="B391">
        <f t="shared" si="90"/>
        <v>29.5</v>
      </c>
      <c r="C391" s="1">
        <f t="shared" si="91"/>
        <v>56163</v>
      </c>
      <c r="D391">
        <f t="shared" si="92"/>
        <v>29.93611111111111</v>
      </c>
      <c r="E391">
        <f t="shared" si="95"/>
        <v>0.50833333333333286</v>
      </c>
      <c r="F391">
        <v>0</v>
      </c>
      <c r="G391" s="5">
        <f>E391*('Tasas XCCY UF vs Camara'!$C$18/100)</f>
        <v>9.4041666666666596E-3</v>
      </c>
      <c r="H391">
        <f t="shared" si="96"/>
        <v>0.57775845120577918</v>
      </c>
      <c r="I391">
        <f t="shared" si="93"/>
        <v>5.4333367682143441E-3</v>
      </c>
      <c r="J391" s="4">
        <f t="shared" si="94"/>
        <v>1.8494619228788922E-2</v>
      </c>
    </row>
    <row r="392" spans="1:10" x14ac:dyDescent="0.35">
      <c r="A392">
        <v>30</v>
      </c>
      <c r="B392">
        <f t="shared" si="90"/>
        <v>30</v>
      </c>
      <c r="C392" s="1">
        <f t="shared" si="91"/>
        <v>56345</v>
      </c>
      <c r="D392">
        <f t="shared" si="92"/>
        <v>30.441666666666666</v>
      </c>
      <c r="E392">
        <f t="shared" si="95"/>
        <v>0.50555555555555642</v>
      </c>
      <c r="F392">
        <v>1</v>
      </c>
      <c r="G392" s="5">
        <f>E392*('Tasas XCCY UF vs Camara'!$C$18/100)</f>
        <v>9.3527777777777949E-3</v>
      </c>
      <c r="H392" s="2">
        <v>0.57217113035430267</v>
      </c>
      <c r="I392">
        <f t="shared" si="93"/>
        <v>0.57752251978736635</v>
      </c>
      <c r="J392" s="8">
        <f t="shared" si="94"/>
        <v>1.8509778996246729E-2</v>
      </c>
    </row>
    <row r="393" spans="1:10" x14ac:dyDescent="0.35">
      <c r="I393">
        <f>SUM(I333:I392)</f>
        <v>0.99999999999999989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82B2-0DEB-4DC1-B11E-4AB26F6670AF}">
  <dimension ref="A1:B13"/>
  <sheetViews>
    <sheetView workbookViewId="0"/>
  </sheetViews>
  <sheetFormatPr defaultRowHeight="14.5" x14ac:dyDescent="0.35"/>
  <cols>
    <col min="1" max="1" width="22" bestFit="1" customWidth="1"/>
    <col min="2" max="2" width="11.81640625" bestFit="1" customWidth="1"/>
    <col min="3" max="3" width="10.08984375" bestFit="1" customWidth="1"/>
  </cols>
  <sheetData>
    <row r="1" spans="1:2" x14ac:dyDescent="0.35">
      <c r="A1" t="s">
        <v>75</v>
      </c>
      <c r="B1" s="1">
        <v>45396</v>
      </c>
    </row>
    <row r="3" spans="1:2" x14ac:dyDescent="0.35">
      <c r="A3" t="s">
        <v>26</v>
      </c>
      <c r="B3">
        <v>5</v>
      </c>
    </row>
    <row r="4" spans="1:2" x14ac:dyDescent="0.35">
      <c r="A4" t="s">
        <v>63</v>
      </c>
      <c r="B4" s="11">
        <v>0.04</v>
      </c>
    </row>
    <row r="5" spans="1:2" x14ac:dyDescent="0.35">
      <c r="A5" t="s">
        <v>64</v>
      </c>
      <c r="B5" s="1">
        <v>45488</v>
      </c>
    </row>
    <row r="6" spans="1:2" x14ac:dyDescent="0.35">
      <c r="A6" t="s">
        <v>65</v>
      </c>
      <c r="B6" s="1">
        <v>45611</v>
      </c>
    </row>
    <row r="7" spans="1:2" x14ac:dyDescent="0.35">
      <c r="A7" t="s">
        <v>69</v>
      </c>
      <c r="B7" s="12">
        <f>(B5-$B$1)/360</f>
        <v>0.25555555555555554</v>
      </c>
    </row>
    <row r="8" spans="1:2" x14ac:dyDescent="0.35">
      <c r="A8" t="s">
        <v>70</v>
      </c>
      <c r="B8" s="12">
        <f>(B6-$B$1)/360</f>
        <v>0.59722222222222221</v>
      </c>
    </row>
    <row r="9" spans="1:2" x14ac:dyDescent="0.35">
      <c r="A9" t="s">
        <v>71</v>
      </c>
      <c r="B9" s="14">
        <f>+(('Cálculo Curva Cero UF'!H7-'Cálculo Curva Cero UF'!H6)/('Cálculo Curva Cero UF'!D7-'Cálculo Curva Cero UF'!D6))*('Valor FRA'!B7-'Cálculo Curva Cero UF'!D6)+'Cálculo Curva Cero UF'!H6</f>
        <v>0.99480013904469922</v>
      </c>
    </row>
    <row r="10" spans="1:2" x14ac:dyDescent="0.35">
      <c r="A10" t="s">
        <v>72</v>
      </c>
      <c r="B10" s="14">
        <f>+(('Cálculo Curva Cero UF'!H8-'Cálculo Curva Cero UF'!H7)/('Cálculo Curva Cero UF'!D8-'Cálculo Curva Cero UF'!D7))*('Valor FRA'!B8-'Cálculo Curva Cero UF'!D7)+'Cálculo Curva Cero UF'!H7</f>
        <v>0.9864134960227029</v>
      </c>
    </row>
    <row r="11" spans="1:2" x14ac:dyDescent="0.35">
      <c r="A11" s="2" t="s">
        <v>66</v>
      </c>
      <c r="B11" s="15">
        <f>+(1/B9)^(1/B7)-1</f>
        <v>2.0609877389164311E-2</v>
      </c>
    </row>
    <row r="12" spans="1:2" x14ac:dyDescent="0.35">
      <c r="A12" s="2" t="s">
        <v>67</v>
      </c>
      <c r="B12" s="15">
        <f>+(1/B10)^(1/B8)-1</f>
        <v>2.3169796627589001E-2</v>
      </c>
    </row>
    <row r="13" spans="1:2" x14ac:dyDescent="0.35">
      <c r="A13" t="s">
        <v>68</v>
      </c>
      <c r="B13" s="16">
        <f>+-B3/(1+B11*B7)+(B3*(1+B4*(B8-B7)))/(1+B12*B8)</f>
        <v>2.5354270858365169E-2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357A-6EA0-4CF7-8C37-D685830F0B34}">
  <dimension ref="A1:G28"/>
  <sheetViews>
    <sheetView zoomScale="59" workbookViewId="0">
      <selection activeCell="A27" sqref="A27"/>
    </sheetView>
  </sheetViews>
  <sheetFormatPr defaultRowHeight="14.5" x14ac:dyDescent="0.35"/>
  <cols>
    <col min="1" max="1" width="22" bestFit="1" customWidth="1"/>
    <col min="2" max="2" width="19.1796875" bestFit="1" customWidth="1"/>
    <col min="3" max="3" width="12.453125" bestFit="1" customWidth="1"/>
    <col min="4" max="4" width="23.6328125" bestFit="1" customWidth="1"/>
    <col min="5" max="5" width="19.6328125" bestFit="1" customWidth="1"/>
    <col min="6" max="6" width="29.54296875" bestFit="1" customWidth="1"/>
    <col min="7" max="7" width="19" bestFit="1" customWidth="1"/>
  </cols>
  <sheetData>
    <row r="1" spans="1:7" x14ac:dyDescent="0.35">
      <c r="A1" t="s">
        <v>75</v>
      </c>
      <c r="B1" s="1">
        <v>45396</v>
      </c>
    </row>
    <row r="2" spans="1:7" x14ac:dyDescent="0.35">
      <c r="A2" t="s">
        <v>81</v>
      </c>
      <c r="B2" s="1">
        <v>45570</v>
      </c>
    </row>
    <row r="3" spans="1:7" x14ac:dyDescent="0.35">
      <c r="A3" t="s">
        <v>83</v>
      </c>
      <c r="B3" s="17">
        <v>9.8000000000000004E-2</v>
      </c>
    </row>
    <row r="4" spans="1:7" x14ac:dyDescent="0.35">
      <c r="A4" t="s">
        <v>26</v>
      </c>
      <c r="B4" s="18">
        <v>25000000000</v>
      </c>
    </row>
    <row r="5" spans="1:7" x14ac:dyDescent="0.35">
      <c r="B5" s="18"/>
    </row>
    <row r="7" spans="1:7" x14ac:dyDescent="0.35">
      <c r="B7" t="s">
        <v>80</v>
      </c>
    </row>
    <row r="8" spans="1:7" x14ac:dyDescent="0.35">
      <c r="A8" t="s">
        <v>37</v>
      </c>
      <c r="B8" t="s">
        <v>84</v>
      </c>
      <c r="C8" t="s">
        <v>25</v>
      </c>
      <c r="D8" t="s">
        <v>41</v>
      </c>
      <c r="E8" t="s">
        <v>82</v>
      </c>
      <c r="F8" t="s">
        <v>86</v>
      </c>
      <c r="G8" t="s">
        <v>88</v>
      </c>
    </row>
    <row r="9" spans="1:7" x14ac:dyDescent="0.35">
      <c r="A9" s="1">
        <f>+DATE(YEAR($B$2),MONTH($B$2)+B9*12,DAY($B$2))</f>
        <v>45752</v>
      </c>
      <c r="B9">
        <v>0.5</v>
      </c>
      <c r="C9" s="13">
        <f>(A9-$B$1)/360</f>
        <v>0.98888888888888893</v>
      </c>
      <c r="D9" s="6">
        <f>(A9-$B$2)/360</f>
        <v>0.50555555555555554</v>
      </c>
      <c r="E9" s="18">
        <f>$B$4*$B$3*D9</f>
        <v>1238611111.1111112</v>
      </c>
      <c r="F9">
        <f>+(('Cálculo Curva Cero Pesos'!H9-'Cálculo Curva Cero Pesos'!H8)/('Cálculo Curva Cero Pesos'!D9-'Cálculo Curva Cero Pesos'!D8))*(C9-'Cálculo Curva Cero Pesos'!D8)+'Cálculo Curva Cero Pesos'!H8</f>
        <v>0.94829149417331049</v>
      </c>
      <c r="G9" s="18">
        <f>F9*E9</f>
        <v>1174564381.2552199</v>
      </c>
    </row>
    <row r="10" spans="1:7" x14ac:dyDescent="0.35">
      <c r="A10" s="1">
        <f t="shared" ref="A10:A12" si="0">+DATE(YEAR($B$2),MONTH($B$2)+B10*12,DAY($B$2))</f>
        <v>45935</v>
      </c>
      <c r="B10">
        <v>1</v>
      </c>
      <c r="C10" s="13">
        <f t="shared" ref="C10:C12" si="1">(A10-$B$1)/360</f>
        <v>1.4972222222222222</v>
      </c>
      <c r="D10" s="6">
        <f>C10-C9</f>
        <v>0.5083333333333333</v>
      </c>
      <c r="E10" s="18">
        <f t="shared" ref="E10:E11" si="2">$B$4*$B$3*D10</f>
        <v>1245416666.6666665</v>
      </c>
      <c r="F10">
        <f>+(('Cálculo Curva Cero Pesos'!H10-'Cálculo Curva Cero Pesos'!H9)/('Cálculo Curva Cero Pesos'!D10-'Cálculo Curva Cero Pesos'!D9))*(C10-'Cálculo Curva Cero Pesos'!D9)+'Cálculo Curva Cero Pesos'!H9</f>
        <v>0.92615868632713338</v>
      </c>
      <c r="G10" s="18">
        <f t="shared" ref="G10:G12" si="3">F10*E10</f>
        <v>1153453463.9299173</v>
      </c>
    </row>
    <row r="11" spans="1:7" x14ac:dyDescent="0.35">
      <c r="A11" s="1">
        <f t="shared" si="0"/>
        <v>46117</v>
      </c>
      <c r="B11">
        <v>1.5</v>
      </c>
      <c r="C11" s="13">
        <f t="shared" si="1"/>
        <v>2.0027777777777778</v>
      </c>
      <c r="D11" s="6">
        <f t="shared" ref="D11:D12" si="4">C11-C10</f>
        <v>0.50555555555555554</v>
      </c>
      <c r="E11" s="18">
        <f t="shared" si="2"/>
        <v>1238611111.1111112</v>
      </c>
      <c r="F11">
        <f>+(('Cálculo Curva Cero Pesos'!H28-'Cálculo Curva Cero Pesos'!H27)/('Cálculo Curva Cero Pesos'!D28-'Cálculo Curva Cero Pesos'!D27))*(C11-'Cálculo Curva Cero Pesos'!D27)+'Cálculo Curva Cero Pesos'!H27</f>
        <v>0.90395936785953568</v>
      </c>
      <c r="G11" s="18">
        <f t="shared" si="3"/>
        <v>1119654117.0237973</v>
      </c>
    </row>
    <row r="12" spans="1:7" x14ac:dyDescent="0.35">
      <c r="A12" s="1">
        <f t="shared" si="0"/>
        <v>46300</v>
      </c>
      <c r="B12">
        <v>2</v>
      </c>
      <c r="C12" s="13">
        <f t="shared" si="1"/>
        <v>2.5111111111111111</v>
      </c>
      <c r="D12" s="6">
        <f t="shared" si="4"/>
        <v>0.5083333333333333</v>
      </c>
      <c r="E12" s="18">
        <f>$B$4*(1+$B$3*D12)</f>
        <v>26245416666.666664</v>
      </c>
      <c r="F12">
        <f>+(('Cálculo Curva Cero Pesos'!H29-'Cálculo Curva Cero Pesos'!H28)/('Cálculo Curva Cero Pesos'!D29-'Cálculo Curva Cero Pesos'!D28))*(C12-'Cálculo Curva Cero Pesos'!D28)+'Cálculo Curva Cero Pesos'!H28</f>
        <v>0.88239521070416871</v>
      </c>
      <c r="G12" s="18">
        <f t="shared" si="3"/>
        <v>23158829969.602032</v>
      </c>
    </row>
    <row r="13" spans="1:7" x14ac:dyDescent="0.35">
      <c r="A13" s="1"/>
      <c r="C13" s="13"/>
      <c r="D13" s="6"/>
      <c r="E13" s="18"/>
      <c r="G13" s="18"/>
    </row>
    <row r="14" spans="1:7" x14ac:dyDescent="0.35">
      <c r="A14" s="1"/>
      <c r="C14" s="13"/>
      <c r="D14" s="6"/>
      <c r="E14" s="18"/>
      <c r="G14" s="18"/>
    </row>
    <row r="15" spans="1:7" x14ac:dyDescent="0.35">
      <c r="A15" s="1"/>
      <c r="C15" s="13"/>
      <c r="D15" s="6"/>
      <c r="E15" s="18"/>
      <c r="G15" s="18"/>
    </row>
    <row r="16" spans="1:7" x14ac:dyDescent="0.35">
      <c r="B16" s="1" t="s">
        <v>89</v>
      </c>
      <c r="C16" t="s">
        <v>86</v>
      </c>
      <c r="D16" s="6"/>
      <c r="E16" s="18"/>
      <c r="G16" s="18"/>
    </row>
    <row r="17" spans="1:7" x14ac:dyDescent="0.35">
      <c r="A17" s="1" t="s">
        <v>90</v>
      </c>
      <c r="B17">
        <f>(B2-B1)/360</f>
        <v>0.48333333333333334</v>
      </c>
      <c r="C17" s="13">
        <f>+(('Cálculo Curva Cero Pesos'!H4-'Cálculo Curva Cero Pesos'!H6)/('Cálculo Curva Cero Pesos'!D4-'Cálculo Curva Cero Pesos'!D6))*(B17-'Cálculo Curva Cero Pesos'!D6)+'Cálculo Curva Cero Pesos'!H4</f>
        <v>0.9801123360024937</v>
      </c>
      <c r="D17" s="6"/>
      <c r="E17" s="18"/>
      <c r="G17" s="18"/>
    </row>
    <row r="18" spans="1:7" x14ac:dyDescent="0.35">
      <c r="A18" s="1"/>
      <c r="C18" s="13"/>
      <c r="D18" s="6"/>
      <c r="E18" s="18"/>
      <c r="G18" s="18"/>
    </row>
    <row r="19" spans="1:7" x14ac:dyDescent="0.35">
      <c r="A19" s="1"/>
      <c r="C19" s="13"/>
      <c r="D19" s="6"/>
      <c r="E19" s="18"/>
      <c r="G19" s="18"/>
    </row>
    <row r="20" spans="1:7" x14ac:dyDescent="0.35">
      <c r="A20" s="1"/>
      <c r="C20" s="13"/>
      <c r="D20" s="6"/>
      <c r="E20" s="18"/>
      <c r="G20" s="18"/>
    </row>
    <row r="22" spans="1:7" x14ac:dyDescent="0.35">
      <c r="A22" t="s">
        <v>85</v>
      </c>
      <c r="B22" t="s">
        <v>87</v>
      </c>
    </row>
    <row r="23" spans="1:7" x14ac:dyDescent="0.35">
      <c r="A23" s="18">
        <f>SUM(G9:G12)</f>
        <v>26606501931.810966</v>
      </c>
      <c r="B23" s="18">
        <f>B4*C17</f>
        <v>24502808400.062344</v>
      </c>
    </row>
    <row r="24" spans="1:7" x14ac:dyDescent="0.35">
      <c r="A24" s="18"/>
      <c r="B24" s="18"/>
    </row>
    <row r="25" spans="1:7" x14ac:dyDescent="0.35">
      <c r="A25" s="18"/>
      <c r="B25" s="18"/>
    </row>
    <row r="27" spans="1:7" x14ac:dyDescent="0.35">
      <c r="A27" s="2" t="s">
        <v>91</v>
      </c>
    </row>
    <row r="28" spans="1:7" x14ac:dyDescent="0.35">
      <c r="A28" s="19">
        <f>B23-A23</f>
        <v>-2103693531.7486229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Supuestos y convenciones</vt:lpstr>
      <vt:lpstr>Tasas Swap CLP vs Camara</vt:lpstr>
      <vt:lpstr>Cálculo Curva Cero Pesos</vt:lpstr>
      <vt:lpstr>Tasas XCCY UF vs Camara</vt:lpstr>
      <vt:lpstr>Cálculo Curva Cero UF</vt:lpstr>
      <vt:lpstr>Valor FRA</vt:lpstr>
      <vt:lpstr>Valor Forward starting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Alberto Herrera Gonzalez</dc:creator>
  <cp:lastModifiedBy>Oscar Alberto Herrera González</cp:lastModifiedBy>
  <dcterms:created xsi:type="dcterms:W3CDTF">2024-04-02T01:42:38Z</dcterms:created>
  <dcterms:modified xsi:type="dcterms:W3CDTF">2024-12-23T01:46:29Z</dcterms:modified>
</cp:coreProperties>
</file>