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4"/>
  <workbookPr/>
  <mc:AlternateContent xmlns:mc="http://schemas.openxmlformats.org/markup-compatibility/2006">
    <mc:Choice Requires="x15">
      <x15ac:absPath xmlns:x15ac="http://schemas.microsoft.com/office/spreadsheetml/2010/11/ac" url="https://missionafellowship-my.sharepoint.com/personal/owidmer_maf_org/Documents/Documents/02 MAF/01 MAF US/04 Technical/Open As App/"/>
    </mc:Choice>
  </mc:AlternateContent>
  <xr:revisionPtr revIDLastSave="225" documentId="13_ncr:1_{1E239623-8CDF-4F5C-9B14-FBEB3516EFE3}" xr6:coauthVersionLast="47" xr6:coauthVersionMax="47" xr10:uidLastSave="{D62DA05F-E380-409B-A41E-3E0EFE486988}"/>
  <bookViews>
    <workbookView xWindow="-108" yWindow="-108" windowWidth="23256" windowHeight="12576" xr2:uid="{00000000-000D-0000-FFFF-FFFF00000000}"/>
  </bookViews>
  <sheets>
    <sheet name="206" sheetId="18" r:id="rId1"/>
    <sheet name="206 W&amp;B Fuel Calculator" sheetId="38" r:id="rId2"/>
    <sheet name="206 Wind Slope" sheetId="37" r:id="rId3"/>
    <sheet name="206 WT Interpolation" sheetId="1" r:id="rId4"/>
    <sheet name="206 Gnd Roll All WT" sheetId="34" r:id="rId5"/>
    <sheet name="206 50ft All WT" sheetId="35" r:id="rId6"/>
    <sheet name="206 Landing Performance" sheetId="20" r:id="rId7"/>
    <sheet name="DA Calculation" sheetId="12" r:id="rId8"/>
    <sheet name="172" sheetId="21" r:id="rId9"/>
    <sheet name="172 Wind Slope Margin" sheetId="36" r:id="rId10"/>
    <sheet name="172 WT Interpolation" sheetId="22" r:id="rId11"/>
    <sheet name="172 Gnd Roll All WT" sheetId="32" r:id="rId12"/>
    <sheet name="172 50ft All WT" sheetId="33" r:id="rId13"/>
    <sheet name="172 Landing Performance" sheetId="31" r:id="rId14"/>
  </sheets>
  <calcPr calcId="191028"/>
  <customWorkbookViews>
    <customWorkbookView name="User Mask" guid="{A2505430-CCF1-4597-83D2-DC6893397C3D}" maximized="1" xWindow="-11" yWindow="-11" windowWidth="2582" windowHeight="1402" activeSheetId="1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38" l="1"/>
  <c r="J12" i="38"/>
  <c r="C33" i="38"/>
  <c r="B28" i="38"/>
  <c r="C28" i="38" s="1"/>
  <c r="B29" i="38"/>
  <c r="C29" i="38" s="1"/>
  <c r="B30" i="38"/>
  <c r="C30" i="38" s="1"/>
  <c r="B27" i="38"/>
  <c r="C27" i="38" s="1"/>
  <c r="E8" i="38"/>
  <c r="D8" i="38" s="1"/>
  <c r="E9" i="38"/>
  <c r="D9" i="38" s="1"/>
  <c r="E10" i="38"/>
  <c r="D10" i="38" s="1"/>
  <c r="E7" i="38"/>
  <c r="D7" i="38" s="1"/>
  <c r="D11" i="38"/>
  <c r="C6" i="38"/>
  <c r="B6" i="38"/>
  <c r="I8" i="38"/>
  <c r="J8" i="38"/>
  <c r="H8" i="38"/>
  <c r="B11" i="12"/>
  <c r="B12" i="12" s="1"/>
  <c r="B10" i="12"/>
  <c r="F15" i="12"/>
  <c r="E15" i="12"/>
  <c r="B14" i="12"/>
  <c r="B6" i="12"/>
  <c r="C7" i="18"/>
  <c r="C7" i="21"/>
  <c r="B7" i="21"/>
  <c r="C48" i="36"/>
  <c r="B46" i="36"/>
  <c r="B49" i="37"/>
  <c r="C31" i="37"/>
  <c r="C32" i="37" s="1"/>
  <c r="B31" i="37"/>
  <c r="B32" i="37" s="1"/>
  <c r="C25" i="37"/>
  <c r="B25" i="37"/>
  <c r="C15" i="37"/>
  <c r="C16" i="37" s="1"/>
  <c r="B15" i="37"/>
  <c r="B16" i="37" s="1"/>
  <c r="C10" i="37"/>
  <c r="C11" i="37" s="1"/>
  <c r="B10" i="37"/>
  <c r="B11" i="37" s="1"/>
  <c r="C6" i="37"/>
  <c r="B9" i="36"/>
  <c r="B10" i="36" s="1"/>
  <c r="C9" i="36"/>
  <c r="C10" i="36" s="1"/>
  <c r="C14" i="36"/>
  <c r="C15" i="36" s="1"/>
  <c r="B14" i="36"/>
  <c r="B15" i="36" s="1"/>
  <c r="C32" i="36"/>
  <c r="C33" i="36" s="1"/>
  <c r="B32" i="36"/>
  <c r="B33" i="36" s="1"/>
  <c r="C26" i="36"/>
  <c r="B26" i="36"/>
  <c r="J19" i="22"/>
  <c r="J13" i="22"/>
  <c r="J18" i="22"/>
  <c r="N17" i="31"/>
  <c r="N32" i="31" s="1" a="1"/>
  <c r="N32" i="31" s="1"/>
  <c r="M17" i="31"/>
  <c r="N23" i="31" s="1" a="1"/>
  <c r="N23" i="31" s="1"/>
  <c r="B17" i="31"/>
  <c r="B32" i="31" s="1" a="1"/>
  <c r="B32" i="31" s="1"/>
  <c r="A17" i="31"/>
  <c r="N26" i="31"/>
  <c r="N25" i="31"/>
  <c r="B26" i="31"/>
  <c r="B25" i="31"/>
  <c r="AC17" i="35"/>
  <c r="T17" i="35"/>
  <c r="K17" i="35"/>
  <c r="B17" i="35"/>
  <c r="B26" i="20"/>
  <c r="B25" i="20"/>
  <c r="B17" i="20"/>
  <c r="B32" i="20" s="1" a="1"/>
  <c r="B32" i="20" s="1"/>
  <c r="B32" i="38" l="1"/>
  <c r="B34" i="38" s="1"/>
  <c r="C32" i="38"/>
  <c r="C34" i="38" s="1"/>
  <c r="D6" i="38"/>
  <c r="D15" i="38"/>
  <c r="D13" i="38"/>
  <c r="D12" i="38"/>
  <c r="N22" i="31"/>
  <c r="N28" i="31" s="1"/>
  <c r="N31" i="31"/>
  <c r="N47" i="31" s="1"/>
  <c r="B22" i="31"/>
  <c r="B28" i="31" s="1"/>
  <c r="B23" i="31" a="1"/>
  <c r="B23" i="31" s="1"/>
  <c r="B31" i="31"/>
  <c r="B31" i="20"/>
  <c r="C22" i="38" l="1"/>
  <c r="B22" i="38"/>
  <c r="D7" i="18" s="1"/>
  <c r="H16" i="38"/>
  <c r="D14" i="38"/>
  <c r="D16" i="38"/>
  <c r="D18" i="38"/>
  <c r="N42" i="31"/>
  <c r="N34" i="31"/>
  <c r="N35" i="31"/>
  <c r="N29" i="31"/>
  <c r="B34" i="31"/>
  <c r="B35" i="31"/>
  <c r="B47" i="31"/>
  <c r="B29" i="31"/>
  <c r="B42" i="31"/>
  <c r="B35" i="20"/>
  <c r="B34" i="20"/>
  <c r="B47" i="20"/>
  <c r="B39" i="31" a="1"/>
  <c r="N37" i="31" a="1"/>
  <c r="B37" i="31" a="1"/>
  <c r="N39" i="31" a="1"/>
  <c r="D17" i="38" l="1"/>
  <c r="D20" i="38" s="1"/>
  <c r="C20" i="38" s="1"/>
  <c r="B23" i="38" s="1"/>
  <c r="N37" i="31"/>
  <c r="N39" i="31"/>
  <c r="B39" i="31"/>
  <c r="B37" i="31"/>
  <c r="N40" i="31" a="1"/>
  <c r="B38" i="31" a="1"/>
  <c r="N38" i="31" a="1"/>
  <c r="B40" i="31" a="1"/>
  <c r="G16" i="38" l="1"/>
  <c r="K12" i="38" s="1"/>
  <c r="G18" i="38" s="1"/>
  <c r="G19" i="38"/>
  <c r="G20" i="38"/>
  <c r="N38" i="31"/>
  <c r="N44" i="31" s="1"/>
  <c r="N40" i="31"/>
  <c r="N45" i="31" s="1"/>
  <c r="B38" i="31"/>
  <c r="B44" i="31" s="1"/>
  <c r="B40" i="31"/>
  <c r="B45" i="31" s="1"/>
  <c r="AC17" i="34"/>
  <c r="AC31" i="34" s="1"/>
  <c r="AC34" i="34" s="1"/>
  <c r="T17" i="34"/>
  <c r="T31" i="34" s="1"/>
  <c r="T34" i="34" s="1"/>
  <c r="K17" i="34"/>
  <c r="K32" i="34" s="1" a="1"/>
  <c r="K32" i="34" s="1"/>
  <c r="B17" i="34"/>
  <c r="B32" i="34" s="1" a="1"/>
  <c r="B32" i="34" s="1"/>
  <c r="T32" i="35" a="1"/>
  <c r="T32" i="35" s="1"/>
  <c r="K32" i="35" a="1"/>
  <c r="K32" i="35" s="1"/>
  <c r="B32" i="35" a="1"/>
  <c r="B32" i="35" s="1"/>
  <c r="AC31" i="35"/>
  <c r="AC34" i="35" s="1"/>
  <c r="T31" i="35"/>
  <c r="T35" i="35" s="1"/>
  <c r="K31" i="35"/>
  <c r="K47" i="35" s="1"/>
  <c r="B31" i="35"/>
  <c r="B47" i="35" s="1"/>
  <c r="AC26" i="35"/>
  <c r="T26" i="35"/>
  <c r="K26" i="35"/>
  <c r="B26" i="35"/>
  <c r="AC25" i="35"/>
  <c r="T25" i="35"/>
  <c r="K25" i="35"/>
  <c r="B25" i="35"/>
  <c r="AC32" i="35" a="1"/>
  <c r="AC32" i="35" s="1"/>
  <c r="AC32" i="34" a="1"/>
  <c r="AC32" i="34" s="1"/>
  <c r="T32" i="34" a="1"/>
  <c r="T32" i="34" s="1"/>
  <c r="AC26" i="34"/>
  <c r="T26" i="34"/>
  <c r="K26" i="34"/>
  <c r="B26" i="34"/>
  <c r="AC25" i="34"/>
  <c r="T25" i="34"/>
  <c r="K25" i="34"/>
  <c r="B25" i="34"/>
  <c r="AC26" i="33"/>
  <c r="T26" i="33"/>
  <c r="K26" i="33"/>
  <c r="B26" i="33"/>
  <c r="AC25" i="33"/>
  <c r="T25" i="33"/>
  <c r="K25" i="33"/>
  <c r="B25" i="33"/>
  <c r="AC26" i="32"/>
  <c r="AC25" i="32"/>
  <c r="T26" i="32"/>
  <c r="T25" i="32"/>
  <c r="K26" i="32"/>
  <c r="K25" i="32"/>
  <c r="B26" i="32"/>
  <c r="B25" i="32"/>
  <c r="C23" i="38" l="1"/>
  <c r="B49" i="31"/>
  <c r="B51" i="31" s="1"/>
  <c r="B19" i="31" s="1"/>
  <c r="A57" i="31" s="1"/>
  <c r="N49" i="31"/>
  <c r="N51" i="31" s="1"/>
  <c r="N19" i="31" s="1"/>
  <c r="Q22" i="31" s="1"/>
  <c r="R22" i="31" s="1"/>
  <c r="B31" i="34"/>
  <c r="B47" i="34" s="1"/>
  <c r="B34" i="35"/>
  <c r="AC35" i="35"/>
  <c r="AC47" i="35"/>
  <c r="K31" i="34"/>
  <c r="K47" i="34" s="1"/>
  <c r="K34" i="35"/>
  <c r="T35" i="34"/>
  <c r="T47" i="34"/>
  <c r="T34" i="35"/>
  <c r="AC35" i="34"/>
  <c r="AC47" i="34"/>
  <c r="B35" i="35"/>
  <c r="K35" i="35"/>
  <c r="T47" i="35"/>
  <c r="I13" i="22"/>
  <c r="H13" i="22"/>
  <c r="G13" i="22"/>
  <c r="F13" i="22"/>
  <c r="E13" i="22"/>
  <c r="D13" i="22"/>
  <c r="C13" i="22"/>
  <c r="B13" i="22"/>
  <c r="C18" i="22"/>
  <c r="D18" i="22"/>
  <c r="E18" i="22"/>
  <c r="F18" i="22"/>
  <c r="G18" i="22"/>
  <c r="H18" i="22"/>
  <c r="I18" i="22"/>
  <c r="B18" i="22"/>
  <c r="I19" i="22"/>
  <c r="H19" i="22"/>
  <c r="G19" i="22"/>
  <c r="F19" i="22"/>
  <c r="E19" i="22"/>
  <c r="D19" i="22"/>
  <c r="C19" i="22"/>
  <c r="B19" i="22"/>
  <c r="B19" i="1"/>
  <c r="Q23" i="31" l="1"/>
  <c r="J8" i="22" s="1"/>
  <c r="R23" i="31"/>
  <c r="J7" i="22" s="1"/>
  <c r="S22" i="31"/>
  <c r="B34" i="34"/>
  <c r="B35" i="34"/>
  <c r="K34" i="34"/>
  <c r="K35" i="34"/>
  <c r="B17" i="33"/>
  <c r="K17" i="32"/>
  <c r="AC17" i="32"/>
  <c r="B17" i="32"/>
  <c r="K17" i="33"/>
  <c r="T17" i="32"/>
  <c r="T17" i="33"/>
  <c r="AC17" i="33"/>
  <c r="S17" i="33"/>
  <c r="AB17" i="32"/>
  <c r="AB17" i="33"/>
  <c r="A17" i="33"/>
  <c r="J17" i="32"/>
  <c r="J17" i="33"/>
  <c r="S17" i="32"/>
  <c r="A17" i="32"/>
  <c r="A63" i="31"/>
  <c r="B63" i="31"/>
  <c r="B64" i="31"/>
  <c r="C64" i="31" s="1"/>
  <c r="C74" i="31" s="1"/>
  <c r="B71" i="31"/>
  <c r="C71" i="31"/>
  <c r="E73" i="31" s="1"/>
  <c r="D71" i="31"/>
  <c r="E71" i="31"/>
  <c r="B72" i="31"/>
  <c r="B73" i="31" s="1"/>
  <c r="C72" i="31"/>
  <c r="D72" i="31"/>
  <c r="E72" i="31"/>
  <c r="S23" i="31" l="1"/>
  <c r="J6" i="22" s="1"/>
  <c r="T22" i="31"/>
  <c r="T23" i="31" s="1"/>
  <c r="J5" i="22" s="1"/>
  <c r="C73" i="31"/>
  <c r="D73" i="31"/>
  <c r="T31" i="33"/>
  <c r="T47" i="33" s="1"/>
  <c r="T32" i="33" a="1"/>
  <c r="T32" i="33" s="1"/>
  <c r="T32" i="32" a="1"/>
  <c r="T32" i="32" s="1"/>
  <c r="T31" i="32"/>
  <c r="K32" i="33" a="1"/>
  <c r="K32" i="33" s="1"/>
  <c r="K31" i="33"/>
  <c r="B32" i="32" a="1"/>
  <c r="B32" i="32" s="1"/>
  <c r="B31" i="32"/>
  <c r="AC32" i="32" a="1"/>
  <c r="AC32" i="32" s="1"/>
  <c r="AC31" i="32"/>
  <c r="AC31" i="33"/>
  <c r="AC32" i="33" a="1"/>
  <c r="AC32" i="33" s="1"/>
  <c r="K32" i="32" a="1"/>
  <c r="K32" i="32" s="1"/>
  <c r="K31" i="32"/>
  <c r="B32" i="33" a="1"/>
  <c r="B32" i="33" s="1"/>
  <c r="B31" i="33"/>
  <c r="T22" i="32"/>
  <c r="T23" i="32" a="1"/>
  <c r="T23" i="32" s="1"/>
  <c r="B23" i="33" a="1"/>
  <c r="B23" i="33" s="1"/>
  <c r="B22" i="33"/>
  <c r="B28" i="33" s="1"/>
  <c r="AC22" i="33"/>
  <c r="AC28" i="33" s="1"/>
  <c r="AC23" i="33" a="1"/>
  <c r="AC23" i="33" s="1"/>
  <c r="K23" i="33" a="1"/>
  <c r="K23" i="33" s="1"/>
  <c r="K22" i="33"/>
  <c r="K23" i="32" a="1"/>
  <c r="K23" i="32" s="1"/>
  <c r="K22" i="32"/>
  <c r="AC23" i="32" a="1"/>
  <c r="AC23" i="32" s="1"/>
  <c r="AC22" i="32"/>
  <c r="B22" i="32"/>
  <c r="B28" i="32" s="1"/>
  <c r="B23" i="32" a="1"/>
  <c r="B23" i="32" s="1"/>
  <c r="T23" i="33" a="1"/>
  <c r="T23" i="33" s="1"/>
  <c r="T22" i="33"/>
  <c r="B57" i="31"/>
  <c r="B58" i="31" s="1"/>
  <c r="C75" i="31"/>
  <c r="C76" i="31" s="1"/>
  <c r="C62" i="31" s="1"/>
  <c r="C63" i="31" s="1"/>
  <c r="B74" i="31"/>
  <c r="B75" i="31" s="1"/>
  <c r="B76" i="31" s="1"/>
  <c r="A64" i="31"/>
  <c r="E74" i="31" s="1"/>
  <c r="E75" i="31" s="1"/>
  <c r="E76" i="31" s="1"/>
  <c r="D64" i="31"/>
  <c r="D74" i="31" s="1"/>
  <c r="D75" i="31" s="1"/>
  <c r="D76" i="31" s="1"/>
  <c r="D62" i="31" s="1"/>
  <c r="D63" i="31" s="1"/>
  <c r="B10" i="22"/>
  <c r="C10" i="22" l="1"/>
  <c r="D10" i="22" s="1"/>
  <c r="J24" i="22"/>
  <c r="I24" i="22"/>
  <c r="H24" i="22"/>
  <c r="G24" i="22"/>
  <c r="AC42" i="33"/>
  <c r="F24" i="22"/>
  <c r="C24" i="22"/>
  <c r="B24" i="22"/>
  <c r="AC47" i="32"/>
  <c r="AC35" i="32"/>
  <c r="AC34" i="32"/>
  <c r="AC35" i="33"/>
  <c r="AC34" i="33"/>
  <c r="B34" i="32"/>
  <c r="B35" i="32"/>
  <c r="B47" i="32"/>
  <c r="K47" i="33"/>
  <c r="K34" i="33"/>
  <c r="K35" i="33"/>
  <c r="T47" i="32"/>
  <c r="T35" i="32"/>
  <c r="T34" i="32"/>
  <c r="AC47" i="33"/>
  <c r="K35" i="32"/>
  <c r="K47" i="32"/>
  <c r="K34" i="32"/>
  <c r="B47" i="33"/>
  <c r="B34" i="33"/>
  <c r="B35" i="33"/>
  <c r="T34" i="33"/>
  <c r="T35" i="33"/>
  <c r="AC28" i="32"/>
  <c r="AC42" i="32"/>
  <c r="B42" i="32"/>
  <c r="K28" i="32"/>
  <c r="K42" i="32"/>
  <c r="AC29" i="33"/>
  <c r="B42" i="33"/>
  <c r="B29" i="33"/>
  <c r="B29" i="32"/>
  <c r="T28" i="33"/>
  <c r="T42" i="33"/>
  <c r="K42" i="33"/>
  <c r="K28" i="33"/>
  <c r="T28" i="32"/>
  <c r="T42" i="32"/>
  <c r="C57" i="31"/>
  <c r="C58" i="31" s="1"/>
  <c r="A58" i="31"/>
  <c r="E10" i="22"/>
  <c r="F10" i="22" s="1"/>
  <c r="G10" i="22" s="1"/>
  <c r="H10" i="22" s="1"/>
  <c r="I10" i="22" s="1"/>
  <c r="J10" i="22" s="1"/>
  <c r="D24" i="22"/>
  <c r="E24" i="22"/>
  <c r="AC40" i="33" a="1"/>
  <c r="AC39" i="33" a="1"/>
  <c r="B37" i="32" a="1"/>
  <c r="K39" i="32" a="1"/>
  <c r="B38" i="33" a="1"/>
  <c r="B40" i="33" a="1"/>
  <c r="T39" i="32" a="1"/>
  <c r="B39" i="32" a="1"/>
  <c r="AC37" i="32" a="1"/>
  <c r="AC38" i="33" a="1"/>
  <c r="T37" i="33" a="1"/>
  <c r="AC37" i="33" a="1"/>
  <c r="B40" i="32" a="1"/>
  <c r="AC39" i="32" a="1"/>
  <c r="K37" i="32" a="1"/>
  <c r="T37" i="32" a="1"/>
  <c r="B37" i="33" a="1"/>
  <c r="B38" i="32" a="1"/>
  <c r="K37" i="33" a="1"/>
  <c r="K39" i="33" a="1"/>
  <c r="B39" i="33" a="1"/>
  <c r="T39" i="33" a="1"/>
  <c r="G15" i="22" l="1"/>
  <c r="G16" i="22" s="1"/>
  <c r="J15" i="22"/>
  <c r="I15" i="22"/>
  <c r="I16" i="22" s="1"/>
  <c r="F15" i="22"/>
  <c r="F16" i="22" s="1"/>
  <c r="B15" i="22"/>
  <c r="B16" i="22" s="1"/>
  <c r="C15" i="22"/>
  <c r="C16" i="22" s="1"/>
  <c r="D15" i="22"/>
  <c r="D16" i="22" s="1"/>
  <c r="E15" i="22"/>
  <c r="H15" i="22"/>
  <c r="H16" i="22" s="1"/>
  <c r="B37" i="32"/>
  <c r="AC37" i="33"/>
  <c r="AC39" i="33"/>
  <c r="B39" i="32"/>
  <c r="B37" i="33"/>
  <c r="B39" i="33"/>
  <c r="B38" i="33"/>
  <c r="B40" i="33"/>
  <c r="K39" i="32"/>
  <c r="K37" i="32"/>
  <c r="B38" i="32"/>
  <c r="B40" i="32"/>
  <c r="AC37" i="32"/>
  <c r="AC39" i="32"/>
  <c r="K39" i="33"/>
  <c r="K37" i="33"/>
  <c r="AC40" i="33"/>
  <c r="AC38" i="33"/>
  <c r="T39" i="32"/>
  <c r="T37" i="32"/>
  <c r="T37" i="33"/>
  <c r="T39" i="33"/>
  <c r="K29" i="32"/>
  <c r="AC29" i="32"/>
  <c r="K29" i="33"/>
  <c r="T29" i="32"/>
  <c r="T29" i="33"/>
  <c r="D57" i="31"/>
  <c r="D58" i="31" s="1"/>
  <c r="H21" i="22" a="1"/>
  <c r="T38" i="32" a="1"/>
  <c r="K38" i="32" a="1"/>
  <c r="T38" i="33" a="1"/>
  <c r="G21" i="22" a="1"/>
  <c r="D21" i="22" a="1"/>
  <c r="T40" i="33" a="1"/>
  <c r="K40" i="33" a="1"/>
  <c r="H22" i="22" a="1"/>
  <c r="AC40" i="32" a="1"/>
  <c r="D22" i="22" a="1"/>
  <c r="B25" i="22" a="1"/>
  <c r="AC38" i="32" a="1"/>
  <c r="T40" i="32" a="1"/>
  <c r="C25" i="22" a="1"/>
  <c r="G22" i="22" a="1"/>
  <c r="E21" i="22" a="1"/>
  <c r="K40" i="32" a="1"/>
  <c r="F22" i="22" a="1"/>
  <c r="K38" i="33" a="1"/>
  <c r="F21" i="22" a="1"/>
  <c r="J25" i="22" a="1"/>
  <c r="D25" i="22" a="1"/>
  <c r="B45" i="33" l="1"/>
  <c r="J25" i="22"/>
  <c r="G21" i="22"/>
  <c r="E21" i="22"/>
  <c r="D21" i="22"/>
  <c r="F21" i="22"/>
  <c r="E16" i="22"/>
  <c r="B44" i="33"/>
  <c r="AC44" i="33"/>
  <c r="B45" i="32"/>
  <c r="B44" i="32"/>
  <c r="H21" i="22"/>
  <c r="AC45" i="33"/>
  <c r="K40" i="33"/>
  <c r="K45" i="33" s="1"/>
  <c r="K38" i="33"/>
  <c r="K44" i="33" s="1"/>
  <c r="T38" i="33"/>
  <c r="T44" i="33" s="1"/>
  <c r="T40" i="33"/>
  <c r="T45" i="33" s="1"/>
  <c r="T40" i="32"/>
  <c r="T45" i="32" s="1"/>
  <c r="T38" i="32"/>
  <c r="T44" i="32" s="1"/>
  <c r="AC40" i="32"/>
  <c r="AC45" i="32" s="1"/>
  <c r="AC38" i="32"/>
  <c r="AC44" i="32" s="1"/>
  <c r="K38" i="32"/>
  <c r="K44" i="32" s="1"/>
  <c r="K40" i="32"/>
  <c r="K45" i="32" s="1"/>
  <c r="F22" i="22"/>
  <c r="D22" i="22"/>
  <c r="H22" i="22"/>
  <c r="G22" i="22"/>
  <c r="B25" i="22"/>
  <c r="B27" i="22" s="1"/>
  <c r="C25" i="22"/>
  <c r="C27" i="22" s="1"/>
  <c r="D25" i="22"/>
  <c r="D27" i="22" s="1"/>
  <c r="B29" i="22"/>
  <c r="C29" i="22"/>
  <c r="D29" i="22"/>
  <c r="E29" i="22"/>
  <c r="F29" i="22"/>
  <c r="G29" i="22"/>
  <c r="H29" i="22"/>
  <c r="I29" i="22"/>
  <c r="F14" i="21"/>
  <c r="E22" i="22" a="1"/>
  <c r="F25" i="22" a="1"/>
  <c r="G25" i="22" a="1"/>
  <c r="E25" i="22" a="1"/>
  <c r="I25" i="22" a="1"/>
  <c r="H25" i="22" a="1"/>
  <c r="B49" i="33" l="1"/>
  <c r="B51" i="33" s="1"/>
  <c r="B19" i="33" s="1"/>
  <c r="C8" i="22" s="1"/>
  <c r="E22" i="22"/>
  <c r="AC49" i="33"/>
  <c r="AC51" i="33" s="1"/>
  <c r="AC19" i="33" s="1"/>
  <c r="C5" i="22" s="1"/>
  <c r="B49" i="32"/>
  <c r="B51" i="32" s="1"/>
  <c r="B19" i="32" s="1"/>
  <c r="B8" i="22" s="1"/>
  <c r="T49" i="33"/>
  <c r="T51" i="33" s="1"/>
  <c r="T19" i="33" s="1"/>
  <c r="C6" i="22" s="1"/>
  <c r="AC49" i="32"/>
  <c r="AC51" i="32" s="1"/>
  <c r="AC19" i="32" s="1"/>
  <c r="B5" i="22" s="1"/>
  <c r="T49" i="32"/>
  <c r="T51" i="32" s="1"/>
  <c r="T19" i="32" s="1"/>
  <c r="B6" i="22" s="1"/>
  <c r="K49" i="32"/>
  <c r="K51" i="32" s="1"/>
  <c r="K19" i="32" s="1"/>
  <c r="B7" i="22" s="1"/>
  <c r="K49" i="33"/>
  <c r="K51" i="33" s="1"/>
  <c r="K19" i="33" s="1"/>
  <c r="C7" i="22" s="1"/>
  <c r="H25" i="22"/>
  <c r="H27" i="22" s="1"/>
  <c r="H31" i="22" s="1"/>
  <c r="H32" i="22" s="1"/>
  <c r="H11" i="22" s="1"/>
  <c r="F25" i="22"/>
  <c r="F27" i="22" s="1"/>
  <c r="F31" i="22" s="1"/>
  <c r="F32" i="22" s="1"/>
  <c r="F11" i="22" s="1"/>
  <c r="E25" i="22"/>
  <c r="E27" i="22" s="1"/>
  <c r="G25" i="22"/>
  <c r="G27" i="22" s="1"/>
  <c r="G31" i="22" s="1"/>
  <c r="G32" i="22" s="1"/>
  <c r="G11" i="22" s="1"/>
  <c r="I25" i="22"/>
  <c r="I27" i="22" s="1"/>
  <c r="D31" i="22"/>
  <c r="D32" i="22" s="1"/>
  <c r="D11" i="22" s="1"/>
  <c r="C21" i="22" a="1"/>
  <c r="B22" i="22" a="1"/>
  <c r="C22" i="22" a="1"/>
  <c r="B21" i="22" a="1"/>
  <c r="E31" i="22" l="1"/>
  <c r="E32" i="22" s="1"/>
  <c r="E11" i="22" s="1"/>
  <c r="J29" i="22"/>
  <c r="J27" i="22"/>
  <c r="J16" i="22"/>
  <c r="C22" i="22"/>
  <c r="C21" i="22"/>
  <c r="B21" i="22"/>
  <c r="B22" i="22"/>
  <c r="J22" i="22" a="1"/>
  <c r="J21" i="22" a="1"/>
  <c r="B31" i="22" l="1"/>
  <c r="B32" i="22" s="1"/>
  <c r="B11" i="22" s="1"/>
  <c r="B5" i="36" s="1"/>
  <c r="B11" i="36" s="1"/>
  <c r="J21" i="22"/>
  <c r="J22" i="22"/>
  <c r="C31" i="22"/>
  <c r="C32" i="22" s="1"/>
  <c r="C11" i="22" s="1"/>
  <c r="B16" i="36" l="1"/>
  <c r="B6" i="36"/>
  <c r="J31" i="22"/>
  <c r="J32" i="22" s="1"/>
  <c r="J11" i="22" s="1"/>
  <c r="I6" i="22"/>
  <c r="I5" i="22"/>
  <c r="I8" i="22"/>
  <c r="I7" i="22"/>
  <c r="I21" i="22" a="1"/>
  <c r="I22" i="22" a="1"/>
  <c r="B19" i="36" l="1"/>
  <c r="B22" i="36" s="1"/>
  <c r="C29" i="37"/>
  <c r="C36" i="37"/>
  <c r="C6" i="36"/>
  <c r="I22" i="22"/>
  <c r="I21" i="22"/>
  <c r="B28" i="36" l="1"/>
  <c r="B35" i="36"/>
  <c r="B27" i="36"/>
  <c r="B34" i="36"/>
  <c r="C41" i="37"/>
  <c r="C47" i="37" s="1"/>
  <c r="I31" i="22"/>
  <c r="I32" i="22" s="1"/>
  <c r="I11" i="22" s="1"/>
  <c r="G21" i="21"/>
  <c r="D23" i="21"/>
  <c r="B39" i="36" l="1"/>
  <c r="B42" i="36"/>
  <c r="B47" i="36" s="1"/>
  <c r="C5" i="36"/>
  <c r="C23" i="21"/>
  <c r="B23" i="21"/>
  <c r="C17" i="36" l="1"/>
  <c r="C23" i="36"/>
  <c r="C30" i="36" s="1"/>
  <c r="B51" i="36"/>
  <c r="B55" i="36" s="1"/>
  <c r="B14" i="21" s="1"/>
  <c r="D14" i="21" s="1"/>
  <c r="B54" i="36"/>
  <c r="B11" i="21" s="1"/>
  <c r="D11" i="21" s="1"/>
  <c r="C36" i="36"/>
  <c r="C12" i="36"/>
  <c r="C29" i="36"/>
  <c r="D20" i="21"/>
  <c r="D18" i="21" s="1"/>
  <c r="D19" i="21" s="1"/>
  <c r="C37" i="36" l="1"/>
  <c r="C40" i="36" s="1"/>
  <c r="C20" i="36"/>
  <c r="C43" i="36" s="1"/>
  <c r="C57" i="36" s="1"/>
  <c r="I19" i="1"/>
  <c r="H19" i="1"/>
  <c r="G19" i="1"/>
  <c r="F19" i="1"/>
  <c r="E19" i="1"/>
  <c r="D19" i="1"/>
  <c r="C19" i="1"/>
  <c r="C13" i="1"/>
  <c r="D13" i="1"/>
  <c r="E13" i="1"/>
  <c r="F13" i="1"/>
  <c r="G13" i="1"/>
  <c r="H13" i="1"/>
  <c r="I13" i="1"/>
  <c r="B13" i="1"/>
  <c r="I18" i="1"/>
  <c r="H18" i="1"/>
  <c r="G18" i="1"/>
  <c r="F18" i="1"/>
  <c r="E18" i="1"/>
  <c r="D18" i="1"/>
  <c r="C18" i="1"/>
  <c r="B18" i="1"/>
  <c r="F14" i="18"/>
  <c r="B7" i="18" s="1"/>
  <c r="B10" i="1"/>
  <c r="B13" i="12"/>
  <c r="AB17" i="35" l="1"/>
  <c r="S17" i="35"/>
  <c r="J17" i="35"/>
  <c r="A17" i="35"/>
  <c r="A17" i="20"/>
  <c r="AB17" i="34"/>
  <c r="S17" i="34"/>
  <c r="J17" i="34"/>
  <c r="A17" i="34"/>
  <c r="C52" i="36"/>
  <c r="F21" i="21"/>
  <c r="C49" i="36"/>
  <c r="I30" i="20"/>
  <c r="K39" i="20"/>
  <c r="K38" i="20"/>
  <c r="J39" i="20"/>
  <c r="J38" i="20"/>
  <c r="I39" i="20"/>
  <c r="I38" i="20"/>
  <c r="I31" i="20"/>
  <c r="K31" i="20" s="1"/>
  <c r="J41" i="20" s="1"/>
  <c r="D17" i="12"/>
  <c r="F16" i="12"/>
  <c r="B23" i="34" l="1" a="1"/>
  <c r="B23" i="34" s="1"/>
  <c r="B22" i="34"/>
  <c r="B28" i="34" s="1"/>
  <c r="B42" i="34"/>
  <c r="K23" i="34" a="1"/>
  <c r="K23" i="34" s="1"/>
  <c r="K22" i="34"/>
  <c r="T23" i="34" a="1"/>
  <c r="T23" i="34" s="1"/>
  <c r="T22" i="34"/>
  <c r="T28" i="34" s="1"/>
  <c r="T42" i="34"/>
  <c r="AC23" i="34" a="1"/>
  <c r="AC23" i="34" s="1"/>
  <c r="AC22" i="34"/>
  <c r="B22" i="20"/>
  <c r="B28" i="20" s="1"/>
  <c r="B39" i="20" s="1" a="1"/>
  <c r="B39" i="20" s="1"/>
  <c r="B23" i="20" a="1"/>
  <c r="B23" i="20" s="1"/>
  <c r="B42" i="20"/>
  <c r="B23" i="35" a="1"/>
  <c r="B23" i="35" s="1"/>
  <c r="D23" i="35" a="1"/>
  <c r="D23" i="35" s="1"/>
  <c r="B22" i="35"/>
  <c r="B28" i="35" s="1"/>
  <c r="B37" i="35" s="1" a="1"/>
  <c r="B37" i="35" s="1"/>
  <c r="B42" i="35"/>
  <c r="K23" i="35" a="1"/>
  <c r="K23" i="35" s="1"/>
  <c r="K22" i="35"/>
  <c r="K28" i="35" s="1"/>
  <c r="K42" i="35"/>
  <c r="T23" i="35" a="1"/>
  <c r="T23" i="35" s="1"/>
  <c r="T22" i="35"/>
  <c r="T28" i="35" s="1"/>
  <c r="T42" i="35"/>
  <c r="AC23" i="35" a="1"/>
  <c r="AC23" i="35" s="1"/>
  <c r="AC22" i="35"/>
  <c r="AC28" i="35" s="1"/>
  <c r="AC39" i="35" s="1" a="1"/>
  <c r="AC39" i="35" s="1"/>
  <c r="AC42" i="35"/>
  <c r="C58" i="36"/>
  <c r="F23" i="21" s="1"/>
  <c r="K40" i="20"/>
  <c r="J40" i="20"/>
  <c r="J42" i="20" s="1"/>
  <c r="J43" i="20" s="1"/>
  <c r="K29" i="20" s="1"/>
  <c r="K30" i="20" s="1"/>
  <c r="H5" i="1" s="1"/>
  <c r="I40" i="20"/>
  <c r="H31" i="20"/>
  <c r="K41" i="20" s="1"/>
  <c r="K42" i="20" s="1"/>
  <c r="K43" i="20" s="1"/>
  <c r="H29" i="20" s="1"/>
  <c r="H30" i="20" s="1"/>
  <c r="H8" i="1" s="1"/>
  <c r="J31" i="20"/>
  <c r="I41" i="20" s="1"/>
  <c r="D15" i="12"/>
  <c r="B15" i="12" s="1"/>
  <c r="F18" i="12"/>
  <c r="AC37" i="35" l="1" a="1"/>
  <c r="AC37" i="35" s="1"/>
  <c r="AC29" i="35"/>
  <c r="T37" i="35" a="1"/>
  <c r="T37" i="35" s="1"/>
  <c r="T39" i="35" a="1"/>
  <c r="T39" i="35" s="1"/>
  <c r="T29" i="35"/>
  <c r="K37" i="35" a="1"/>
  <c r="K37" i="35" s="1"/>
  <c r="K39" i="35" a="1"/>
  <c r="K39" i="35" s="1"/>
  <c r="K29" i="35"/>
  <c r="B39" i="35" a="1"/>
  <c r="B39" i="35" s="1"/>
  <c r="B29" i="35"/>
  <c r="B40" i="35" s="1" a="1"/>
  <c r="B40" i="35" s="1"/>
  <c r="B29" i="20"/>
  <c r="B37" i="20" a="1"/>
  <c r="B37" i="20" s="1"/>
  <c r="AC42" i="34"/>
  <c r="AC28" i="34"/>
  <c r="T29" i="34"/>
  <c r="T37" i="34" a="1"/>
  <c r="T37" i="34" s="1"/>
  <c r="T39" i="34" a="1"/>
  <c r="T39" i="34" s="1"/>
  <c r="K42" i="34"/>
  <c r="K28" i="34"/>
  <c r="B29" i="34"/>
  <c r="B37" i="34" a="1"/>
  <c r="B37" i="34" s="1"/>
  <c r="B39" i="34" a="1"/>
  <c r="B39" i="34" s="1"/>
  <c r="I42" i="20"/>
  <c r="I43" i="20" s="1"/>
  <c r="J29" i="20" s="1"/>
  <c r="J30" i="20" s="1"/>
  <c r="H6" i="1" s="1"/>
  <c r="E16" i="12"/>
  <c r="D16" i="12" s="1"/>
  <c r="B16" i="12" s="1"/>
  <c r="B38" i="34" l="1" a="1"/>
  <c r="B38" i="34" s="1"/>
  <c r="B44" i="34" s="1"/>
  <c r="B40" i="34" a="1"/>
  <c r="B40" i="34" s="1"/>
  <c r="B45" i="34" s="1"/>
  <c r="B49" i="34" s="1"/>
  <c r="B51" i="34" s="1"/>
  <c r="B19" i="34" s="1"/>
  <c r="B8" i="1" s="1"/>
  <c r="K29" i="34"/>
  <c r="K40" i="34" s="1" a="1"/>
  <c r="K40" i="34" s="1"/>
  <c r="K39" i="34" a="1"/>
  <c r="K39" i="34" s="1"/>
  <c r="K37" i="34" a="1"/>
  <c r="K37" i="34" s="1"/>
  <c r="T40" i="34" a="1"/>
  <c r="T40" i="34" s="1"/>
  <c r="T45" i="34" s="1"/>
  <c r="T38" i="34" a="1"/>
  <c r="T38" i="34" s="1"/>
  <c r="T44" i="34" s="1"/>
  <c r="AC29" i="34"/>
  <c r="AC38" i="34" s="1" a="1"/>
  <c r="AC38" i="34" s="1"/>
  <c r="AC37" i="34" a="1"/>
  <c r="AC37" i="34" s="1"/>
  <c r="AC39" i="34" a="1"/>
  <c r="AC39" i="34" s="1"/>
  <c r="B38" i="20" a="1"/>
  <c r="B38" i="20" s="1"/>
  <c r="B44" i="20" s="1"/>
  <c r="B40" i="20" a="1"/>
  <c r="B40" i="20" s="1"/>
  <c r="B45" i="20" s="1"/>
  <c r="B49" i="20" s="1"/>
  <c r="B51" i="20" s="1"/>
  <c r="B19" i="20" s="1"/>
  <c r="I24" i="20" s="1"/>
  <c r="B45" i="35"/>
  <c r="B38" i="35" a="1"/>
  <c r="B38" i="35" s="1"/>
  <c r="B44" i="35" s="1"/>
  <c r="K38" i="35" a="1"/>
  <c r="K38" i="35" s="1"/>
  <c r="K44" i="35" s="1"/>
  <c r="K40" i="35" a="1"/>
  <c r="K40" i="35" s="1"/>
  <c r="K45" i="35" s="1"/>
  <c r="K49" i="35" s="1"/>
  <c r="K51" i="35" s="1"/>
  <c r="K19" i="35" s="1"/>
  <c r="C7" i="1" s="1"/>
  <c r="T38" i="35" a="1"/>
  <c r="T38" i="35" s="1"/>
  <c r="T44" i="35" s="1"/>
  <c r="T40" i="35" a="1"/>
  <c r="T40" i="35" s="1"/>
  <c r="T45" i="35" s="1"/>
  <c r="T49" i="35" s="1"/>
  <c r="T51" i="35" s="1"/>
  <c r="T19" i="35" s="1"/>
  <c r="C6" i="1" s="1"/>
  <c r="AC38" i="35" a="1"/>
  <c r="AC38" i="35" s="1"/>
  <c r="AC44" i="35" s="1"/>
  <c r="AC40" i="35" a="1"/>
  <c r="AC40" i="35" s="1"/>
  <c r="AC45" i="35" s="1"/>
  <c r="AC49" i="35" s="1"/>
  <c r="AC51" i="35" s="1"/>
  <c r="AC19" i="35" s="1"/>
  <c r="C5" i="1" s="1"/>
  <c r="E17" i="12"/>
  <c r="B17" i="12" s="1"/>
  <c r="B49" i="35" l="1"/>
  <c r="B51" i="35" s="1"/>
  <c r="B19" i="35" s="1"/>
  <c r="C8" i="1" s="1"/>
  <c r="AC40" i="34" a="1"/>
  <c r="AC40" i="34" s="1"/>
  <c r="AC45" i="34" s="1"/>
  <c r="AC44" i="34"/>
  <c r="T49" i="34"/>
  <c r="T51" i="34" s="1"/>
  <c r="T19" i="34" s="1"/>
  <c r="B6" i="1" s="1"/>
  <c r="K45" i="34"/>
  <c r="K38" i="34" a="1"/>
  <c r="K38" i="34" s="1"/>
  <c r="K44" i="34" s="1"/>
  <c r="E18" i="12"/>
  <c r="D18" i="12" s="1"/>
  <c r="B18" i="12" s="1"/>
  <c r="B7" i="12" s="1"/>
  <c r="B24" i="1"/>
  <c r="I24" i="1"/>
  <c r="H24" i="1"/>
  <c r="F24" i="1"/>
  <c r="G24" i="1"/>
  <c r="C10" i="1"/>
  <c r="D10" i="1" s="1"/>
  <c r="E10" i="1" s="1"/>
  <c r="F10" i="1" s="1"/>
  <c r="G10" i="1" s="1"/>
  <c r="H10" i="1" s="1"/>
  <c r="I10" i="1" s="1"/>
  <c r="C24" i="1"/>
  <c r="K49" i="34" l="1"/>
  <c r="K51" i="34" s="1"/>
  <c r="K19" i="34" s="1"/>
  <c r="B7" i="1" s="1"/>
  <c r="AC49" i="34"/>
  <c r="AC51" i="34" s="1"/>
  <c r="AC19" i="34" s="1"/>
  <c r="B5" i="1" s="1"/>
  <c r="I15" i="1"/>
  <c r="B15" i="1"/>
  <c r="B16" i="1" s="1"/>
  <c r="B25" i="1" s="1" a="1"/>
  <c r="B25" i="1" s="1"/>
  <c r="G15" i="1"/>
  <c r="G16" i="1" s="1"/>
  <c r="F15" i="1"/>
  <c r="H15" i="1"/>
  <c r="B29" i="1"/>
  <c r="E15" i="1"/>
  <c r="C15" i="1"/>
  <c r="D15" i="1"/>
  <c r="E24" i="1"/>
  <c r="D24" i="1"/>
  <c r="F29" i="1"/>
  <c r="G21" i="1" a="1"/>
  <c r="H21" i="1" a="1"/>
  <c r="D21" i="1" a="1"/>
  <c r="E21" i="1" a="1"/>
  <c r="C21" i="1" a="1"/>
  <c r="F21" i="1" a="1"/>
  <c r="H25" i="1" a="1"/>
  <c r="G22" i="1" a="1"/>
  <c r="C25" i="1" a="1"/>
  <c r="G22" i="1" l="1"/>
  <c r="D21" i="1"/>
  <c r="G21" i="1"/>
  <c r="E21" i="1"/>
  <c r="C21" i="1"/>
  <c r="H21" i="1"/>
  <c r="F21" i="1"/>
  <c r="C25" i="1"/>
  <c r="B27" i="1"/>
  <c r="H25" i="1"/>
  <c r="G29" i="1"/>
  <c r="J24" i="20" l="1"/>
  <c r="J25" i="20" s="1"/>
  <c r="I6" i="1" s="1"/>
  <c r="K24" i="20"/>
  <c r="K25" i="20" s="1"/>
  <c r="I5" i="1" s="1"/>
  <c r="H24" i="20"/>
  <c r="H25" i="20" s="1"/>
  <c r="I8" i="1" s="1"/>
  <c r="I25" i="20"/>
  <c r="I7" i="1" s="1"/>
  <c r="I21" i="1" a="1"/>
  <c r="B21" i="1" a="1"/>
  <c r="B22" i="1" a="1"/>
  <c r="I21" i="1" l="1"/>
  <c r="B22" i="1"/>
  <c r="H29" i="1"/>
  <c r="I16" i="1"/>
  <c r="H16" i="1"/>
  <c r="E29" i="1"/>
  <c r="D29" i="1"/>
  <c r="C29" i="1"/>
  <c r="B21" i="1"/>
  <c r="I25" i="1" a="1"/>
  <c r="H22" i="1" a="1"/>
  <c r="I22" i="1" a="1"/>
  <c r="H22" i="1" l="1"/>
  <c r="I22" i="1"/>
  <c r="B31" i="1"/>
  <c r="B32" i="1" s="1"/>
  <c r="B11" i="1" s="1"/>
  <c r="B5" i="37" s="1"/>
  <c r="H27" i="1"/>
  <c r="I25" i="1"/>
  <c r="I27" i="1" s="1"/>
  <c r="I29" i="1"/>
  <c r="F16" i="1"/>
  <c r="E16" i="1"/>
  <c r="D16" i="1"/>
  <c r="C16" i="1"/>
  <c r="C22" i="1" a="1"/>
  <c r="E22" i="1" a="1"/>
  <c r="F25" i="1" a="1"/>
  <c r="D22" i="1" a="1"/>
  <c r="F22" i="1" a="1"/>
  <c r="G25" i="1" a="1"/>
  <c r="B17" i="37" l="1"/>
  <c r="B12" i="37"/>
  <c r="D22" i="1"/>
  <c r="C22" i="1"/>
  <c r="E22" i="1"/>
  <c r="F22" i="1"/>
  <c r="H31" i="1"/>
  <c r="H32" i="1" s="1"/>
  <c r="H11" i="1" s="1"/>
  <c r="I31" i="1"/>
  <c r="I32" i="1" s="1"/>
  <c r="I11" i="1" s="1"/>
  <c r="C5" i="37" s="1"/>
  <c r="G25" i="1"/>
  <c r="G27" i="1" s="1"/>
  <c r="G31" i="1" s="1"/>
  <c r="G32" i="1" s="1"/>
  <c r="G11" i="1" s="1"/>
  <c r="F25" i="1"/>
  <c r="F27" i="1" s="1"/>
  <c r="C27" i="1"/>
  <c r="E25" i="1" a="1"/>
  <c r="D25" i="1" a="1"/>
  <c r="B20" i="37" l="1"/>
  <c r="B33" i="37" s="1"/>
  <c r="C28" i="37"/>
  <c r="C35" i="37"/>
  <c r="C13" i="37"/>
  <c r="C18" i="37"/>
  <c r="G20" i="18"/>
  <c r="D23" i="18"/>
  <c r="F31" i="1"/>
  <c r="F32" i="1" s="1"/>
  <c r="F11" i="1" s="1"/>
  <c r="E25" i="1"/>
  <c r="E27" i="1" s="1"/>
  <c r="E31" i="1" s="1"/>
  <c r="E32" i="1" s="1"/>
  <c r="E11" i="1" s="1"/>
  <c r="D25" i="1"/>
  <c r="D27" i="1" s="1"/>
  <c r="C31" i="1"/>
  <c r="C32" i="1" s="1"/>
  <c r="C11" i="1" s="1"/>
  <c r="B6" i="37" s="1"/>
  <c r="B26" i="37" l="1"/>
  <c r="B38" i="37" s="1"/>
  <c r="B43" i="37" s="1"/>
  <c r="B51" i="37" s="1"/>
  <c r="C21" i="37"/>
  <c r="C40" i="37" s="1"/>
  <c r="C46" i="37" s="1"/>
  <c r="F18" i="18" s="1"/>
  <c r="G18" i="18" s="1"/>
  <c r="B34" i="37"/>
  <c r="B27" i="37"/>
  <c r="B23" i="18"/>
  <c r="C23" i="18"/>
  <c r="D31" i="1"/>
  <c r="D32" i="1" s="1"/>
  <c r="D11" i="1" s="1"/>
  <c r="B11" i="18" l="1"/>
  <c r="D11" i="18" s="1"/>
  <c r="B39" i="37"/>
  <c r="B44" i="37" s="1"/>
  <c r="B14" i="18" s="1"/>
  <c r="D14" i="18" s="1"/>
  <c r="D20" i="18"/>
  <c r="D18" i="18" s="1"/>
  <c r="D19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<sst xmlns="http://schemas.openxmlformats.org/spreadsheetml/2006/main" count="867" uniqueCount="222">
  <si>
    <t>TU206G
Performance Calculation</t>
  </si>
  <si>
    <t>Performance Calculations</t>
  </si>
  <si>
    <t>PA &amp; DA Calculation</t>
  </si>
  <si>
    <t>Fill out W&amp;B first</t>
  </si>
  <si>
    <t>Enter Values below:</t>
  </si>
  <si>
    <t>PA in ft</t>
  </si>
  <si>
    <r>
      <t>Temp C</t>
    </r>
    <r>
      <rPr>
        <sz val="12"/>
        <color theme="1"/>
        <rFont val="Calibri"/>
        <family val="2"/>
      </rPr>
      <t>°</t>
    </r>
  </si>
  <si>
    <t>WT in lbs</t>
  </si>
  <si>
    <t>Field Elev</t>
  </si>
  <si>
    <t>Alt. Setting</t>
  </si>
  <si>
    <t>Performance</t>
  </si>
  <si>
    <t>OAT</t>
  </si>
  <si>
    <t>Gnd Roll</t>
  </si>
  <si>
    <t>50'</t>
  </si>
  <si>
    <t>Pressure Altitude</t>
  </si>
  <si>
    <t>Speeds</t>
  </si>
  <si>
    <t>Landing</t>
  </si>
  <si>
    <t>Flaps</t>
  </si>
  <si>
    <t>T/O</t>
  </si>
  <si>
    <r>
      <t>V</t>
    </r>
    <r>
      <rPr>
        <b/>
        <i/>
        <vertAlign val="subscript"/>
        <sz val="12"/>
        <color theme="1" tint="0.34998626667073579"/>
        <rFont val="Calibri"/>
        <family val="2"/>
        <scheme val="minor"/>
      </rPr>
      <t>R</t>
    </r>
  </si>
  <si>
    <t>Distance</t>
  </si>
  <si>
    <t>166% + 100'</t>
  </si>
  <si>
    <r>
      <t>0</t>
    </r>
    <r>
      <rPr>
        <sz val="12"/>
        <color theme="1" tint="0.34998626667073579"/>
        <rFont val="Calibri"/>
        <family val="2"/>
      </rPr>
      <t>°-20°</t>
    </r>
  </si>
  <si>
    <t>Normal</t>
  </si>
  <si>
    <t>20°</t>
  </si>
  <si>
    <t>Soft</t>
  </si>
  <si>
    <r>
      <t>V</t>
    </r>
    <r>
      <rPr>
        <vertAlign val="subscript"/>
        <sz val="12"/>
        <color theme="1" tint="0.34998626667073579"/>
        <rFont val="Calibri"/>
        <family val="2"/>
        <scheme val="minor"/>
      </rPr>
      <t>FINAL</t>
    </r>
  </si>
  <si>
    <t>Obstacle</t>
  </si>
  <si>
    <r>
      <t>V</t>
    </r>
    <r>
      <rPr>
        <b/>
        <i/>
        <vertAlign val="subscript"/>
        <sz val="12"/>
        <color theme="1" tint="0.34998626667073579"/>
        <rFont val="Calibri"/>
        <family val="2"/>
        <scheme val="minor"/>
      </rPr>
      <t>Y</t>
    </r>
  </si>
  <si>
    <r>
      <t>V</t>
    </r>
    <r>
      <rPr>
        <b/>
        <i/>
        <vertAlign val="subscript"/>
        <sz val="12"/>
        <color theme="1" tint="0.34998626667073579"/>
        <rFont val="Calibri"/>
        <family val="2"/>
        <scheme val="minor"/>
      </rPr>
      <t>X</t>
    </r>
  </si>
  <si>
    <r>
      <t>V</t>
    </r>
    <r>
      <rPr>
        <b/>
        <i/>
        <vertAlign val="subscript"/>
        <sz val="12"/>
        <color theme="1" tint="0.34998626667073579"/>
        <rFont val="Calibri"/>
        <family val="2"/>
        <scheme val="minor"/>
      </rPr>
      <t>G</t>
    </r>
  </si>
  <si>
    <t>REV</t>
  </si>
  <si>
    <t>Wind</t>
  </si>
  <si>
    <t>TORR Margin in %</t>
  </si>
  <si>
    <t>HW</t>
  </si>
  <si>
    <t>TW</t>
  </si>
  <si>
    <t>%</t>
  </si>
  <si>
    <t>Knots</t>
  </si>
  <si>
    <t>Slope</t>
  </si>
  <si>
    <t>LDR Margin in %</t>
  </si>
  <si>
    <t>Up</t>
  </si>
  <si>
    <t>Down</t>
  </si>
  <si>
    <t>W&amp;B and Fuel Calculator</t>
  </si>
  <si>
    <t>Select Airplane from drop down</t>
  </si>
  <si>
    <t>N4918U</t>
  </si>
  <si>
    <t>I</t>
  </si>
  <si>
    <t>W</t>
  </si>
  <si>
    <t>A</t>
  </si>
  <si>
    <t>M</t>
  </si>
  <si>
    <t>N5119X</t>
  </si>
  <si>
    <t>N6233Z</t>
  </si>
  <si>
    <t>Basic EW</t>
  </si>
  <si>
    <t>Fuel Main Left (GL)</t>
  </si>
  <si>
    <t>Empty CG</t>
  </si>
  <si>
    <t>Fuel Main Right (GL)</t>
  </si>
  <si>
    <t>Moment</t>
  </si>
  <si>
    <t>Fuel Tip Left (GL)</t>
  </si>
  <si>
    <t>Fuel Tip Right (GL)</t>
  </si>
  <si>
    <t>W&amp;B Envelope Data</t>
  </si>
  <si>
    <t>Pilot</t>
  </si>
  <si>
    <t xml:space="preserve">These two formulas below compare the slope of the slanted line. </t>
  </si>
  <si>
    <t>Co-Pilot</t>
  </si>
  <si>
    <t>Middle Left</t>
  </si>
  <si>
    <t>Middle Right</t>
  </si>
  <si>
    <t>Aft Left</t>
  </si>
  <si>
    <t>Aft Right</t>
  </si>
  <si>
    <r>
      <t xml:space="preserve">Represented by </t>
    </r>
    <r>
      <rPr>
        <sz val="11"/>
        <color rgb="FFFF0000"/>
        <rFont val="Calibri"/>
        <family val="2"/>
        <scheme val="minor"/>
      </rPr>
      <t>Red Dot</t>
    </r>
  </si>
  <si>
    <t>Baggage Area</t>
  </si>
  <si>
    <t>Pod</t>
  </si>
  <si>
    <t>CG withing Limits?</t>
  </si>
  <si>
    <t>T/O Weight</t>
  </si>
  <si>
    <t>T/O CG</t>
  </si>
  <si>
    <t>Fuel Calculation</t>
  </si>
  <si>
    <t>GL</t>
  </si>
  <si>
    <t xml:space="preserve">Time </t>
  </si>
  <si>
    <t>Main Left</t>
  </si>
  <si>
    <t>Main Right</t>
  </si>
  <si>
    <t>Tip Left</t>
  </si>
  <si>
    <t>Tip Right</t>
  </si>
  <si>
    <t>GPH</t>
  </si>
  <si>
    <t>FET</t>
  </si>
  <si>
    <t>1hr Reserve</t>
  </si>
  <si>
    <t>Fuel to Reserve</t>
  </si>
  <si>
    <t>Wind and Slope Correction</t>
  </si>
  <si>
    <t>Take Off</t>
  </si>
  <si>
    <t xml:space="preserve"> Landing</t>
  </si>
  <si>
    <t>Calculated Distance:</t>
  </si>
  <si>
    <t>Slope:</t>
  </si>
  <si>
    <t>Downhill in %</t>
  </si>
  <si>
    <t>Performance change in %</t>
  </si>
  <si>
    <t>TO -10% per 4% slope</t>
  </si>
  <si>
    <t>LDG +10% per 2% slope</t>
  </si>
  <si>
    <t>Uphill in %</t>
  </si>
  <si>
    <t>TO +10% per 2% slope</t>
  </si>
  <si>
    <t>LDG -10% per 4% slope</t>
  </si>
  <si>
    <t>IF TO Gnd Roll</t>
  </si>
  <si>
    <t>IF LDG Gnd Roll</t>
  </si>
  <si>
    <t>Wind:</t>
  </si>
  <si>
    <t>HW in kts = %</t>
  </si>
  <si>
    <t>TO -10% for each 10kts</t>
  </si>
  <si>
    <t>TO 50'</t>
  </si>
  <si>
    <t>LDG -10% for each 10kts</t>
  </si>
  <si>
    <t>LDG 50'</t>
  </si>
  <si>
    <t>TW in kts</t>
  </si>
  <si>
    <t>TW in %</t>
  </si>
  <si>
    <t>TO +10% for each 2.5kts</t>
  </si>
  <si>
    <t>LDG +10% for each 2.5kts</t>
  </si>
  <si>
    <t>IF TO 50'</t>
  </si>
  <si>
    <t>IF LDG 50'</t>
  </si>
  <si>
    <t>Total TO Gnd Roll</t>
  </si>
  <si>
    <t>Total TO 50'</t>
  </si>
  <si>
    <t>Total LDG Gnd Roll</t>
  </si>
  <si>
    <t>Total LDG 50'</t>
  </si>
  <si>
    <t>Adjustment in %</t>
  </si>
  <si>
    <t>Final Result TORR</t>
  </si>
  <si>
    <t>Weight Interpolation</t>
  </si>
  <si>
    <t>WT</t>
  </si>
  <si>
    <t>Ground Roll</t>
  </si>
  <si>
    <t>50-Foot</t>
  </si>
  <si>
    <t>Vr</t>
  </si>
  <si>
    <t>Vy</t>
  </si>
  <si>
    <t>Vx</t>
  </si>
  <si>
    <t>Vg</t>
  </si>
  <si>
    <r>
      <t>V</t>
    </r>
    <r>
      <rPr>
        <b/>
        <vertAlign val="subscript"/>
        <sz val="11"/>
        <color theme="1"/>
        <rFont val="Calibri"/>
        <family val="2"/>
        <scheme val="minor"/>
      </rPr>
      <t>final</t>
    </r>
  </si>
  <si>
    <t>Ldg Dist</t>
  </si>
  <si>
    <t>&lt;---</t>
  </si>
  <si>
    <t>The speed calculations were done in another tabel. Formula used was:
Vnew = Vknown * SQRT(WTnew/WTknown)
The distance calculations were done in another tabel. Formula used was:
DISTnew = DISTknown * (WTnew/WTknown)^2</t>
  </si>
  <si>
    <t>Actual WT</t>
  </si>
  <si>
    <t>WT Interpolated Values</t>
  </si>
  <si>
    <r>
      <rPr>
        <b/>
        <sz val="11"/>
        <color theme="1"/>
        <rFont val="Calibri"/>
        <family val="2"/>
        <scheme val="minor"/>
      </rPr>
      <t xml:space="preserve">WT </t>
    </r>
    <r>
      <rPr>
        <sz val="11"/>
        <color theme="1"/>
        <rFont val="Calibri"/>
        <family val="2"/>
        <scheme val="minor"/>
      </rPr>
      <t xml:space="preserve">Value starts in </t>
    </r>
    <r>
      <rPr>
        <b/>
        <sz val="11"/>
        <color theme="1"/>
        <rFont val="Calibri"/>
        <family val="2"/>
        <scheme val="minor"/>
      </rPr>
      <t>Row Number</t>
    </r>
  </si>
  <si>
    <t>Row Number of Low Value</t>
  </si>
  <si>
    <t>Row Number of High Value</t>
  </si>
  <si>
    <t>Column Value</t>
  </si>
  <si>
    <t>Column Number WT</t>
  </si>
  <si>
    <t>Lower Value</t>
  </si>
  <si>
    <t>Higher Value</t>
  </si>
  <si>
    <t>Divider Value</t>
  </si>
  <si>
    <t>Multiplication factor</t>
  </si>
  <si>
    <t>Actual Ground Roll</t>
  </si>
  <si>
    <t>Rounded Up Value</t>
  </si>
  <si>
    <t>Temperature</t>
  </si>
  <si>
    <t>PA</t>
  </si>
  <si>
    <t>Below = Value from Performance Sheet</t>
  </si>
  <si>
    <t>Temp</t>
  </si>
  <si>
    <t>10% added for increased WT</t>
  </si>
  <si>
    <t>Row Lower Value</t>
  </si>
  <si>
    <t>Row Higher Value</t>
  </si>
  <si>
    <r>
      <rPr>
        <b/>
        <sz val="11"/>
        <color theme="1"/>
        <rFont val="Calibri"/>
        <family val="2"/>
        <scheme val="minor"/>
      </rPr>
      <t xml:space="preserve">PA </t>
    </r>
    <r>
      <rPr>
        <sz val="11"/>
        <color theme="1"/>
        <rFont val="Calibri"/>
        <family val="2"/>
        <scheme val="minor"/>
      </rPr>
      <t xml:space="preserve">Value starts in </t>
    </r>
    <r>
      <rPr>
        <b/>
        <sz val="11"/>
        <color theme="1"/>
        <rFont val="Calibri"/>
        <family val="2"/>
        <scheme val="minor"/>
      </rPr>
      <t>Row Number</t>
    </r>
    <r>
      <rPr>
        <sz val="11"/>
        <color theme="1"/>
        <rFont val="Calibri"/>
        <family val="2"/>
        <scheme val="minor"/>
      </rPr>
      <t xml:space="preserve">
(Fill in this number by hand)</t>
    </r>
  </si>
  <si>
    <r>
      <rPr>
        <b/>
        <sz val="11"/>
        <color theme="1"/>
        <rFont val="Calibri"/>
        <family val="2"/>
        <scheme val="minor"/>
      </rPr>
      <t>Temp</t>
    </r>
    <r>
      <rPr>
        <sz val="11"/>
        <color theme="1"/>
        <rFont val="Calibri"/>
        <family val="2"/>
        <scheme val="minor"/>
      </rPr>
      <t xml:space="preserve"> Value starts in </t>
    </r>
    <r>
      <rPr>
        <b/>
        <sz val="11"/>
        <color theme="1"/>
        <rFont val="Calibri"/>
        <family val="2"/>
        <scheme val="minor"/>
      </rPr>
      <t>Column Number</t>
    </r>
    <r>
      <rPr>
        <sz val="11"/>
        <color theme="1"/>
        <rFont val="Calibri"/>
        <family val="2"/>
        <scheme val="minor"/>
      </rPr>
      <t xml:space="preserve">
(Fill in this number by hand)</t>
    </r>
  </si>
  <si>
    <t>Row Number Lower Value</t>
  </si>
  <si>
    <t>Row Number Higher Value</t>
  </si>
  <si>
    <t>Column Lower Value</t>
  </si>
  <si>
    <t>Column Higher Value</t>
  </si>
  <si>
    <t>Column Number Lower</t>
  </si>
  <si>
    <t>Column Number Higher</t>
  </si>
  <si>
    <t>Row Low Column Low Value</t>
  </si>
  <si>
    <t>Row High Column Low Value</t>
  </si>
  <si>
    <t>Row Low Column High Value</t>
  </si>
  <si>
    <t>Row High Column High Value</t>
  </si>
  <si>
    <t>Ratio PA value</t>
  </si>
  <si>
    <t>Lower Column PA Interpolation Value</t>
  </si>
  <si>
    <t>Higher Column PA Interpolation Value</t>
  </si>
  <si>
    <t>Ratio Temp value</t>
  </si>
  <si>
    <t>Temp Inerpolation Value</t>
  </si>
  <si>
    <t>Rounded Interpolated Value</t>
  </si>
  <si>
    <t>50' Obstacle</t>
  </si>
  <si>
    <t>3600
LANDING Distance &amp; Spee Calculation</t>
  </si>
  <si>
    <t>&lt;----</t>
  </si>
  <si>
    <t>Enter POH Values here</t>
  </si>
  <si>
    <t>Calculated Ldg Distances</t>
  </si>
  <si>
    <t>The distance calculations were done according to Kershinar. Formula used was:
DISTnew = DISTknown x (WTnew/WTknown)^2</t>
  </si>
  <si>
    <t>This is the calculation with the values gained from the lower to tables.</t>
  </si>
  <si>
    <t>IAS</t>
  </si>
  <si>
    <t>Rounded up IAS</t>
  </si>
  <si>
    <t>CAS</t>
  </si>
  <si>
    <t>40 Flaps</t>
  </si>
  <si>
    <t>This is the conversion table straight from POH. Enter Values.
Note that ratio between IAS 50 and 60 and 60 and 70 compared to CAS is rather different.</t>
  </si>
  <si>
    <t>This is the calculation from IAS to CAS and then multiplied by the correct ratio.</t>
  </si>
  <si>
    <t>CAS Diff</t>
  </si>
  <si>
    <t>IAS Diff</t>
  </si>
  <si>
    <t>CAS / IAS Ratio</t>
  </si>
  <si>
    <t>Act CAS add</t>
  </si>
  <si>
    <t>Act IAS add</t>
  </si>
  <si>
    <t>PA &amp; DA Calculator</t>
  </si>
  <si>
    <t>Altimeter Setting</t>
  </si>
  <si>
    <t>Dewpoint</t>
  </si>
  <si>
    <t>DA</t>
  </si>
  <si>
    <t>Math behind DA Calculation all information from weather.gov</t>
  </si>
  <si>
    <t>QNH mB</t>
  </si>
  <si>
    <t>Station Elev in m</t>
  </si>
  <si>
    <t>OFE inHg</t>
  </si>
  <si>
    <t>QFE mB</t>
  </si>
  <si>
    <t>OAT in Kelvin</t>
  </si>
  <si>
    <t>Vapor Pressure</t>
  </si>
  <si>
    <t>Temp Virtual K</t>
  </si>
  <si>
    <t>Temp Virtual R</t>
  </si>
  <si>
    <t>C172N
Performance Calculation</t>
  </si>
  <si>
    <t>Enter WT Values below:</t>
  </si>
  <si>
    <t>Density Altitude</t>
  </si>
  <si>
    <r>
      <t>0</t>
    </r>
    <r>
      <rPr>
        <sz val="12"/>
        <color theme="1" tint="0.34998626667073579"/>
        <rFont val="Calibri"/>
        <family val="2"/>
      </rPr>
      <t>°-10°</t>
    </r>
  </si>
  <si>
    <t>10°</t>
  </si>
  <si>
    <t>Wind, Slope, and Margin Correction</t>
  </si>
  <si>
    <t>Calculated Distance:
carried over from WT Interpolation Sheet</t>
  </si>
  <si>
    <t>Climb Out Distance ONLY</t>
  </si>
  <si>
    <t>LDG Dist 50' in Air ONLY</t>
  </si>
  <si>
    <t>TO 50' Climb Out</t>
  </si>
  <si>
    <t>TO (+10% for each 2.5kts)</t>
  </si>
  <si>
    <t>LDG (+10% for each 2.5kts)</t>
  </si>
  <si>
    <t>TO 50' Climb Out ONLY</t>
  </si>
  <si>
    <t>LDG 50' in Air ONLY</t>
  </si>
  <si>
    <t>Additional Margin</t>
  </si>
  <si>
    <t>TORR after Margin</t>
  </si>
  <si>
    <t>LDR after Margin</t>
  </si>
  <si>
    <t>Final TORR</t>
  </si>
  <si>
    <t>Final TO 50' (TORR + Climb Out)</t>
  </si>
  <si>
    <t>Total LDG 50' (LDR + 50' Descent)</t>
  </si>
  <si>
    <t>50' Ldg</t>
  </si>
  <si>
    <t>2550
Ground Roll</t>
  </si>
  <si>
    <t>2550lbs 50' Obstacle</t>
  </si>
  <si>
    <t>Ldg Dist Gnd</t>
  </si>
  <si>
    <t>Ldg Dist 50'</t>
  </si>
  <si>
    <t>71-62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</si>
</sst>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00"/>
    <numFmt numFmtId="166" formatCode="0.0000"/>
    <numFmt numFmtId="167" formatCode="0.0"/>
    <numFmt numFmtId="168" formatCode="0.0000000"/>
    <numFmt numFmtId="169" formatCode="[h]:mm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i/>
      <vertAlign val="subscript"/>
      <sz val="12"/>
      <color theme="1" tint="0.34998626667073579"/>
      <name val="Calibri"/>
      <family val="2"/>
      <scheme val="minor"/>
    </font>
    <font>
      <sz val="12"/>
      <color theme="1" tint="0.34998626667073579"/>
      <name val="Calibri"/>
      <family val="2"/>
    </font>
    <font>
      <i/>
      <sz val="12"/>
      <color theme="1" tint="0.34998626667073579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vertAlign val="subscript"/>
      <sz val="12"/>
      <color theme="1" tint="0.34998626667073579"/>
      <name val="Calibri"/>
      <family val="2"/>
      <scheme val="minor"/>
    </font>
    <font>
      <b/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  <font>
      <sz val="14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8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vertical="center" textRotation="255"/>
    </xf>
    <xf numFmtId="0" fontId="0" fillId="4" borderId="0" xfId="0" applyFill="1" applyAlignment="1">
      <alignment vertical="center" textRotation="255" wrapText="1"/>
    </xf>
    <xf numFmtId="0" fontId="1" fillId="0" borderId="0" xfId="0" applyFont="1"/>
    <xf numFmtId="1" fontId="1" fillId="0" borderId="0" xfId="0" applyNumberFormat="1" applyFont="1"/>
    <xf numFmtId="0" fontId="0" fillId="0" borderId="3" xfId="0" applyBorder="1"/>
    <xf numFmtId="0" fontId="1" fillId="0" borderId="5" xfId="0" applyFont="1" applyBorder="1"/>
    <xf numFmtId="0" fontId="1" fillId="0" borderId="1" xfId="0" applyFont="1" applyBorder="1"/>
    <xf numFmtId="0" fontId="1" fillId="2" borderId="8" xfId="0" applyFont="1" applyFill="1" applyBorder="1"/>
    <xf numFmtId="0" fontId="1" fillId="2" borderId="6" xfId="0" applyFont="1" applyFill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1" fontId="0" fillId="0" borderId="9" xfId="0" applyNumberFormat="1" applyBorder="1"/>
    <xf numFmtId="0" fontId="0" fillId="0" borderId="15" xfId="0" applyBorder="1"/>
    <xf numFmtId="0" fontId="0" fillId="0" borderId="19" xfId="0" applyBorder="1"/>
    <xf numFmtId="0" fontId="0" fillId="0" borderId="16" xfId="0" applyBorder="1"/>
    <xf numFmtId="0" fontId="0" fillId="0" borderId="11" xfId="0" applyBorder="1"/>
    <xf numFmtId="0" fontId="0" fillId="0" borderId="14" xfId="0" applyBorder="1"/>
    <xf numFmtId="2" fontId="1" fillId="0" borderId="0" xfId="0" applyNumberFormat="1" applyFont="1"/>
    <xf numFmtId="0" fontId="2" fillId="0" borderId="0" xfId="0" applyFont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1" fontId="3" fillId="12" borderId="9" xfId="0" applyNumberFormat="1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horizontal="center" vertical="center"/>
    </xf>
    <xf numFmtId="0" fontId="5" fillId="13" borderId="11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2" fillId="12" borderId="13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0" fontId="9" fillId="12" borderId="10" xfId="0" applyFont="1" applyFill="1" applyBorder="1" applyAlignment="1">
      <alignment horizontal="center" vertical="center"/>
    </xf>
    <xf numFmtId="0" fontId="9" fillId="12" borderId="9" xfId="0" applyFont="1" applyFill="1" applyBorder="1" applyAlignment="1">
      <alignment horizontal="center" vertical="center"/>
    </xf>
    <xf numFmtId="0" fontId="9" fillId="12" borderId="23" xfId="0" applyFont="1" applyFill="1" applyBorder="1" applyAlignment="1">
      <alignment horizontal="center" vertical="center"/>
    </xf>
    <xf numFmtId="0" fontId="9" fillId="12" borderId="17" xfId="0" applyFont="1" applyFill="1" applyBorder="1" applyAlignment="1">
      <alignment horizontal="center" vertical="center"/>
    </xf>
    <xf numFmtId="0" fontId="9" fillId="12" borderId="31" xfId="0" applyFont="1" applyFill="1" applyBorder="1" applyAlignment="1">
      <alignment horizontal="center" vertical="center"/>
    </xf>
    <xf numFmtId="0" fontId="9" fillId="12" borderId="26" xfId="0" applyFont="1" applyFill="1" applyBorder="1" applyAlignment="1">
      <alignment horizontal="center" vertical="center"/>
    </xf>
    <xf numFmtId="9" fontId="12" fillId="12" borderId="9" xfId="0" applyNumberFormat="1" applyFont="1" applyFill="1" applyBorder="1" applyAlignment="1">
      <alignment horizontal="center" vertical="center"/>
    </xf>
    <xf numFmtId="0" fontId="13" fillId="8" borderId="4" xfId="0" applyFont="1" applyFill="1" applyBorder="1"/>
    <xf numFmtId="0" fontId="13" fillId="8" borderId="28" xfId="0" applyFont="1" applyFill="1" applyBorder="1"/>
    <xf numFmtId="0" fontId="13" fillId="8" borderId="34" xfId="0" applyFont="1" applyFill="1" applyBorder="1"/>
    <xf numFmtId="0" fontId="0" fillId="0" borderId="25" xfId="0" applyBorder="1"/>
    <xf numFmtId="0" fontId="0" fillId="0" borderId="0" xfId="0" applyAlignment="1">
      <alignment vertical="top" wrapText="1"/>
    </xf>
    <xf numFmtId="2" fontId="0" fillId="0" borderId="9" xfId="0" applyNumberFormat="1" applyBorder="1"/>
    <xf numFmtId="2" fontId="0" fillId="0" borderId="10" xfId="0" applyNumberFormat="1" applyBorder="1"/>
    <xf numFmtId="0" fontId="0" fillId="0" borderId="9" xfId="0" applyBorder="1" applyAlignment="1">
      <alignment horizontal="left" vertical="center"/>
    </xf>
    <xf numFmtId="0" fontId="1" fillId="0" borderId="9" xfId="0" applyFont="1" applyBorder="1"/>
    <xf numFmtId="164" fontId="0" fillId="0" borderId="13" xfId="0" applyNumberFormat="1" applyBorder="1"/>
    <xf numFmtId="2" fontId="0" fillId="0" borderId="25" xfId="0" applyNumberFormat="1" applyBorder="1"/>
    <xf numFmtId="0" fontId="0" fillId="0" borderId="11" xfId="0" applyBorder="1" applyAlignment="1">
      <alignment vertical="center"/>
    </xf>
    <xf numFmtId="0" fontId="12" fillId="12" borderId="17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3" fillId="8" borderId="0" xfId="0" applyFont="1" applyFill="1"/>
    <xf numFmtId="0" fontId="9" fillId="12" borderId="11" xfId="0" applyFont="1" applyFill="1" applyBorder="1" applyAlignment="1">
      <alignment horizontal="center" vertical="center"/>
    </xf>
    <xf numFmtId="0" fontId="1" fillId="0" borderId="7" xfId="0" applyFont="1" applyBorder="1"/>
    <xf numFmtId="0" fontId="0" fillId="0" borderId="2" xfId="0" applyBorder="1"/>
    <xf numFmtId="1" fontId="0" fillId="7" borderId="9" xfId="0" applyNumberFormat="1" applyFill="1" applyBorder="1"/>
    <xf numFmtId="0" fontId="0" fillId="7" borderId="9" xfId="0" applyFill="1" applyBorder="1"/>
    <xf numFmtId="0" fontId="0" fillId="7" borderId="25" xfId="0" applyFill="1" applyBorder="1"/>
    <xf numFmtId="0" fontId="0" fillId="7" borderId="25" xfId="0" applyFill="1" applyBorder="1" applyAlignment="1">
      <alignment vertical="center" wrapText="1"/>
    </xf>
    <xf numFmtId="0" fontId="0" fillId="7" borderId="11" xfId="0" applyFill="1" applyBorder="1" applyAlignment="1">
      <alignment vertical="center" wrapText="1"/>
    </xf>
    <xf numFmtId="1" fontId="0" fillId="7" borderId="11" xfId="0" applyNumberFormat="1" applyFill="1" applyBorder="1" applyAlignment="1">
      <alignment vertical="center" wrapText="1"/>
    </xf>
    <xf numFmtId="1" fontId="0" fillId="7" borderId="13" xfId="0" applyNumberFormat="1" applyFill="1" applyBorder="1"/>
    <xf numFmtId="0" fontId="0" fillId="7" borderId="13" xfId="0" applyFill="1" applyBorder="1"/>
    <xf numFmtId="0" fontId="0" fillId="7" borderId="39" xfId="0" applyFill="1" applyBorder="1"/>
    <xf numFmtId="0" fontId="0" fillId="7" borderId="39" xfId="0" applyFill="1" applyBorder="1" applyAlignment="1">
      <alignment vertical="center" wrapText="1"/>
    </xf>
    <xf numFmtId="0" fontId="0" fillId="7" borderId="14" xfId="0" applyFill="1" applyBorder="1" applyAlignment="1">
      <alignment vertical="center" wrapText="1"/>
    </xf>
    <xf numFmtId="0" fontId="1" fillId="0" borderId="15" xfId="0" applyFont="1" applyBorder="1"/>
    <xf numFmtId="0" fontId="1" fillId="0" borderId="19" xfId="0" applyFont="1" applyBorder="1"/>
    <xf numFmtId="0" fontId="1" fillId="0" borderId="38" xfId="0" applyFont="1" applyBorder="1"/>
    <xf numFmtId="0" fontId="1" fillId="0" borderId="16" xfId="0" applyFont="1" applyBorder="1"/>
    <xf numFmtId="0" fontId="18" fillId="0" borderId="10" xfId="0" applyFont="1" applyBorder="1"/>
    <xf numFmtId="0" fontId="18" fillId="0" borderId="12" xfId="0" applyFont="1" applyBorder="1"/>
    <xf numFmtId="0" fontId="0" fillId="0" borderId="0" xfId="0" applyAlignment="1">
      <alignment vertical="center"/>
    </xf>
    <xf numFmtId="0" fontId="0" fillId="0" borderId="28" xfId="0" applyBorder="1" applyAlignment="1">
      <alignment horizontal="left" vertical="center"/>
    </xf>
    <xf numFmtId="0" fontId="0" fillId="0" borderId="46" xfId="0" applyBorder="1"/>
    <xf numFmtId="0" fontId="0" fillId="0" borderId="47" xfId="0" applyBorder="1" applyAlignment="1">
      <alignment horizontal="left" vertical="center"/>
    </xf>
    <xf numFmtId="0" fontId="0" fillId="0" borderId="24" xfId="0" applyBorder="1"/>
    <xf numFmtId="0" fontId="0" fillId="0" borderId="29" xfId="0" applyBorder="1"/>
    <xf numFmtId="0" fontId="1" fillId="2" borderId="10" xfId="0" applyFont="1" applyFill="1" applyBorder="1"/>
    <xf numFmtId="0" fontId="1" fillId="2" borderId="9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1" fontId="1" fillId="2" borderId="13" xfId="0" applyNumberFormat="1" applyFont="1" applyFill="1" applyBorder="1"/>
    <xf numFmtId="0" fontId="1" fillId="2" borderId="13" xfId="0" applyFont="1" applyFill="1" applyBorder="1"/>
    <xf numFmtId="0" fontId="1" fillId="2" borderId="39" xfId="0" applyFont="1" applyFill="1" applyBorder="1"/>
    <xf numFmtId="0" fontId="0" fillId="2" borderId="14" xfId="0" applyFill="1" applyBorder="1"/>
    <xf numFmtId="0" fontId="0" fillId="6" borderId="9" xfId="0" applyFill="1" applyBorder="1"/>
    <xf numFmtId="1" fontId="5" fillId="13" borderId="11" xfId="0" applyNumberFormat="1" applyFont="1" applyFill="1" applyBorder="1" applyAlignment="1">
      <alignment horizontal="center" vertical="center"/>
    </xf>
    <xf numFmtId="0" fontId="1" fillId="7" borderId="0" xfId="0" applyFont="1" applyFill="1"/>
    <xf numFmtId="0" fontId="0" fillId="4" borderId="14" xfId="0" applyFill="1" applyBorder="1" applyAlignment="1">
      <alignment vertical="center" wrapText="1"/>
    </xf>
    <xf numFmtId="0" fontId="0" fillId="4" borderId="39" xfId="0" applyFill="1" applyBorder="1" applyAlignment="1">
      <alignment vertical="center" wrapText="1"/>
    </xf>
    <xf numFmtId="1" fontId="0" fillId="4" borderId="13" xfId="0" applyNumberFormat="1" applyFill="1" applyBorder="1"/>
    <xf numFmtId="1" fontId="0" fillId="4" borderId="11" xfId="0" applyNumberFormat="1" applyFill="1" applyBorder="1" applyAlignment="1">
      <alignment vertical="center" wrapText="1"/>
    </xf>
    <xf numFmtId="0" fontId="0" fillId="7" borderId="0" xfId="0" applyFill="1"/>
    <xf numFmtId="1" fontId="0" fillId="4" borderId="9" xfId="0" applyNumberFormat="1" applyFill="1" applyBorder="1"/>
    <xf numFmtId="0" fontId="0" fillId="4" borderId="11" xfId="0" applyFill="1" applyBorder="1" applyAlignment="1">
      <alignment vertical="center" wrapText="1"/>
    </xf>
    <xf numFmtId="0" fontId="13" fillId="8" borderId="18" xfId="0" applyFont="1" applyFill="1" applyBorder="1" applyAlignment="1">
      <alignment horizontal="right"/>
    </xf>
    <xf numFmtId="0" fontId="0" fillId="0" borderId="0" xfId="0" applyAlignment="1">
      <alignment horizontal="center" vertical="top" wrapText="1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5" borderId="0" xfId="0" applyFont="1" applyFill="1" applyAlignment="1">
      <alignment horizontal="left" vertical="top"/>
    </xf>
    <xf numFmtId="0" fontId="0" fillId="4" borderId="3" xfId="0" applyFill="1" applyBorder="1"/>
    <xf numFmtId="0" fontId="0" fillId="3" borderId="4" xfId="0" applyFill="1" applyBorder="1"/>
    <xf numFmtId="0" fontId="0" fillId="0" borderId="4" xfId="0" applyBorder="1"/>
    <xf numFmtId="1" fontId="1" fillId="0" borderId="6" xfId="0" applyNumberFormat="1" applyFont="1" applyBorder="1"/>
    <xf numFmtId="0" fontId="19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4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5" xfId="0" applyFont="1" applyBorder="1" applyAlignment="1">
      <alignment wrapText="1"/>
    </xf>
    <xf numFmtId="1" fontId="1" fillId="0" borderId="6" xfId="0" applyNumberFormat="1" applyFont="1" applyBorder="1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4" borderId="0" xfId="0" applyFill="1" applyAlignment="1">
      <alignment vertical="center" wrapText="1"/>
    </xf>
    <xf numFmtId="1" fontId="0" fillId="4" borderId="0" xfId="0" applyNumberFormat="1" applyFill="1" applyAlignment="1">
      <alignment vertical="center" wrapText="1"/>
    </xf>
    <xf numFmtId="0" fontId="15" fillId="0" borderId="0" xfId="0" applyFont="1"/>
    <xf numFmtId="0" fontId="20" fillId="12" borderId="14" xfId="0" applyFont="1" applyFill="1" applyBorder="1"/>
    <xf numFmtId="0" fontId="0" fillId="0" borderId="48" xfId="0" applyBorder="1"/>
    <xf numFmtId="0" fontId="0" fillId="9" borderId="9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9" xfId="0" applyFill="1" applyBorder="1" applyAlignment="1">
      <alignment horizontal="center" vertical="center" wrapText="1"/>
    </xf>
    <xf numFmtId="0" fontId="1" fillId="16" borderId="0" xfId="0" applyFont="1" applyFill="1"/>
    <xf numFmtId="1" fontId="1" fillId="16" borderId="0" xfId="0" applyNumberFormat="1" applyFont="1" applyFill="1"/>
    <xf numFmtId="1" fontId="0" fillId="16" borderId="0" xfId="0" applyNumberFormat="1" applyFill="1"/>
    <xf numFmtId="0" fontId="0" fillId="17" borderId="0" xfId="0" applyFill="1"/>
    <xf numFmtId="1" fontId="0" fillId="17" borderId="0" xfId="0" applyNumberFormat="1" applyFill="1"/>
    <xf numFmtId="1" fontId="1" fillId="17" borderId="0" xfId="0" applyNumberFormat="1" applyFont="1" applyFill="1"/>
    <xf numFmtId="0" fontId="1" fillId="18" borderId="0" xfId="0" applyFont="1" applyFill="1"/>
    <xf numFmtId="1" fontId="15" fillId="12" borderId="13" xfId="0" applyNumberFormat="1" applyFont="1" applyFill="1" applyBorder="1"/>
    <xf numFmtId="0" fontId="0" fillId="18" borderId="0" xfId="0" applyFill="1"/>
    <xf numFmtId="1" fontId="0" fillId="18" borderId="0" xfId="0" applyNumberFormat="1" applyFill="1"/>
    <xf numFmtId="0" fontId="1" fillId="19" borderId="0" xfId="0" applyFont="1" applyFill="1"/>
    <xf numFmtId="1" fontId="1" fillId="19" borderId="0" xfId="0" applyNumberFormat="1" applyFont="1" applyFill="1"/>
    <xf numFmtId="167" fontId="0" fillId="0" borderId="0" xfId="0" applyNumberFormat="1"/>
    <xf numFmtId="167" fontId="1" fillId="17" borderId="0" xfId="0" applyNumberFormat="1" applyFont="1" applyFill="1"/>
    <xf numFmtId="0" fontId="18" fillId="0" borderId="0" xfId="0" applyFont="1" applyAlignment="1">
      <alignment wrapText="1"/>
    </xf>
    <xf numFmtId="0" fontId="18" fillId="0" borderId="0" xfId="0" applyFont="1"/>
    <xf numFmtId="167" fontId="18" fillId="0" borderId="0" xfId="0" applyNumberFormat="1" applyFont="1"/>
    <xf numFmtId="167" fontId="1" fillId="0" borderId="0" xfId="0" applyNumberFormat="1" applyFont="1"/>
    <xf numFmtId="167" fontId="1" fillId="0" borderId="4" xfId="0" applyNumberFormat="1" applyFont="1" applyBorder="1"/>
    <xf numFmtId="1" fontId="1" fillId="0" borderId="4" xfId="0" applyNumberFormat="1" applyFont="1" applyBorder="1"/>
    <xf numFmtId="0" fontId="1" fillId="16" borderId="3" xfId="0" applyFont="1" applyFill="1" applyBorder="1"/>
    <xf numFmtId="167" fontId="1" fillId="16" borderId="0" xfId="0" applyNumberFormat="1" applyFont="1" applyFill="1"/>
    <xf numFmtId="0" fontId="1" fillId="16" borderId="4" xfId="0" applyFont="1" applyFill="1" applyBorder="1"/>
    <xf numFmtId="0" fontId="1" fillId="16" borderId="5" xfId="0" applyFont="1" applyFill="1" applyBorder="1"/>
    <xf numFmtId="1" fontId="1" fillId="16" borderId="18" xfId="0" applyNumberFormat="1" applyFont="1" applyFill="1" applyBorder="1"/>
    <xf numFmtId="167" fontId="1" fillId="16" borderId="6" xfId="0" applyNumberFormat="1" applyFont="1" applyFill="1" applyBorder="1"/>
    <xf numFmtId="1" fontId="0" fillId="0" borderId="4" xfId="0" applyNumberFormat="1" applyBorder="1"/>
    <xf numFmtId="1" fontId="0" fillId="16" borderId="18" xfId="0" applyNumberFormat="1" applyFill="1" applyBorder="1"/>
    <xf numFmtId="0" fontId="1" fillId="0" borderId="3" xfId="0" quotePrefix="1" applyFont="1" applyBorder="1"/>
    <xf numFmtId="0" fontId="0" fillId="0" borderId="3" xfId="0" quotePrefix="1" applyBorder="1"/>
    <xf numFmtId="0" fontId="1" fillId="0" borderId="5" xfId="0" quotePrefix="1" applyFont="1" applyBorder="1"/>
    <xf numFmtId="1" fontId="1" fillId="0" borderId="18" xfId="0" applyNumberFormat="1" applyFont="1" applyBorder="1"/>
    <xf numFmtId="0" fontId="1" fillId="7" borderId="1" xfId="0" applyFont="1" applyFill="1" applyBorder="1"/>
    <xf numFmtId="1" fontId="1" fillId="7" borderId="48" xfId="0" applyNumberFormat="1" applyFont="1" applyFill="1" applyBorder="1"/>
    <xf numFmtId="0" fontId="1" fillId="7" borderId="2" xfId="0" applyFont="1" applyFill="1" applyBorder="1"/>
    <xf numFmtId="0" fontId="1" fillId="7" borderId="3" xfId="0" applyFont="1" applyFill="1" applyBorder="1"/>
    <xf numFmtId="1" fontId="1" fillId="7" borderId="0" xfId="0" applyNumberFormat="1" applyFont="1" applyFill="1"/>
    <xf numFmtId="0" fontId="1" fillId="7" borderId="4" xfId="0" applyFont="1" applyFill="1" applyBorder="1"/>
    <xf numFmtId="1" fontId="1" fillId="7" borderId="4" xfId="0" applyNumberFormat="1" applyFont="1" applyFill="1" applyBorder="1"/>
    <xf numFmtId="0" fontId="1" fillId="7" borderId="5" xfId="0" applyFont="1" applyFill="1" applyBorder="1"/>
    <xf numFmtId="0" fontId="1" fillId="7" borderId="18" xfId="0" applyFont="1" applyFill="1" applyBorder="1"/>
    <xf numFmtId="1" fontId="1" fillId="7" borderId="6" xfId="0" applyNumberFormat="1" applyFont="1" applyFill="1" applyBorder="1"/>
    <xf numFmtId="167" fontId="1" fillId="0" borderId="6" xfId="0" applyNumberFormat="1" applyFont="1" applyBorder="1"/>
    <xf numFmtId="167" fontId="0" fillId="0" borderId="4" xfId="0" applyNumberFormat="1" applyBorder="1"/>
    <xf numFmtId="0" fontId="5" fillId="12" borderId="10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22" fillId="0" borderId="0" xfId="0" applyFont="1"/>
    <xf numFmtId="0" fontId="22" fillId="0" borderId="21" xfId="0" applyFont="1" applyBorder="1"/>
    <xf numFmtId="0" fontId="22" fillId="0" borderId="3" xfId="0" applyFont="1" applyBorder="1"/>
    <xf numFmtId="165" fontId="22" fillId="0" borderId="0" xfId="0" applyNumberFormat="1" applyFont="1"/>
    <xf numFmtId="0" fontId="22" fillId="0" borderId="4" xfId="0" applyFont="1" applyBorder="1"/>
    <xf numFmtId="166" fontId="22" fillId="0" borderId="0" xfId="0" applyNumberFormat="1" applyFont="1"/>
    <xf numFmtId="0" fontId="22" fillId="0" borderId="18" xfId="0" applyFont="1" applyBorder="1"/>
    <xf numFmtId="0" fontId="22" fillId="0" borderId="6" xfId="0" applyFont="1" applyBorder="1"/>
    <xf numFmtId="1" fontId="23" fillId="0" borderId="22" xfId="0" applyNumberFormat="1" applyFont="1" applyBorder="1"/>
    <xf numFmtId="0" fontId="0" fillId="0" borderId="3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1" fillId="20" borderId="3" xfId="0" applyFont="1" applyFill="1" applyBorder="1" applyAlignment="1">
      <alignment vertical="top"/>
    </xf>
    <xf numFmtId="0" fontId="1" fillId="20" borderId="5" xfId="0" applyFont="1" applyFill="1" applyBorder="1" applyAlignment="1">
      <alignment vertical="top"/>
    </xf>
    <xf numFmtId="0" fontId="1" fillId="20" borderId="4" xfId="0" applyFont="1" applyFill="1" applyBorder="1" applyAlignment="1">
      <alignment horizontal="center" vertical="center"/>
    </xf>
    <xf numFmtId="1" fontId="1" fillId="20" borderId="6" xfId="0" applyNumberFormat="1" applyFont="1" applyFill="1" applyBorder="1" applyAlignment="1">
      <alignment horizontal="center" vertical="center"/>
    </xf>
    <xf numFmtId="168" fontId="0" fillId="0" borderId="0" xfId="0" applyNumberFormat="1"/>
    <xf numFmtId="168" fontId="22" fillId="0" borderId="0" xfId="0" applyNumberFormat="1" applyFont="1"/>
    <xf numFmtId="0" fontId="1" fillId="0" borderId="49" xfId="0" applyFont="1" applyBorder="1" applyAlignment="1">
      <alignment horizontal="center" vertical="center"/>
    </xf>
    <xf numFmtId="167" fontId="22" fillId="0" borderId="0" xfId="0" applyNumberFormat="1" applyFont="1"/>
    <xf numFmtId="0" fontId="0" fillId="12" borderId="0" xfId="0" applyFill="1"/>
    <xf numFmtId="167" fontId="0" fillId="12" borderId="0" xfId="0" applyNumberFormat="1" applyFill="1"/>
    <xf numFmtId="2" fontId="0" fillId="12" borderId="0" xfId="0" applyNumberFormat="1" applyFill="1"/>
    <xf numFmtId="0" fontId="1" fillId="2" borderId="0" xfId="0" applyFont="1" applyFill="1" applyAlignment="1">
      <alignment horizontal="center" vertical="center"/>
    </xf>
    <xf numFmtId="2" fontId="1" fillId="7" borderId="0" xfId="0" applyNumberFormat="1" applyFont="1" applyFill="1"/>
    <xf numFmtId="0" fontId="25" fillId="0" borderId="0" xfId="0" applyFont="1"/>
    <xf numFmtId="167" fontId="25" fillId="0" borderId="0" xfId="0" applyNumberFormat="1" applyFont="1"/>
    <xf numFmtId="169" fontId="0" fillId="0" borderId="4" xfId="0" quotePrefix="1" applyNumberFormat="1" applyBorder="1"/>
    <xf numFmtId="169" fontId="0" fillId="0" borderId="4" xfId="0" applyNumberFormat="1" applyBorder="1"/>
    <xf numFmtId="0" fontId="1" fillId="4" borderId="5" xfId="0" applyFont="1" applyFill="1" applyBorder="1"/>
    <xf numFmtId="0" fontId="1" fillId="4" borderId="18" xfId="0" applyFont="1" applyFill="1" applyBorder="1"/>
    <xf numFmtId="169" fontId="1" fillId="4" borderId="6" xfId="0" applyNumberFormat="1" applyFont="1" applyFill="1" applyBorder="1"/>
    <xf numFmtId="0" fontId="1" fillId="0" borderId="0" xfId="0" applyFont="1" applyAlignment="1">
      <alignment vertical="center"/>
    </xf>
    <xf numFmtId="9" fontId="9" fillId="12" borderId="11" xfId="0" applyNumberFormat="1" applyFont="1" applyFill="1" applyBorder="1" applyAlignment="1">
      <alignment horizontal="center" vertical="center"/>
    </xf>
    <xf numFmtId="0" fontId="13" fillId="8" borderId="6" xfId="0" applyFont="1" applyFill="1" applyBorder="1"/>
    <xf numFmtId="1" fontId="15" fillId="12" borderId="9" xfId="0" applyNumberFormat="1" applyFont="1" applyFill="1" applyBorder="1" applyAlignment="1">
      <alignment horizontal="center" vertical="center"/>
    </xf>
    <xf numFmtId="0" fontId="15" fillId="12" borderId="11" xfId="0" applyFont="1" applyFill="1" applyBorder="1" applyAlignment="1">
      <alignment horizontal="center"/>
    </xf>
    <xf numFmtId="0" fontId="5" fillId="8" borderId="48" xfId="0" applyFont="1" applyFill="1" applyBorder="1" applyAlignment="1">
      <alignment horizontal="center" vertical="center"/>
    </xf>
    <xf numFmtId="0" fontId="0" fillId="8" borderId="0" xfId="0" applyFill="1"/>
    <xf numFmtId="0" fontId="0" fillId="8" borderId="4" xfId="0" applyFill="1" applyBorder="1"/>
    <xf numFmtId="1" fontId="15" fillId="12" borderId="4" xfId="0" applyNumberFormat="1" applyFont="1" applyFill="1" applyBorder="1" applyAlignment="1">
      <alignment horizontal="center" vertical="center"/>
    </xf>
    <xf numFmtId="0" fontId="18" fillId="0" borderId="3" xfId="0" applyFont="1" applyBorder="1"/>
    <xf numFmtId="0" fontId="21" fillId="11" borderId="40" xfId="0" applyFont="1" applyFill="1" applyBorder="1" applyAlignment="1">
      <alignment horizontal="center" vertical="center"/>
    </xf>
    <xf numFmtId="0" fontId="21" fillId="11" borderId="50" xfId="0" applyFont="1" applyFill="1" applyBorder="1" applyAlignment="1">
      <alignment horizontal="center" vertical="center"/>
    </xf>
    <xf numFmtId="0" fontId="21" fillId="11" borderId="10" xfId="0" applyFont="1" applyFill="1" applyBorder="1" applyAlignment="1">
      <alignment horizontal="center" vertical="center"/>
    </xf>
    <xf numFmtId="0" fontId="21" fillId="11" borderId="9" xfId="0" applyFont="1" applyFill="1" applyBorder="1" applyAlignment="1">
      <alignment horizontal="center" vertical="center"/>
    </xf>
    <xf numFmtId="0" fontId="21" fillId="11" borderId="11" xfId="0" applyFont="1" applyFill="1" applyBorder="1" applyAlignment="1">
      <alignment horizontal="center" vertical="center"/>
    </xf>
    <xf numFmtId="0" fontId="5" fillId="8" borderId="33" xfId="0" applyFont="1" applyFill="1" applyBorder="1" applyAlignment="1">
      <alignment horizontal="center" vertical="center"/>
    </xf>
    <xf numFmtId="0" fontId="5" fillId="8" borderId="24" xfId="0" applyFont="1" applyFill="1" applyBorder="1" applyAlignment="1">
      <alignment horizontal="center" vertical="center"/>
    </xf>
    <xf numFmtId="0" fontId="5" fillId="8" borderId="29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5" fillId="8" borderId="32" xfId="0" applyFont="1" applyFill="1" applyBorder="1" applyAlignment="1">
      <alignment horizontal="center" vertical="center"/>
    </xf>
    <xf numFmtId="1" fontId="2" fillId="12" borderId="10" xfId="0" applyNumberFormat="1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9" fillId="12" borderId="10" xfId="0" applyFont="1" applyFill="1" applyBorder="1" applyAlignment="1">
      <alignment horizontal="center" vertical="center"/>
    </xf>
    <xf numFmtId="0" fontId="9" fillId="12" borderId="9" xfId="0" applyFont="1" applyFill="1" applyBorder="1" applyAlignment="1">
      <alignment horizontal="center" vertical="center"/>
    </xf>
    <xf numFmtId="0" fontId="5" fillId="8" borderId="28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31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7" fillId="15" borderId="25" xfId="0" applyFont="1" applyFill="1" applyBorder="1" applyAlignment="1">
      <alignment horizontal="center" vertical="center"/>
    </xf>
    <xf numFmtId="0" fontId="7" fillId="15" borderId="32" xfId="0" applyFont="1" applyFill="1" applyBorder="1" applyAlignment="1">
      <alignment horizontal="center" vertical="center"/>
    </xf>
    <xf numFmtId="0" fontId="21" fillId="11" borderId="15" xfId="0" applyFont="1" applyFill="1" applyBorder="1" applyAlignment="1">
      <alignment horizontal="center" vertical="center"/>
    </xf>
    <xf numFmtId="0" fontId="21" fillId="11" borderId="19" xfId="0" applyFont="1" applyFill="1" applyBorder="1" applyAlignment="1">
      <alignment horizontal="center" vertical="center"/>
    </xf>
    <xf numFmtId="0" fontId="21" fillId="11" borderId="16" xfId="0" applyFont="1" applyFill="1" applyBorder="1" applyAlignment="1">
      <alignment horizontal="center" vertical="center"/>
    </xf>
    <xf numFmtId="0" fontId="8" fillId="9" borderId="21" xfId="0" applyFont="1" applyFill="1" applyBorder="1" applyAlignment="1">
      <alignment horizontal="center" vertical="top" wrapText="1"/>
    </xf>
    <xf numFmtId="0" fontId="8" fillId="9" borderId="37" xfId="0" applyFont="1" applyFill="1" applyBorder="1" applyAlignment="1">
      <alignment horizontal="center" vertical="top"/>
    </xf>
    <xf numFmtId="0" fontId="8" fillId="9" borderId="22" xfId="0" applyFont="1" applyFill="1" applyBorder="1" applyAlignment="1">
      <alignment horizontal="center" vertical="top"/>
    </xf>
    <xf numFmtId="0" fontId="7" fillId="10" borderId="19" xfId="0" applyFont="1" applyFill="1" applyBorder="1" applyAlignment="1">
      <alignment horizontal="center" vertical="center"/>
    </xf>
    <xf numFmtId="0" fontId="7" fillId="10" borderId="16" xfId="0" applyFont="1" applyFill="1" applyBorder="1" applyAlignment="1">
      <alignment horizontal="center" vertical="center"/>
    </xf>
    <xf numFmtId="0" fontId="7" fillId="11" borderId="10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1" xfId="0" applyFont="1" applyFill="1" applyBorder="1" applyAlignment="1">
      <alignment horizontal="center" vertical="center"/>
    </xf>
    <xf numFmtId="1" fontId="2" fillId="12" borderId="9" xfId="0" applyNumberFormat="1" applyFont="1" applyFill="1" applyBorder="1" applyAlignment="1">
      <alignment horizontal="center" vertical="center"/>
    </xf>
    <xf numFmtId="1" fontId="2" fillId="12" borderId="11" xfId="0" applyNumberFormat="1" applyFont="1" applyFill="1" applyBorder="1" applyAlignment="1">
      <alignment horizontal="center" vertical="center"/>
    </xf>
    <xf numFmtId="0" fontId="7" fillId="10" borderId="15" xfId="0" applyFont="1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3" xfId="0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0" fillId="7" borderId="40" xfId="0" applyFill="1" applyBorder="1" applyAlignment="1">
      <alignment horizontal="center"/>
    </xf>
    <xf numFmtId="0" fontId="0" fillId="7" borderId="41" xfId="0" applyFill="1" applyBorder="1" applyAlignment="1">
      <alignment horizontal="center"/>
    </xf>
    <xf numFmtId="0" fontId="0" fillId="7" borderId="42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2" fillId="0" borderId="1" xfId="0" applyFont="1" applyBorder="1" applyAlignment="1">
      <alignment horizontal="center"/>
    </xf>
    <xf numFmtId="0" fontId="22" fillId="0" borderId="48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1" fontId="15" fillId="12" borderId="17" xfId="0" applyNumberFormat="1" applyFont="1" applyFill="1" applyBorder="1" applyAlignment="1">
      <alignment horizontal="center"/>
    </xf>
    <xf numFmtId="0" fontId="15" fillId="12" borderId="30" xfId="0" applyFont="1" applyFill="1" applyBorder="1" applyAlignment="1">
      <alignment horizontal="center"/>
    </xf>
    <xf numFmtId="0" fontId="15" fillId="12" borderId="20" xfId="0" applyFont="1" applyFill="1" applyBorder="1" applyAlignment="1">
      <alignment horizontal="center"/>
    </xf>
    <xf numFmtId="0" fontId="15" fillId="12" borderId="36" xfId="0" applyFont="1" applyFill="1" applyBorder="1" applyAlignment="1">
      <alignment horizontal="center"/>
    </xf>
    <xf numFmtId="0" fontId="7" fillId="10" borderId="30" xfId="0" applyFont="1" applyFill="1" applyBorder="1" applyAlignment="1">
      <alignment horizontal="center" vertical="center"/>
    </xf>
    <xf numFmtId="0" fontId="7" fillId="10" borderId="36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7" fillId="10" borderId="35" xfId="0" applyFont="1" applyFill="1" applyBorder="1" applyAlignment="1">
      <alignment horizontal="center" vertical="center"/>
    </xf>
    <xf numFmtId="0" fontId="0" fillId="0" borderId="48" xfId="0" applyBorder="1" applyAlignment="1">
      <alignment horizontal="center"/>
    </xf>
  </cellXfs>
  <cellStyles count="1">
    <cellStyle name="Normal" xfId="0" builtinId="0"/>
  </cellStyles>
  <dxfs count="7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strike val="0"/>
      </font>
      <fill>
        <patternFill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W&amp;B</a:t>
            </a:r>
          </a:p>
        </c:rich>
      </c:tx>
      <c:layout>
        <c:manualLayout>
          <c:xMode val="edge"/>
          <c:yMode val="edge"/>
          <c:x val="0.45476815398075249"/>
          <c:y val="2.1080360158783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'206 W&amp;B Fuel Calculator'!$G$11:$G$15</c:f>
              <c:numCache>
                <c:formatCode>General</c:formatCode>
                <c:ptCount val="5"/>
                <c:pt idx="0">
                  <c:v>33</c:v>
                </c:pt>
                <c:pt idx="1">
                  <c:v>33</c:v>
                </c:pt>
                <c:pt idx="2">
                  <c:v>43</c:v>
                </c:pt>
                <c:pt idx="3">
                  <c:v>49.7</c:v>
                </c:pt>
                <c:pt idx="4">
                  <c:v>49.7</c:v>
                </c:pt>
              </c:numCache>
            </c:numRef>
          </c:xVal>
          <c:yVal>
            <c:numRef>
              <c:f>'206 W&amp;B Fuel Calculator'!$H$11:$H$15</c:f>
              <c:numCache>
                <c:formatCode>General</c:formatCode>
                <c:ptCount val="5"/>
                <c:pt idx="0">
                  <c:v>1900</c:v>
                </c:pt>
                <c:pt idx="1">
                  <c:v>2500</c:v>
                </c:pt>
                <c:pt idx="2">
                  <c:v>3800</c:v>
                </c:pt>
                <c:pt idx="3">
                  <c:v>3800</c:v>
                </c:pt>
                <c:pt idx="4">
                  <c:v>1900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D0-4A31-9FD0-286BC8AFE3FB}"/>
            </c:ext>
          </c:extLst>
        </c:ser>
        <c:ser>
          <c:idx val="1"/>
          <c:order val="1"/>
          <c:spPr>
            <a:ln w="101600" cap="sq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4925">
                <a:solidFill>
                  <a:srgbClr val="FF0000"/>
                </a:solidFill>
              </a:ln>
              <a:effectLst/>
            </c:spPr>
          </c:marker>
          <c:xVal>
            <c:numRef>
              <c:f>'206 W&amp;B Fuel Calculator'!$G$16</c:f>
              <c:numCache>
                <c:formatCode>0.00</c:formatCode>
                <c:ptCount val="1"/>
                <c:pt idx="0">
                  <c:v>43.828430836522685</c:v>
                </c:pt>
              </c:numCache>
            </c:numRef>
          </c:xVal>
          <c:yVal>
            <c:numRef>
              <c:f>'206 W&amp;B Fuel Calculator'!$H$16</c:f>
              <c:numCache>
                <c:formatCode>General</c:formatCode>
                <c:ptCount val="1"/>
                <c:pt idx="0">
                  <c:v>3658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D0-4A31-9FD0-286BC8AFE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433312"/>
        <c:axId val="1128437888"/>
      </c:scatterChart>
      <c:valAx>
        <c:axId val="1128433312"/>
        <c:scaling>
          <c:orientation val="minMax"/>
          <c:min val="31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37888"/>
        <c:crosses val="autoZero"/>
        <c:crossBetween val="midCat"/>
        <c:majorUnit val="2"/>
      </c:valAx>
      <c:valAx>
        <c:axId val="1128437888"/>
        <c:scaling>
          <c:orientation val="minMax"/>
          <c:min val="1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33312"/>
        <c:crosses val="autoZero"/>
        <c:crossBetween val="midCat"/>
      </c:valAx>
      <c:spPr>
        <a:noFill/>
        <a:ln>
          <a:solidFill>
            <a:srgbClr val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3</xdr:row>
      <xdr:rowOff>126681</xdr:rowOff>
    </xdr:from>
    <xdr:to>
      <xdr:col>15</xdr:col>
      <xdr:colOff>11430</xdr:colOff>
      <xdr:row>24</xdr:row>
      <xdr:rowOff>100965</xdr:rowOff>
    </xdr:to>
    <xdr:graphicFrame macro="">
      <xdr:nvGraphicFramePr>
        <xdr:cNvPr id="5" name="W&amp;B Chart">
          <a:extLst>
            <a:ext uri="{FF2B5EF4-FFF2-40B4-BE49-F238E27FC236}">
              <a16:creationId xmlns:a16="http://schemas.microsoft.com/office/drawing/2014/main" id="{D2EA7ABF-6A05-5325-2E07-D61456546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A69E-7E09-4DD1-BF8C-9EFC47B50419}">
  <sheetPr>
    <tabColor theme="4" tint="0.79998168889431442"/>
  </sheetPr>
  <dimension ref="A1:G32"/>
  <sheetViews>
    <sheetView tabSelected="1" topLeftCell="A3" zoomScaleNormal="100" workbookViewId="0">
      <selection activeCell="D32" sqref="D32"/>
    </sheetView>
  </sheetViews>
  <sheetFormatPr defaultRowHeight="14.45"/>
  <cols>
    <col min="1" max="1" width="3.28515625" customWidth="1"/>
    <col min="2" max="2" width="9.28515625" customWidth="1"/>
    <col min="3" max="3" width="9.28515625" bestFit="1" customWidth="1"/>
    <col min="4" max="4" width="12.140625" bestFit="1" customWidth="1"/>
    <col min="5" max="5" width="1.42578125" customWidth="1"/>
    <col min="6" max="6" width="9.85546875" bestFit="1" customWidth="1"/>
    <col min="7" max="7" width="11.85546875" bestFit="1" customWidth="1"/>
    <col min="8" max="8" width="2.7109375" customWidth="1"/>
  </cols>
  <sheetData>
    <row r="1" spans="1:7" ht="15" thickBot="1">
      <c r="A1" s="18"/>
    </row>
    <row r="2" spans="1:7" ht="42.75" customHeight="1" thickBot="1">
      <c r="A2" s="9"/>
      <c r="B2" s="263" t="s">
        <v>0</v>
      </c>
      <c r="C2" s="264"/>
      <c r="D2" s="264"/>
      <c r="E2" s="264"/>
      <c r="F2" s="264"/>
      <c r="G2" s="265"/>
    </row>
    <row r="3" spans="1:7" ht="15.6">
      <c r="B3" s="273" t="s">
        <v>1</v>
      </c>
      <c r="C3" s="266"/>
      <c r="D3" s="266"/>
      <c r="E3" s="233"/>
      <c r="F3" s="266" t="s">
        <v>2</v>
      </c>
      <c r="G3" s="267"/>
    </row>
    <row r="4" spans="1:7">
      <c r="B4" s="274" t="s">
        <v>3</v>
      </c>
      <c r="C4" s="275"/>
      <c r="D4" s="275"/>
      <c r="E4" s="58"/>
      <c r="F4" s="275" t="s">
        <v>4</v>
      </c>
      <c r="G4" s="276"/>
    </row>
    <row r="5" spans="1:7" ht="3.75" customHeight="1">
      <c r="B5" s="255"/>
      <c r="C5" s="256"/>
      <c r="D5" s="257"/>
      <c r="E5" s="57"/>
      <c r="F5" s="246"/>
      <c r="G5" s="247"/>
    </row>
    <row r="6" spans="1:7" ht="15.6">
      <c r="B6" s="31" t="s">
        <v>5</v>
      </c>
      <c r="C6" s="27" t="s">
        <v>6</v>
      </c>
      <c r="D6" s="27" t="s">
        <v>7</v>
      </c>
      <c r="E6" s="57"/>
      <c r="F6" s="27" t="s">
        <v>8</v>
      </c>
      <c r="G6" s="32" t="s">
        <v>9</v>
      </c>
    </row>
    <row r="7" spans="1:7" ht="18.75" customHeight="1">
      <c r="B7" s="194">
        <f>F14</f>
        <v>5256.0000000000009</v>
      </c>
      <c r="C7" s="195">
        <f>F10</f>
        <v>7</v>
      </c>
      <c r="D7" s="195">
        <f>'206 W&amp;B Fuel Calculator'!B22</f>
        <v>3658</v>
      </c>
      <c r="E7" s="57"/>
      <c r="F7" s="29">
        <v>3456</v>
      </c>
      <c r="G7" s="33">
        <v>28.12</v>
      </c>
    </row>
    <row r="8" spans="1:7" ht="4.5" customHeight="1">
      <c r="B8" s="255"/>
      <c r="C8" s="256"/>
      <c r="D8" s="257"/>
      <c r="E8" s="57"/>
      <c r="F8" s="246"/>
      <c r="G8" s="247"/>
    </row>
    <row r="9" spans="1:7" ht="15.6">
      <c r="B9" s="268" t="s">
        <v>10</v>
      </c>
      <c r="C9" s="269"/>
      <c r="D9" s="269"/>
      <c r="E9" s="57"/>
      <c r="F9" s="27" t="s">
        <v>11</v>
      </c>
      <c r="G9" s="32"/>
    </row>
    <row r="10" spans="1:7" ht="15.6">
      <c r="B10" s="250" t="s">
        <v>12</v>
      </c>
      <c r="C10" s="251"/>
      <c r="D10" s="43">
        <v>1.33</v>
      </c>
      <c r="E10" s="57"/>
      <c r="F10" s="29">
        <v>7</v>
      </c>
      <c r="G10" s="95"/>
    </row>
    <row r="11" spans="1:7" ht="21" customHeight="1">
      <c r="B11" s="248">
        <f ca="1">'206 Wind Slope'!B43</f>
        <v>965.20050000000015</v>
      </c>
      <c r="C11" s="249"/>
      <c r="D11" s="28">
        <f ca="1">B11*D10</f>
        <v>1283.7166650000004</v>
      </c>
      <c r="E11" s="252"/>
      <c r="F11" s="253"/>
      <c r="G11" s="254"/>
    </row>
    <row r="12" spans="1:7" ht="5.25" customHeight="1">
      <c r="B12" s="255"/>
      <c r="C12" s="256"/>
      <c r="D12" s="257"/>
      <c r="E12" s="252"/>
      <c r="F12" s="253"/>
      <c r="G12" s="254"/>
    </row>
    <row r="13" spans="1:7" ht="15.6">
      <c r="B13" s="250" t="s">
        <v>13</v>
      </c>
      <c r="C13" s="251"/>
      <c r="D13" s="43">
        <v>1.33</v>
      </c>
      <c r="E13" s="57"/>
      <c r="F13" s="269" t="s">
        <v>14</v>
      </c>
      <c r="G13" s="270"/>
    </row>
    <row r="14" spans="1:7" ht="21.75" customHeight="1">
      <c r="B14" s="248">
        <f ca="1">'206 Wind Slope'!B44</f>
        <v>1992.99</v>
      </c>
      <c r="C14" s="249"/>
      <c r="D14" s="28">
        <f ca="1">B14*D13</f>
        <v>2650.6767</v>
      </c>
      <c r="E14" s="57"/>
      <c r="F14" s="271">
        <f>(((29.92-G7)*1000)+F7)</f>
        <v>5256.0000000000009</v>
      </c>
      <c r="G14" s="272"/>
    </row>
    <row r="15" spans="1:7" ht="6.75" customHeight="1">
      <c r="B15" s="255"/>
      <c r="C15" s="256"/>
      <c r="D15" s="257"/>
      <c r="E15" s="252"/>
      <c r="F15" s="253"/>
      <c r="G15" s="254"/>
    </row>
    <row r="16" spans="1:7" ht="15.6">
      <c r="B16" s="268" t="s">
        <v>15</v>
      </c>
      <c r="C16" s="269"/>
      <c r="D16" s="269"/>
      <c r="E16" s="57"/>
      <c r="F16" s="258" t="s">
        <v>16</v>
      </c>
      <c r="G16" s="259"/>
    </row>
    <row r="17" spans="2:7" ht="18">
      <c r="B17" s="39" t="s">
        <v>17</v>
      </c>
      <c r="C17" s="40" t="s">
        <v>18</v>
      </c>
      <c r="D17" s="56" t="s">
        <v>19</v>
      </c>
      <c r="E17" s="57"/>
      <c r="F17" s="38" t="s">
        <v>20</v>
      </c>
      <c r="G17" s="229" t="s">
        <v>21</v>
      </c>
    </row>
    <row r="18" spans="2:7" ht="19.5" customHeight="1">
      <c r="B18" s="41" t="s">
        <v>22</v>
      </c>
      <c r="C18" s="42" t="s">
        <v>23</v>
      </c>
      <c r="D18" s="30">
        <f ca="1">D20-5</f>
        <v>51</v>
      </c>
      <c r="E18" s="59"/>
      <c r="F18" s="231">
        <f ca="1">'206 Wind Slope'!C46</f>
        <v>834.21</v>
      </c>
      <c r="G18" s="236">
        <f ca="1">(F18/3*5)+100</f>
        <v>1490.35</v>
      </c>
    </row>
    <row r="19" spans="2:7" ht="19.5" customHeight="1">
      <c r="B19" s="41" t="s">
        <v>24</v>
      </c>
      <c r="C19" s="42" t="s">
        <v>25</v>
      </c>
      <c r="D19" s="30">
        <f ca="1">D18-10</f>
        <v>41</v>
      </c>
      <c r="E19" s="59"/>
      <c r="F19" s="234"/>
      <c r="G19" s="60" t="s">
        <v>26</v>
      </c>
    </row>
    <row r="20" spans="2:7" ht="20.25" customHeight="1">
      <c r="B20" s="41" t="s">
        <v>24</v>
      </c>
      <c r="C20" s="42" t="s">
        <v>27</v>
      </c>
      <c r="D20" s="30">
        <f ca="1">'206 WT Interpolation'!D11</f>
        <v>56</v>
      </c>
      <c r="E20" s="59"/>
      <c r="F20" s="234"/>
      <c r="G20" s="232">
        <f ca="1">'206 WT Interpolation'!H11</f>
        <v>65</v>
      </c>
    </row>
    <row r="21" spans="2:7" ht="4.5" customHeight="1">
      <c r="B21" s="243"/>
      <c r="C21" s="244"/>
      <c r="D21" s="245"/>
      <c r="E21" s="45"/>
      <c r="F21" s="234"/>
      <c r="G21" s="235"/>
    </row>
    <row r="22" spans="2:7" ht="18">
      <c r="B22" s="37" t="s">
        <v>28</v>
      </c>
      <c r="C22" s="38" t="s">
        <v>29</v>
      </c>
      <c r="D22" s="38" t="s">
        <v>30</v>
      </c>
      <c r="E22" s="45"/>
      <c r="F22" s="234"/>
      <c r="G22" s="235"/>
    </row>
    <row r="23" spans="2:7" ht="21" customHeight="1" thickBot="1">
      <c r="B23" s="34">
        <f ca="1">'206 WT Interpolation'!E11</f>
        <v>89</v>
      </c>
      <c r="C23" s="35">
        <f ca="1">'206 WT Interpolation'!F11</f>
        <v>70</v>
      </c>
      <c r="D23" s="36">
        <f ca="1">'206 WT Interpolation'!G11</f>
        <v>76</v>
      </c>
      <c r="E23" s="46"/>
      <c r="F23" s="104" t="s">
        <v>31</v>
      </c>
      <c r="G23" s="230">
        <v>20230307</v>
      </c>
    </row>
    <row r="24" spans="2:7" ht="15" thickBot="1"/>
    <row r="25" spans="2:7">
      <c r="B25" s="260" t="s">
        <v>32</v>
      </c>
      <c r="C25" s="261"/>
      <c r="D25" s="262"/>
      <c r="F25" s="238" t="s">
        <v>33</v>
      </c>
      <c r="G25" s="239"/>
    </row>
    <row r="26" spans="2:7">
      <c r="B26" s="144"/>
      <c r="C26" s="149" t="s">
        <v>34</v>
      </c>
      <c r="D26" s="145" t="s">
        <v>35</v>
      </c>
      <c r="F26" s="144" t="s">
        <v>36</v>
      </c>
      <c r="G26" s="140">
        <v>0</v>
      </c>
    </row>
    <row r="27" spans="2:7">
      <c r="B27" s="144" t="s">
        <v>37</v>
      </c>
      <c r="C27" s="140">
        <v>7</v>
      </c>
      <c r="D27" s="146">
        <v>0</v>
      </c>
    </row>
    <row r="28" spans="2:7" ht="15" thickBot="1">
      <c r="B28" s="147"/>
      <c r="C28" s="107"/>
      <c r="D28" s="148"/>
    </row>
    <row r="29" spans="2:7">
      <c r="B29" s="240" t="s">
        <v>38</v>
      </c>
      <c r="C29" s="241"/>
      <c r="D29" s="242"/>
      <c r="F29" s="238" t="s">
        <v>39</v>
      </c>
      <c r="G29" s="239"/>
    </row>
    <row r="30" spans="2:7">
      <c r="B30" s="144"/>
      <c r="C30" s="139" t="s">
        <v>40</v>
      </c>
      <c r="D30" s="145" t="s">
        <v>41</v>
      </c>
      <c r="F30" s="144" t="s">
        <v>36</v>
      </c>
      <c r="G30" s="140">
        <v>0</v>
      </c>
    </row>
    <row r="31" spans="2:7" ht="15" thickBot="1">
      <c r="B31" s="141" t="s">
        <v>36</v>
      </c>
      <c r="C31" s="142">
        <v>0</v>
      </c>
      <c r="D31" s="143">
        <v>3</v>
      </c>
    </row>
    <row r="32" spans="2:7" ht="18">
      <c r="B32" s="26"/>
      <c r="C32" s="26"/>
      <c r="D32" s="26"/>
    </row>
  </sheetData>
  <protectedRanges>
    <protectedRange sqref="B7:D7 F7:G7 F10:G10" name="Enter Values here"/>
  </protectedRanges>
  <customSheetViews>
    <customSheetView guid="{A2505430-CCF1-4597-83D2-DC6893397C3D}" showPageBreaks="1" showGridLines="0" showRowCol="0">
      <selection activeCell="B2" sqref="B2:G23"/>
      <pageMargins left="0" right="0" top="0" bottom="0" header="0" footer="0"/>
      <pageSetup orientation="portrait" r:id="rId1"/>
    </customSheetView>
  </customSheetViews>
  <mergeCells count="27">
    <mergeCell ref="B2:G2"/>
    <mergeCell ref="F3:G3"/>
    <mergeCell ref="B9:D9"/>
    <mergeCell ref="B16:D16"/>
    <mergeCell ref="F13:G13"/>
    <mergeCell ref="F14:G14"/>
    <mergeCell ref="B10:C10"/>
    <mergeCell ref="B3:D3"/>
    <mergeCell ref="B4:D4"/>
    <mergeCell ref="F4:G4"/>
    <mergeCell ref="B8:D8"/>
    <mergeCell ref="B5:D5"/>
    <mergeCell ref="B15:D15"/>
    <mergeCell ref="F29:G29"/>
    <mergeCell ref="B29:D29"/>
    <mergeCell ref="B21:D21"/>
    <mergeCell ref="F5:G5"/>
    <mergeCell ref="F8:G8"/>
    <mergeCell ref="B11:C11"/>
    <mergeCell ref="B13:C13"/>
    <mergeCell ref="B14:C14"/>
    <mergeCell ref="E11:G12"/>
    <mergeCell ref="E15:G15"/>
    <mergeCell ref="B12:D12"/>
    <mergeCell ref="F16:G16"/>
    <mergeCell ref="B25:D25"/>
    <mergeCell ref="F25:G25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3B82-B612-458A-A5F0-65CC5058D8FF}">
  <sheetPr>
    <tabColor theme="4" tint="0.79998168889431442"/>
  </sheetPr>
  <dimension ref="A1:K34"/>
  <sheetViews>
    <sheetView topLeftCell="A8" workbookViewId="0">
      <selection activeCell="B20" sqref="B20"/>
    </sheetView>
  </sheetViews>
  <sheetFormatPr defaultRowHeight="14.45"/>
  <cols>
    <col min="1" max="1" width="19.42578125" bestFit="1" customWidth="1"/>
    <col min="2" max="2" width="7.7109375" bestFit="1" customWidth="1"/>
    <col min="3" max="3" width="14.85546875" bestFit="1" customWidth="1"/>
    <col min="5" max="5" width="9.5703125" bestFit="1" customWidth="1"/>
  </cols>
  <sheetData>
    <row r="1" spans="1:11" ht="18">
      <c r="A1" s="277" t="s">
        <v>42</v>
      </c>
      <c r="B1" s="277"/>
      <c r="C1" s="277"/>
      <c r="D1" s="277"/>
    </row>
    <row r="2" spans="1:11" ht="15" thickBot="1"/>
    <row r="3" spans="1:11" ht="29.45" thickBot="1">
      <c r="A3" s="2" t="s">
        <v>43</v>
      </c>
      <c r="B3" s="214" t="s">
        <v>44</v>
      </c>
    </row>
    <row r="5" spans="1:11">
      <c r="A5" s="7" t="s">
        <v>45</v>
      </c>
      <c r="B5" s="7" t="s">
        <v>46</v>
      </c>
      <c r="C5" s="7" t="s">
        <v>47</v>
      </c>
      <c r="D5" s="7" t="s">
        <v>48</v>
      </c>
      <c r="G5" s="196"/>
      <c r="H5" s="196" t="s">
        <v>44</v>
      </c>
      <c r="I5" s="196" t="s">
        <v>49</v>
      </c>
      <c r="J5" s="196" t="s">
        <v>50</v>
      </c>
    </row>
    <row r="6" spans="1:11">
      <c r="A6" t="s">
        <v>51</v>
      </c>
      <c r="B6" s="216">
        <f>HLOOKUP(B3,H5:J8,2)</f>
        <v>2428</v>
      </c>
      <c r="C6" s="216">
        <f>HLOOKUP(B3,H5:J8,3)</f>
        <v>39.299999999999997</v>
      </c>
      <c r="D6" s="217">
        <f>B6*C6</f>
        <v>95420.4</v>
      </c>
      <c r="G6" s="196" t="s">
        <v>51</v>
      </c>
      <c r="H6" s="196">
        <v>2428</v>
      </c>
      <c r="I6" s="196">
        <v>2412.1</v>
      </c>
      <c r="J6" s="196">
        <v>2439.1</v>
      </c>
    </row>
    <row r="7" spans="1:11">
      <c r="A7" t="s">
        <v>52</v>
      </c>
      <c r="B7" s="219">
        <v>40</v>
      </c>
      <c r="C7" s="216">
        <v>46.5</v>
      </c>
      <c r="D7" s="217">
        <f>E7*C7</f>
        <v>11160</v>
      </c>
      <c r="E7">
        <f>B7*6</f>
        <v>240</v>
      </c>
      <c r="G7" s="196" t="s">
        <v>53</v>
      </c>
      <c r="H7" s="196">
        <v>39.299999999999997</v>
      </c>
      <c r="I7" s="196">
        <v>38.9</v>
      </c>
      <c r="J7" s="196">
        <v>39</v>
      </c>
    </row>
    <row r="8" spans="1:11">
      <c r="A8" t="s">
        <v>54</v>
      </c>
      <c r="B8" s="219">
        <v>40</v>
      </c>
      <c r="C8" s="216">
        <v>46.5</v>
      </c>
      <c r="D8" s="217">
        <f t="shared" ref="D8:D10" si="0">E8*C8</f>
        <v>11160</v>
      </c>
      <c r="E8">
        <f>B8*6</f>
        <v>240</v>
      </c>
      <c r="G8" s="196" t="s">
        <v>55</v>
      </c>
      <c r="H8" s="215">
        <f>H6*H7</f>
        <v>95420.4</v>
      </c>
      <c r="I8" s="215">
        <f t="shared" ref="I8:J8" si="1">I6*I7</f>
        <v>93830.689999999988</v>
      </c>
      <c r="J8" s="215">
        <f t="shared" si="1"/>
        <v>95124.9</v>
      </c>
    </row>
    <row r="9" spans="1:11">
      <c r="A9" t="s">
        <v>56</v>
      </c>
      <c r="B9" s="219">
        <v>15</v>
      </c>
      <c r="C9" s="216">
        <v>53</v>
      </c>
      <c r="D9" s="217">
        <f t="shared" si="0"/>
        <v>4770</v>
      </c>
      <c r="E9">
        <f>B9*6</f>
        <v>90</v>
      </c>
    </row>
    <row r="10" spans="1:11">
      <c r="A10" t="s">
        <v>57</v>
      </c>
      <c r="B10" s="219">
        <v>15</v>
      </c>
      <c r="C10" s="216">
        <v>53</v>
      </c>
      <c r="D10" s="217">
        <f t="shared" si="0"/>
        <v>4770</v>
      </c>
      <c r="E10">
        <f t="shared" ref="E10" si="2">B10*6</f>
        <v>90</v>
      </c>
      <c r="G10" s="196" t="s">
        <v>58</v>
      </c>
    </row>
    <row r="11" spans="1:11">
      <c r="A11" t="s">
        <v>59</v>
      </c>
      <c r="B11" s="219">
        <v>200</v>
      </c>
      <c r="C11" s="216">
        <v>37</v>
      </c>
      <c r="D11" s="217">
        <f t="shared" ref="D11:D18" si="3">B11*C11</f>
        <v>7400</v>
      </c>
      <c r="G11">
        <v>33</v>
      </c>
      <c r="H11">
        <v>1900</v>
      </c>
      <c r="J11" s="221" t="s">
        <v>60</v>
      </c>
      <c r="K11" s="222"/>
    </row>
    <row r="12" spans="1:11">
      <c r="A12" t="s">
        <v>61</v>
      </c>
      <c r="B12" s="219">
        <v>200</v>
      </c>
      <c r="C12" s="216">
        <v>37</v>
      </c>
      <c r="D12" s="217">
        <f t="shared" si="3"/>
        <v>7400</v>
      </c>
      <c r="G12">
        <v>33</v>
      </c>
      <c r="H12">
        <v>2500</v>
      </c>
      <c r="J12" s="221">
        <f>(H13-H12)/(G13-G12)</f>
        <v>130</v>
      </c>
      <c r="K12" s="222">
        <f>(H16-H12)/(G16-G12)</f>
        <v>106.94070244178302</v>
      </c>
    </row>
    <row r="13" spans="1:11">
      <c r="A13" t="s">
        <v>62</v>
      </c>
      <c r="B13" s="219">
        <v>20</v>
      </c>
      <c r="C13" s="216">
        <v>84</v>
      </c>
      <c r="D13" s="217">
        <f t="shared" si="3"/>
        <v>1680</v>
      </c>
      <c r="G13">
        <v>43</v>
      </c>
      <c r="H13">
        <v>3800</v>
      </c>
    </row>
    <row r="14" spans="1:11">
      <c r="A14" t="s">
        <v>63</v>
      </c>
      <c r="B14" s="219">
        <v>0</v>
      </c>
      <c r="C14" s="216">
        <v>84</v>
      </c>
      <c r="D14" s="217">
        <f t="shared" si="3"/>
        <v>0</v>
      </c>
      <c r="G14">
        <v>49.7</v>
      </c>
      <c r="H14">
        <v>3800</v>
      </c>
    </row>
    <row r="15" spans="1:11">
      <c r="A15" t="s">
        <v>64</v>
      </c>
      <c r="B15" s="219">
        <v>-14</v>
      </c>
      <c r="C15" s="216">
        <v>105</v>
      </c>
      <c r="D15" s="217">
        <f t="shared" si="3"/>
        <v>-1470</v>
      </c>
      <c r="G15">
        <v>49.7</v>
      </c>
      <c r="H15">
        <v>1900</v>
      </c>
    </row>
    <row r="16" spans="1:11">
      <c r="A16" t="s">
        <v>65</v>
      </c>
      <c r="B16" s="219">
        <v>-14</v>
      </c>
      <c r="C16" s="216">
        <v>105</v>
      </c>
      <c r="D16" s="217">
        <f t="shared" si="3"/>
        <v>-1470</v>
      </c>
      <c r="G16" s="115">
        <f>B23</f>
        <v>43.828430836522685</v>
      </c>
      <c r="H16">
        <f>B20</f>
        <v>3658</v>
      </c>
      <c r="I16" t="s">
        <v>66</v>
      </c>
    </row>
    <row r="17" spans="1:7">
      <c r="A17" t="s">
        <v>67</v>
      </c>
      <c r="B17" s="219">
        <v>150</v>
      </c>
      <c r="C17" s="216">
        <v>122</v>
      </c>
      <c r="D17" s="217">
        <f t="shared" si="3"/>
        <v>18300</v>
      </c>
    </row>
    <row r="18" spans="1:7">
      <c r="A18" t="s">
        <v>68</v>
      </c>
      <c r="B18" s="219">
        <v>28</v>
      </c>
      <c r="C18" s="216">
        <v>43</v>
      </c>
      <c r="D18" s="217">
        <f t="shared" si="3"/>
        <v>1204</v>
      </c>
      <c r="F18" s="278" t="s">
        <v>69</v>
      </c>
      <c r="G18" t="b">
        <f>IF(K12&lt;J12,TRUE,FALSE)</f>
        <v>1</v>
      </c>
    </row>
    <row r="19" spans="1:7">
      <c r="F19" s="278"/>
      <c r="G19" t="b">
        <f>IF(B23&lt;G14,TRUE,FALSE)</f>
        <v>1</v>
      </c>
    </row>
    <row r="20" spans="1:7">
      <c r="A20" t="s">
        <v>18</v>
      </c>
      <c r="B20" s="216">
        <f>SUM(B6,E7:E10,B11:B18)</f>
        <v>3658</v>
      </c>
      <c r="C20" s="218">
        <f>D20/B20</f>
        <v>43.828430836522685</v>
      </c>
      <c r="D20" s="217">
        <f>SUM(D6:D18)</f>
        <v>160324.4</v>
      </c>
      <c r="F20" s="278"/>
      <c r="G20" t="b">
        <f>IF(B23&gt;G12,TRUE,FALSE)</f>
        <v>1</v>
      </c>
    </row>
    <row r="22" spans="1:7">
      <c r="A22" s="96" t="s">
        <v>70</v>
      </c>
      <c r="B22" s="96">
        <f>B20</f>
        <v>3658</v>
      </c>
      <c r="C22" s="228" t="str">
        <f>IF(B20&lt;3800,"WT within Limits","Over Gross WT")</f>
        <v>WT within Limits</v>
      </c>
      <c r="D22" s="228"/>
    </row>
    <row r="23" spans="1:7">
      <c r="A23" s="96" t="s">
        <v>71</v>
      </c>
      <c r="B23" s="220">
        <f>C20</f>
        <v>43.828430836522685</v>
      </c>
      <c r="C23" s="228" t="str">
        <f>IF(AND(G18=TRUE,G19=TRUE,G20=TRUE),"CG within limits","CG outside limits")</f>
        <v>CG within limits</v>
      </c>
      <c r="D23" s="228"/>
    </row>
    <row r="24" spans="1:7" ht="15" thickBot="1"/>
    <row r="25" spans="1:7">
      <c r="A25" s="18" t="s">
        <v>72</v>
      </c>
      <c r="B25" s="138"/>
      <c r="C25" s="62"/>
    </row>
    <row r="26" spans="1:7">
      <c r="A26" s="9"/>
      <c r="B26" t="s">
        <v>73</v>
      </c>
      <c r="C26" s="112" t="s">
        <v>74</v>
      </c>
    </row>
    <row r="27" spans="1:7">
      <c r="A27" s="9" t="s">
        <v>75</v>
      </c>
      <c r="B27">
        <f>B7</f>
        <v>40</v>
      </c>
      <c r="C27" s="223">
        <f>(B27/B31)/24</f>
        <v>0.11655011655011654</v>
      </c>
      <c r="E27" s="116"/>
    </row>
    <row r="28" spans="1:7">
      <c r="A28" s="9" t="s">
        <v>76</v>
      </c>
      <c r="B28">
        <f>B8</f>
        <v>40</v>
      </c>
      <c r="C28" s="223">
        <f>(B28/B31)/24</f>
        <v>0.11655011655011654</v>
      </c>
    </row>
    <row r="29" spans="1:7">
      <c r="A29" s="9" t="s">
        <v>77</v>
      </c>
      <c r="B29">
        <f>B9</f>
        <v>15</v>
      </c>
      <c r="C29" s="223">
        <f>(B29/B31)/24</f>
        <v>4.3706293706293704E-2</v>
      </c>
    </row>
    <row r="30" spans="1:7">
      <c r="A30" s="9" t="s">
        <v>78</v>
      </c>
      <c r="B30">
        <f>B10</f>
        <v>15</v>
      </c>
      <c r="C30" s="223">
        <f>(B30/B31)/24</f>
        <v>4.3706293706293704E-2</v>
      </c>
    </row>
    <row r="31" spans="1:7">
      <c r="A31" s="237" t="s">
        <v>79</v>
      </c>
      <c r="B31" s="165">
        <v>14.3</v>
      </c>
      <c r="C31" s="112"/>
    </row>
    <row r="32" spans="1:7">
      <c r="A32" s="9" t="s">
        <v>80</v>
      </c>
      <c r="B32">
        <f>SUM(B27:B30)</f>
        <v>110</v>
      </c>
      <c r="C32" s="224">
        <f>SUM(C27:C30)</f>
        <v>0.32051282051282048</v>
      </c>
    </row>
    <row r="33" spans="1:3">
      <c r="A33" s="9" t="s">
        <v>81</v>
      </c>
      <c r="B33">
        <v>14.3</v>
      </c>
      <c r="C33" s="223">
        <f t="shared" ref="C33" si="4">(B33/14.3)/24</f>
        <v>4.1666666666666664E-2</v>
      </c>
    </row>
    <row r="34" spans="1:3" ht="15" thickBot="1">
      <c r="A34" s="225" t="s">
        <v>82</v>
      </c>
      <c r="B34" s="226">
        <f>SUM(B32:B33)</f>
        <v>124.3</v>
      </c>
      <c r="C34" s="227">
        <f>C32-C33</f>
        <v>0.2788461538461538</v>
      </c>
    </row>
  </sheetData>
  <mergeCells count="2">
    <mergeCell ref="A1:D1"/>
    <mergeCell ref="F18:F20"/>
  </mergeCells>
  <conditionalFormatting sqref="B22">
    <cfRule type="cellIs" dxfId="6" priority="7" operator="greaterThan">
      <formula>3800</formula>
    </cfRule>
  </conditionalFormatting>
  <conditionalFormatting sqref="K16">
    <cfRule type="containsText" dxfId="5" priority="5" operator="containsText" text="Inside">
      <formula>NOT(ISERROR(SEARCH("Inside",K16)))</formula>
    </cfRule>
    <cfRule type="containsText" dxfId="4" priority="6" operator="containsText" text="Outside">
      <formula>NOT(ISERROR(SEARCH("Outside",K16)))</formula>
    </cfRule>
  </conditionalFormatting>
  <conditionalFormatting sqref="C22">
    <cfRule type="containsText" dxfId="3" priority="3" operator="containsText" text="WT within Limits">
      <formula>NOT(ISERROR(SEARCH("WT within Limits",C22)))</formula>
    </cfRule>
    <cfRule type="containsText" dxfId="2" priority="4" operator="containsText" text="Over Gross WT">
      <formula>NOT(ISERROR(SEARCH("Over Gross WT",C22)))</formula>
    </cfRule>
  </conditionalFormatting>
  <conditionalFormatting sqref="C23">
    <cfRule type="containsText" dxfId="1" priority="1" operator="containsText" text="CG outside Limits">
      <formula>NOT(ISERROR(SEARCH("CG outside Limits",C23)))</formula>
    </cfRule>
    <cfRule type="containsText" dxfId="0" priority="2" operator="containsText" text="CG within Limits">
      <formula>NOT(ISERROR(SEARCH("CG within Limits",C23)))</formula>
    </cfRule>
  </conditionalFormatting>
  <dataValidations disablePrompts="1" count="1">
    <dataValidation type="list" allowBlank="1" showInputMessage="1" showErrorMessage="1" sqref="B3:B4" xr:uid="{74015770-BFDA-4BF6-A016-DB5C137E796A}">
      <formula1>$H$5:$J$5</formula1>
    </dataValidation>
  </dataValidations>
  <pageMargins left="0.7" right="0.7" top="0.75" bottom="0.75" header="0.3" footer="0.3"/>
  <pageSetup orientation="portrait" r:id="rId1"/>
  <ignoredErrors>
    <ignoredError sqref="C20 D7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D1F4-C3FA-4B60-A88F-4CDF97719BA3}">
  <sheetPr>
    <tabColor theme="4" tint="0.79998168889431442"/>
  </sheetPr>
  <dimension ref="A1:C51"/>
  <sheetViews>
    <sheetView workbookViewId="0">
      <selection activeCell="B10" sqref="B10"/>
    </sheetView>
  </sheetViews>
  <sheetFormatPr defaultRowHeight="14.45"/>
  <cols>
    <col min="1" max="1" width="25" bestFit="1" customWidth="1"/>
  </cols>
  <sheetData>
    <row r="1" spans="1:3">
      <c r="A1" t="s">
        <v>83</v>
      </c>
    </row>
    <row r="3" spans="1:3">
      <c r="B3" t="s">
        <v>84</v>
      </c>
      <c r="C3" t="s">
        <v>85</v>
      </c>
    </row>
    <row r="4" spans="1:3">
      <c r="A4" t="s">
        <v>86</v>
      </c>
    </row>
    <row r="5" spans="1:3">
      <c r="A5" t="s">
        <v>12</v>
      </c>
      <c r="B5">
        <f ca="1">'206 WT Interpolation'!B11</f>
        <v>1122</v>
      </c>
      <c r="C5">
        <f ca="1">'206 WT Interpolation'!I11</f>
        <v>897</v>
      </c>
    </row>
    <row r="6" spans="1:3">
      <c r="A6" t="s">
        <v>13</v>
      </c>
      <c r="B6" s="1">
        <f ca="1">'206 WT Interpolation'!C11</f>
        <v>2143</v>
      </c>
      <c r="C6">
        <f>'206 WT Interpolation'!J11</f>
        <v>0</v>
      </c>
    </row>
    <row r="9" spans="1:3">
      <c r="A9" t="s">
        <v>87</v>
      </c>
    </row>
    <row r="10" spans="1:3">
      <c r="A10" t="s">
        <v>88</v>
      </c>
      <c r="B10">
        <f>'206'!D31</f>
        <v>3</v>
      </c>
      <c r="C10">
        <f>'206'!D31</f>
        <v>3</v>
      </c>
    </row>
    <row r="11" spans="1:3">
      <c r="A11" t="s">
        <v>89</v>
      </c>
      <c r="B11">
        <f>B10*2.5</f>
        <v>7.5</v>
      </c>
      <c r="C11">
        <f>C10*5</f>
        <v>15</v>
      </c>
    </row>
    <row r="12" spans="1:3">
      <c r="A12" t="s">
        <v>90</v>
      </c>
      <c r="B12" s="8">
        <f ca="1">B5*((100-B11)/100)</f>
        <v>1037.8500000000001</v>
      </c>
    </row>
    <row r="13" spans="1:3">
      <c r="A13" t="s">
        <v>91</v>
      </c>
      <c r="C13" s="8">
        <f ca="1">C5*((C11*0.01)+1)</f>
        <v>1031.55</v>
      </c>
    </row>
    <row r="15" spans="1:3">
      <c r="A15" t="s">
        <v>92</v>
      </c>
      <c r="B15">
        <f>'206'!C31</f>
        <v>0</v>
      </c>
      <c r="C15">
        <f>'206'!C31</f>
        <v>0</v>
      </c>
    </row>
    <row r="16" spans="1:3">
      <c r="A16" t="s">
        <v>89</v>
      </c>
      <c r="B16">
        <f>B15*5</f>
        <v>0</v>
      </c>
      <c r="C16">
        <f>C15*2.5</f>
        <v>0</v>
      </c>
    </row>
    <row r="17" spans="1:3">
      <c r="A17" t="s">
        <v>93</v>
      </c>
      <c r="B17" s="8">
        <f ca="1">B5*((B16*0.01)+1)</f>
        <v>1122</v>
      </c>
      <c r="C17" s="8"/>
    </row>
    <row r="18" spans="1:3">
      <c r="A18" t="s">
        <v>94</v>
      </c>
      <c r="C18" s="8">
        <f ca="1">C5*((100-C16)/100)</f>
        <v>897</v>
      </c>
    </row>
    <row r="20" spans="1:3">
      <c r="A20" s="150" t="s">
        <v>95</v>
      </c>
      <c r="B20" s="151">
        <f ca="1">IF(B12=B17,B5,IF(B12&lt;&gt;B5,B12,B17))</f>
        <v>1037.8500000000001</v>
      </c>
      <c r="C20" s="150"/>
    </row>
    <row r="21" spans="1:3">
      <c r="A21" s="150" t="s">
        <v>96</v>
      </c>
      <c r="B21" s="151"/>
      <c r="C21" s="151">
        <f ca="1">IF(C13=C18,C5,IF(C13&lt;&gt;C5,C13,C18))</f>
        <v>1031.55</v>
      </c>
    </row>
    <row r="24" spans="1:3">
      <c r="A24" t="s">
        <v>97</v>
      </c>
    </row>
    <row r="25" spans="1:3">
      <c r="A25" t="s">
        <v>98</v>
      </c>
      <c r="B25">
        <f>'206'!C27</f>
        <v>7</v>
      </c>
      <c r="C25">
        <f>'206'!C27</f>
        <v>7</v>
      </c>
    </row>
    <row r="26" spans="1:3">
      <c r="A26" t="s">
        <v>99</v>
      </c>
      <c r="B26" s="8">
        <f ca="1">B20*((100-B25)/100)</f>
        <v>965.20050000000015</v>
      </c>
    </row>
    <row r="27" spans="1:3">
      <c r="A27" t="s">
        <v>100</v>
      </c>
      <c r="B27" s="8">
        <f ca="1">B6*((100-B25)/100)</f>
        <v>1992.99</v>
      </c>
    </row>
    <row r="28" spans="1:3">
      <c r="A28" t="s">
        <v>101</v>
      </c>
      <c r="C28" s="8">
        <f ca="1">C5*((100-C25)/100)</f>
        <v>834.21</v>
      </c>
    </row>
    <row r="29" spans="1:3">
      <c r="A29" t="s">
        <v>102</v>
      </c>
      <c r="C29" s="8">
        <f>C6*((100-C25)/100)</f>
        <v>0</v>
      </c>
    </row>
    <row r="31" spans="1:3">
      <c r="A31" t="s">
        <v>103</v>
      </c>
      <c r="B31">
        <f>'206'!D27</f>
        <v>0</v>
      </c>
      <c r="C31">
        <f>'206'!D27</f>
        <v>0</v>
      </c>
    </row>
    <row r="32" spans="1:3">
      <c r="A32" t="s">
        <v>104</v>
      </c>
      <c r="B32">
        <f>B31*4</f>
        <v>0</v>
      </c>
      <c r="C32">
        <f>C31*4</f>
        <v>0</v>
      </c>
    </row>
    <row r="33" spans="1:3">
      <c r="A33" t="s">
        <v>105</v>
      </c>
      <c r="B33" s="8">
        <f ca="1">B20*((B32*0.01)+1)</f>
        <v>1037.8500000000001</v>
      </c>
      <c r="C33" s="1"/>
    </row>
    <row r="34" spans="1:3">
      <c r="A34" t="s">
        <v>100</v>
      </c>
      <c r="B34" s="8">
        <f ca="1">B6*((B32*0.01)+1)</f>
        <v>2143</v>
      </c>
      <c r="C34" s="1"/>
    </row>
    <row r="35" spans="1:3">
      <c r="A35" t="s">
        <v>106</v>
      </c>
      <c r="C35" s="8">
        <f ca="1">C5*((C32*0.01)+1)</f>
        <v>897</v>
      </c>
    </row>
    <row r="36" spans="1:3">
      <c r="A36" t="s">
        <v>102</v>
      </c>
      <c r="C36" s="8">
        <f>C6*((C32*0.01)+1)</f>
        <v>0</v>
      </c>
    </row>
    <row r="38" spans="1:3">
      <c r="A38" s="150" t="s">
        <v>95</v>
      </c>
      <c r="B38" s="151">
        <f ca="1">IF(B26=B33,B20,IF(B26&lt;&gt;B20,B26,B33))</f>
        <v>965.20050000000015</v>
      </c>
    </row>
    <row r="39" spans="1:3">
      <c r="A39" s="153" t="s">
        <v>107</v>
      </c>
      <c r="B39" s="155">
        <f ca="1">IF(B27=B34,B6,IF(B27&lt;&gt;B6,B27,B34))</f>
        <v>1992.99</v>
      </c>
    </row>
    <row r="40" spans="1:3">
      <c r="A40" s="150" t="s">
        <v>96</v>
      </c>
      <c r="B40" s="152"/>
      <c r="C40" s="151">
        <f ca="1">IF(C28=C35,C21,IF(C28&lt;&gt;C21,C28,C35))</f>
        <v>834.21</v>
      </c>
    </row>
    <row r="41" spans="1:3">
      <c r="A41" s="153" t="s">
        <v>108</v>
      </c>
      <c r="B41" s="154"/>
      <c r="C41" s="155">
        <f>IF(C29=C36,C6,IF(C29&lt;&gt;C6,C29,C36))</f>
        <v>0</v>
      </c>
    </row>
    <row r="43" spans="1:3">
      <c r="A43" s="158" t="s">
        <v>109</v>
      </c>
      <c r="B43" s="159">
        <f ca="1">B38</f>
        <v>965.20050000000015</v>
      </c>
      <c r="C43" s="158"/>
    </row>
    <row r="44" spans="1:3">
      <c r="A44" s="158" t="s">
        <v>110</v>
      </c>
      <c r="B44" s="159">
        <f ca="1">B39</f>
        <v>1992.99</v>
      </c>
      <c r="C44" s="158"/>
    </row>
    <row r="45" spans="1:3">
      <c r="A45" s="158"/>
      <c r="B45" s="158"/>
      <c r="C45" s="158"/>
    </row>
    <row r="46" spans="1:3">
      <c r="A46" s="158" t="s">
        <v>111</v>
      </c>
      <c r="B46" s="158"/>
      <c r="C46" s="159">
        <f ca="1">C40</f>
        <v>834.21</v>
      </c>
    </row>
    <row r="47" spans="1:3">
      <c r="A47" s="158" t="s">
        <v>112</v>
      </c>
      <c r="B47" s="158"/>
      <c r="C47" s="159">
        <f>C41</f>
        <v>0</v>
      </c>
    </row>
    <row r="49" spans="1:2">
      <c r="A49" s="156" t="s">
        <v>113</v>
      </c>
      <c r="B49">
        <f>'206'!G26</f>
        <v>0</v>
      </c>
    </row>
    <row r="51" spans="1:2">
      <c r="A51" s="160" t="s">
        <v>114</v>
      </c>
      <c r="B51" s="161">
        <f ca="1">B43*((B49*0.01)+1)</f>
        <v>965.20050000000015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Q32"/>
  <sheetViews>
    <sheetView topLeftCell="A10" zoomScale="85" zoomScaleNormal="85" workbookViewId="0">
      <selection activeCell="B25" sqref="B25"/>
    </sheetView>
  </sheetViews>
  <sheetFormatPr defaultRowHeight="20.100000000000001" customHeight="1"/>
  <cols>
    <col min="1" max="1" width="25.28515625" bestFit="1" customWidth="1"/>
    <col min="2" max="10" width="12.5703125" customWidth="1"/>
  </cols>
  <sheetData>
    <row r="1" spans="1:17" ht="20.100000000000001" customHeight="1">
      <c r="A1" s="281" t="s">
        <v>115</v>
      </c>
      <c r="B1" s="281"/>
      <c r="C1" s="281"/>
      <c r="D1" s="281"/>
      <c r="E1" s="281"/>
      <c r="F1" s="281"/>
      <c r="G1" s="281"/>
      <c r="H1" s="281"/>
      <c r="I1" s="281"/>
    </row>
    <row r="2" spans="1:17" ht="20.100000000000001" customHeight="1">
      <c r="A2" s="281"/>
      <c r="B2" s="281"/>
      <c r="C2" s="281"/>
      <c r="D2" s="281"/>
      <c r="E2" s="281"/>
      <c r="F2" s="281"/>
      <c r="G2" s="281"/>
      <c r="H2" s="281"/>
      <c r="I2" s="281"/>
    </row>
    <row r="3" spans="1:17" ht="20.100000000000001" customHeight="1" thickBot="1"/>
    <row r="4" spans="1:17" ht="20.100000000000001" customHeight="1">
      <c r="A4" s="74" t="s">
        <v>116</v>
      </c>
      <c r="B4" s="75" t="s">
        <v>117</v>
      </c>
      <c r="C4" s="75" t="s">
        <v>118</v>
      </c>
      <c r="D4" s="75" t="s">
        <v>119</v>
      </c>
      <c r="E4" s="75" t="s">
        <v>120</v>
      </c>
      <c r="F4" s="75" t="s">
        <v>121</v>
      </c>
      <c r="G4" s="76" t="s">
        <v>122</v>
      </c>
      <c r="H4" s="76" t="s">
        <v>123</v>
      </c>
      <c r="I4" s="77" t="s">
        <v>124</v>
      </c>
      <c r="J4" s="280" t="s">
        <v>125</v>
      </c>
      <c r="K4" s="279" t="s">
        <v>126</v>
      </c>
      <c r="L4" s="279"/>
      <c r="M4" s="279"/>
      <c r="N4" s="279"/>
      <c r="O4" s="279"/>
      <c r="P4" s="279"/>
      <c r="Q4" s="279"/>
    </row>
    <row r="5" spans="1:17" ht="20.100000000000001" customHeight="1">
      <c r="A5" s="78">
        <v>3000</v>
      </c>
      <c r="B5" s="63">
        <f ca="1">'206 Gnd Roll All WT'!AC19</f>
        <v>713.6</v>
      </c>
      <c r="C5" s="63">
        <f ca="1">'206 50ft All WT'!AC19</f>
        <v>1355.6</v>
      </c>
      <c r="D5" s="64">
        <v>50</v>
      </c>
      <c r="E5" s="64">
        <v>84</v>
      </c>
      <c r="F5" s="64">
        <v>62</v>
      </c>
      <c r="G5" s="65">
        <v>68</v>
      </c>
      <c r="H5" s="66">
        <f>'206 Landing Performance'!K30</f>
        <v>56</v>
      </c>
      <c r="I5" s="67">
        <f ca="1">'206 Landing Performance'!K25</f>
        <v>603</v>
      </c>
      <c r="J5" s="280"/>
      <c r="K5" s="279"/>
      <c r="L5" s="279"/>
      <c r="M5" s="279"/>
      <c r="N5" s="279"/>
      <c r="O5" s="279"/>
      <c r="P5" s="279"/>
      <c r="Q5" s="279"/>
    </row>
    <row r="6" spans="1:17" ht="20.100000000000001" customHeight="1">
      <c r="A6" s="78">
        <v>3300</v>
      </c>
      <c r="B6" s="63">
        <f ca="1">'206 Gnd Roll All WT'!T19</f>
        <v>887.5</v>
      </c>
      <c r="C6" s="63">
        <f ca="1">'206 50ft All WT'!T19</f>
        <v>1687.6999999999998</v>
      </c>
      <c r="D6" s="64">
        <v>53</v>
      </c>
      <c r="E6" s="64">
        <v>86</v>
      </c>
      <c r="F6" s="64">
        <v>65</v>
      </c>
      <c r="G6" s="65">
        <v>71</v>
      </c>
      <c r="H6" s="66">
        <f>'206 Landing Performance'!J30</f>
        <v>61</v>
      </c>
      <c r="I6" s="67">
        <f ca="1">'206 Landing Performance'!J25</f>
        <v>730</v>
      </c>
      <c r="J6" s="280"/>
      <c r="K6" s="279"/>
      <c r="L6" s="279"/>
      <c r="M6" s="279"/>
      <c r="N6" s="279"/>
      <c r="O6" s="279"/>
      <c r="P6" s="279"/>
      <c r="Q6" s="279"/>
    </row>
    <row r="7" spans="1:17" ht="20.100000000000001" customHeight="1">
      <c r="A7" s="78">
        <v>3600</v>
      </c>
      <c r="B7" s="63">
        <f ca="1">'206 Gnd Roll All WT'!K19</f>
        <v>1089.5</v>
      </c>
      <c r="C7" s="63">
        <f ca="1">'206 50ft All WT'!K19</f>
        <v>2082.1</v>
      </c>
      <c r="D7" s="64">
        <v>55</v>
      </c>
      <c r="E7" s="64">
        <v>88</v>
      </c>
      <c r="F7" s="64">
        <v>68</v>
      </c>
      <c r="G7" s="65">
        <v>75</v>
      </c>
      <c r="H7" s="66">
        <v>64</v>
      </c>
      <c r="I7" s="68">
        <f ca="1">'206 Landing Performance'!I25</f>
        <v>867.6</v>
      </c>
      <c r="J7" s="280"/>
      <c r="K7" s="279"/>
      <c r="L7" s="279"/>
      <c r="M7" s="279"/>
      <c r="N7" s="279"/>
      <c r="O7" s="279"/>
      <c r="P7" s="279"/>
      <c r="Q7" s="279"/>
    </row>
    <row r="8" spans="1:17" ht="20.100000000000001" customHeight="1" thickBot="1">
      <c r="A8" s="79">
        <v>3800</v>
      </c>
      <c r="B8" s="69">
        <f ca="1">'206 Gnd Roll All WT'!B19</f>
        <v>1198.45</v>
      </c>
      <c r="C8" s="69">
        <f ca="1">'206 50ft All WT'!B19</f>
        <v>2290.31</v>
      </c>
      <c r="D8" s="70">
        <v>58</v>
      </c>
      <c r="E8" s="70">
        <v>90</v>
      </c>
      <c r="F8" s="70">
        <v>72</v>
      </c>
      <c r="G8" s="71">
        <v>77</v>
      </c>
      <c r="H8" s="72">
        <f>'206 Landing Performance'!H30</f>
        <v>67</v>
      </c>
      <c r="I8" s="73">
        <f ca="1">'206 Landing Performance'!H25</f>
        <v>967</v>
      </c>
      <c r="J8" s="280"/>
      <c r="K8" s="279"/>
      <c r="L8" s="279"/>
      <c r="M8" s="279"/>
      <c r="N8" s="279"/>
      <c r="O8" s="279"/>
      <c r="P8" s="279"/>
      <c r="Q8" s="279"/>
    </row>
    <row r="9" spans="1:17" ht="20.100000000000001" customHeight="1" thickBot="1">
      <c r="K9" s="279"/>
      <c r="L9" s="279"/>
      <c r="M9" s="279"/>
      <c r="N9" s="279"/>
      <c r="O9" s="279"/>
      <c r="P9" s="279"/>
      <c r="Q9" s="279"/>
    </row>
    <row r="10" spans="1:17" ht="20.100000000000001" customHeight="1">
      <c r="A10" s="11" t="s">
        <v>127</v>
      </c>
      <c r="B10" s="61">
        <f>'206'!D7</f>
        <v>3658</v>
      </c>
      <c r="C10" s="62">
        <f>B10</f>
        <v>3658</v>
      </c>
      <c r="D10" s="62">
        <f t="shared" ref="D10:I10" si="0">C10</f>
        <v>3658</v>
      </c>
      <c r="E10" s="62">
        <f t="shared" si="0"/>
        <v>3658</v>
      </c>
      <c r="F10" s="62">
        <f t="shared" si="0"/>
        <v>3658</v>
      </c>
      <c r="G10" s="62">
        <f t="shared" si="0"/>
        <v>3658</v>
      </c>
      <c r="H10" s="62">
        <f t="shared" si="0"/>
        <v>3658</v>
      </c>
      <c r="I10" s="62">
        <f t="shared" si="0"/>
        <v>3658</v>
      </c>
      <c r="K10" s="279"/>
      <c r="L10" s="279"/>
      <c r="M10" s="279"/>
      <c r="N10" s="279"/>
      <c r="O10" s="279"/>
      <c r="P10" s="279"/>
      <c r="Q10" s="279"/>
    </row>
    <row r="11" spans="1:17" ht="20.100000000000001" customHeight="1" thickBot="1">
      <c r="A11" s="10" t="s">
        <v>128</v>
      </c>
      <c r="B11" s="12">
        <f ca="1">B32</f>
        <v>1122</v>
      </c>
      <c r="C11" s="13">
        <f ca="1">C32</f>
        <v>2143</v>
      </c>
      <c r="D11" s="12">
        <f t="shared" ref="D11:G11" ca="1" si="1">D32</f>
        <v>56</v>
      </c>
      <c r="E11" s="13">
        <f t="shared" ca="1" si="1"/>
        <v>89</v>
      </c>
      <c r="F11" s="12">
        <f t="shared" ca="1" si="1"/>
        <v>70</v>
      </c>
      <c r="G11" s="13">
        <f t="shared" ca="1" si="1"/>
        <v>76</v>
      </c>
      <c r="H11" s="13">
        <f t="shared" ref="H11:I11" ca="1" si="2">H32</f>
        <v>65</v>
      </c>
      <c r="I11" s="13">
        <f t="shared" ca="1" si="2"/>
        <v>897</v>
      </c>
      <c r="K11" s="279"/>
      <c r="L11" s="279"/>
      <c r="M11" s="279"/>
      <c r="N11" s="279"/>
      <c r="O11" s="279"/>
      <c r="P11" s="279"/>
      <c r="Q11" s="279"/>
    </row>
    <row r="12" spans="1:17" ht="20.100000000000001" customHeight="1">
      <c r="K12" s="279"/>
      <c r="L12" s="279"/>
      <c r="M12" s="279"/>
      <c r="N12" s="279"/>
      <c r="O12" s="279"/>
      <c r="P12" s="279"/>
      <c r="Q12" s="279"/>
    </row>
    <row r="13" spans="1:17" ht="28.9">
      <c r="A13" s="2" t="s">
        <v>129</v>
      </c>
      <c r="B13">
        <f>ROW(B5)</f>
        <v>5</v>
      </c>
      <c r="C13">
        <f t="shared" ref="C13:I13" si="3">ROW(C5)</f>
        <v>5</v>
      </c>
      <c r="D13">
        <f t="shared" si="3"/>
        <v>5</v>
      </c>
      <c r="E13">
        <f t="shared" si="3"/>
        <v>5</v>
      </c>
      <c r="F13">
        <f t="shared" si="3"/>
        <v>5</v>
      </c>
      <c r="G13">
        <f t="shared" si="3"/>
        <v>5</v>
      </c>
      <c r="H13">
        <f t="shared" si="3"/>
        <v>5</v>
      </c>
      <c r="I13">
        <f t="shared" si="3"/>
        <v>5</v>
      </c>
      <c r="K13" s="279"/>
      <c r="L13" s="279"/>
      <c r="M13" s="279"/>
      <c r="N13" s="279"/>
      <c r="O13" s="279"/>
      <c r="P13" s="279"/>
      <c r="Q13" s="279"/>
    </row>
    <row r="14" spans="1:17" ht="14.45">
      <c r="K14" s="279"/>
      <c r="L14" s="279"/>
      <c r="M14" s="279"/>
      <c r="N14" s="279"/>
      <c r="O14" s="279"/>
      <c r="P14" s="279"/>
      <c r="Q14" s="279"/>
    </row>
    <row r="15" spans="1:17" ht="14.45">
      <c r="A15" t="s">
        <v>130</v>
      </c>
      <c r="B15">
        <f>(((MATCH(B24,A5:A8,0))+B13)-1)</f>
        <v>7</v>
      </c>
      <c r="C15">
        <f>(((MATCH(B24,A5:A8,0))+B13)-1)</f>
        <v>7</v>
      </c>
      <c r="D15">
        <f>(((MATCH(B24,A5:A8,0))+B13)-1)</f>
        <v>7</v>
      </c>
      <c r="E15">
        <f>(((MATCH(B24,A5:A8,0))+B13)-1)</f>
        <v>7</v>
      </c>
      <c r="F15">
        <f>(((MATCH(B24,A5:A8,0))+B13)-1)</f>
        <v>7</v>
      </c>
      <c r="G15">
        <f>(((MATCH(B24,A5:A8,0))+B13)-1)</f>
        <v>7</v>
      </c>
      <c r="H15">
        <f>(((MATCH(B24,A5:A8,0))+B13)-1)</f>
        <v>7</v>
      </c>
      <c r="I15">
        <f>(((MATCH(B24,A5:A8,0))+B13)-1)</f>
        <v>7</v>
      </c>
      <c r="K15" s="279"/>
      <c r="L15" s="279"/>
      <c r="M15" s="279"/>
      <c r="N15" s="279"/>
      <c r="O15" s="279"/>
      <c r="P15" s="279"/>
      <c r="Q15" s="279"/>
    </row>
    <row r="16" spans="1:17" ht="14.45">
      <c r="A16" t="s">
        <v>131</v>
      </c>
      <c r="B16">
        <f>B15+1</f>
        <v>8</v>
      </c>
      <c r="C16">
        <f>C15+1</f>
        <v>8</v>
      </c>
      <c r="D16">
        <f t="shared" ref="D16:G16" si="4">D15+1</f>
        <v>8</v>
      </c>
      <c r="E16">
        <f t="shared" si="4"/>
        <v>8</v>
      </c>
      <c r="F16">
        <f t="shared" si="4"/>
        <v>8</v>
      </c>
      <c r="G16">
        <f t="shared" si="4"/>
        <v>8</v>
      </c>
      <c r="H16">
        <f t="shared" ref="H16:I16" si="5">H15+1</f>
        <v>8</v>
      </c>
      <c r="I16">
        <f t="shared" si="5"/>
        <v>8</v>
      </c>
    </row>
    <row r="17" spans="1:9" ht="14.45"/>
    <row r="18" spans="1:9" ht="20.100000000000001" customHeight="1">
      <c r="A18" t="s">
        <v>132</v>
      </c>
      <c r="B18">
        <f t="shared" ref="B18:I18" si="6">COLUMN(B18)</f>
        <v>2</v>
      </c>
      <c r="C18">
        <f t="shared" si="6"/>
        <v>3</v>
      </c>
      <c r="D18">
        <f t="shared" si="6"/>
        <v>4</v>
      </c>
      <c r="E18">
        <f t="shared" si="6"/>
        <v>5</v>
      </c>
      <c r="F18">
        <f t="shared" si="6"/>
        <v>6</v>
      </c>
      <c r="G18">
        <f t="shared" si="6"/>
        <v>7</v>
      </c>
      <c r="H18">
        <f t="shared" si="6"/>
        <v>8</v>
      </c>
      <c r="I18">
        <f t="shared" si="6"/>
        <v>9</v>
      </c>
    </row>
    <row r="19" spans="1:9" ht="20.100000000000001" customHeight="1">
      <c r="A19" t="s">
        <v>133</v>
      </c>
      <c r="B19">
        <f>COLUMN(A5)</f>
        <v>1</v>
      </c>
      <c r="C19">
        <f>COLUMN(A5)</f>
        <v>1</v>
      </c>
      <c r="D19">
        <f>COLUMN(A5)</f>
        <v>1</v>
      </c>
      <c r="E19">
        <f>COLUMN(A5)</f>
        <v>1</v>
      </c>
      <c r="F19">
        <f>COLUMN(A5)</f>
        <v>1</v>
      </c>
      <c r="G19">
        <f>COLUMN(A5)</f>
        <v>1</v>
      </c>
      <c r="H19">
        <f>COLUMN(A5)</f>
        <v>1</v>
      </c>
      <c r="I19">
        <f>COLUMN(A5)</f>
        <v>1</v>
      </c>
    </row>
    <row r="21" spans="1:9" ht="20.100000000000001" customHeight="1">
      <c r="A21" t="s">
        <v>134</v>
      </c>
      <c r="B21" s="1" cm="1">
        <f t="array" aca="1" ref="B21" ca="1">INDIRECT(ADDRESS(B15,B18))</f>
        <v>1089.5</v>
      </c>
      <c r="C21" s="1" cm="1">
        <f t="array" aca="1" ref="C21" ca="1">INDIRECT(ADDRESS(C15,C18))</f>
        <v>2082.1</v>
      </c>
      <c r="D21" s="1" cm="1">
        <f t="array" aca="1" ref="D21" ca="1">INDIRECT(ADDRESS(D15,D18))</f>
        <v>55</v>
      </c>
      <c r="E21" s="1" cm="1">
        <f t="array" aca="1" ref="E21" ca="1">INDIRECT(ADDRESS(E15,E18))</f>
        <v>88</v>
      </c>
      <c r="F21" s="1" cm="1">
        <f t="array" aca="1" ref="F21" ca="1">INDIRECT(ADDRESS(F15,F18))</f>
        <v>68</v>
      </c>
      <c r="G21" s="1" cm="1">
        <f t="array" aca="1" ref="G21" ca="1">INDIRECT(ADDRESS(G15,G18))</f>
        <v>75</v>
      </c>
      <c r="H21" s="1" cm="1">
        <f t="array" aca="1" ref="H21" ca="1">INDIRECT(ADDRESS(H15,H18))</f>
        <v>64</v>
      </c>
      <c r="I21" s="1" cm="1">
        <f t="array" aca="1" ref="I21" ca="1">INDIRECT(ADDRESS(I15,I18))</f>
        <v>867.6</v>
      </c>
    </row>
    <row r="22" spans="1:9" ht="20.100000000000001" customHeight="1">
      <c r="A22" t="s">
        <v>135</v>
      </c>
      <c r="B22" s="1" cm="1">
        <f t="array" aca="1" ref="B22" ca="1">INDIRECT(ADDRESS(B16,B18))</f>
        <v>1198.45</v>
      </c>
      <c r="C22" s="1" cm="1">
        <f t="array" aca="1" ref="C22" ca="1">INDIRECT(ADDRESS(C16,C18))</f>
        <v>2290.31</v>
      </c>
      <c r="D22" s="1" cm="1">
        <f t="array" aca="1" ref="D22" ca="1">INDIRECT(ADDRESS(D16,D18))</f>
        <v>58</v>
      </c>
      <c r="E22" s="1" cm="1">
        <f t="array" aca="1" ref="E22" ca="1">INDIRECT(ADDRESS(E16,E18))</f>
        <v>90</v>
      </c>
      <c r="F22" s="1" cm="1">
        <f t="array" aca="1" ref="F22" ca="1">INDIRECT(ADDRESS(F16,F18))</f>
        <v>72</v>
      </c>
      <c r="G22" s="1" cm="1">
        <f t="array" aca="1" ref="G22" ca="1">INDIRECT(ADDRESS(G16,G18))</f>
        <v>77</v>
      </c>
      <c r="H22" s="1" cm="1">
        <f t="array" aca="1" ref="H22" ca="1">INDIRECT(ADDRESS(H16,H18))</f>
        <v>67</v>
      </c>
      <c r="I22" s="1" cm="1">
        <f t="array" aca="1" ref="I22" ca="1">INDIRECT(ADDRESS(I16,I18))</f>
        <v>967</v>
      </c>
    </row>
    <row r="24" spans="1:9" ht="20.100000000000001" customHeight="1">
      <c r="A24" t="s">
        <v>134</v>
      </c>
      <c r="B24">
        <f>VLOOKUP(B10,A5:A8,1)</f>
        <v>3600</v>
      </c>
      <c r="C24">
        <f>VLOOKUP(B10,A5:A8,1)</f>
        <v>3600</v>
      </c>
      <c r="D24">
        <f>VLOOKUP(D10,A5:A8,1)</f>
        <v>3600</v>
      </c>
      <c r="E24">
        <f>VLOOKUP(D10,A5:A8,1)</f>
        <v>3600</v>
      </c>
      <c r="F24">
        <f>VLOOKUP(B10,A5:A8,1)</f>
        <v>3600</v>
      </c>
      <c r="G24">
        <f>VLOOKUP(B10,A5:A8,1)</f>
        <v>3600</v>
      </c>
      <c r="H24">
        <f>VLOOKUP(B10,A5:A8,1)</f>
        <v>3600</v>
      </c>
      <c r="I24">
        <f>VLOOKUP(B10,A5:A8,1)</f>
        <v>3600</v>
      </c>
    </row>
    <row r="25" spans="1:9" ht="20.100000000000001" customHeight="1">
      <c r="A25" t="s">
        <v>135</v>
      </c>
      <c r="B25" cm="1">
        <f t="array" aca="1" ref="B25" ca="1">INDIRECT(ADDRESS(B16,B19))</f>
        <v>3800</v>
      </c>
      <c r="C25" cm="1">
        <f t="array" aca="1" ref="C25" ca="1">INDIRECT(ADDRESS(B16,B19))</f>
        <v>3800</v>
      </c>
      <c r="D25" cm="1">
        <f t="array" aca="1" ref="D25" ca="1">INDIRECT(ADDRESS(D16,D19))</f>
        <v>3800</v>
      </c>
      <c r="E25" cm="1">
        <f t="array" aca="1" ref="E25" ca="1">INDIRECT(ADDRESS(D16,D19))</f>
        <v>3800</v>
      </c>
      <c r="F25" cm="1">
        <f t="array" aca="1" ref="F25" ca="1">INDIRECT(ADDRESS(F16,F19))</f>
        <v>3800</v>
      </c>
      <c r="G25" cm="1">
        <f t="array" aca="1" ref="G25" ca="1">INDIRECT(ADDRESS(F16,F19))</f>
        <v>3800</v>
      </c>
      <c r="H25" cm="1">
        <f t="array" aca="1" ref="H25" ca="1">INDIRECT(ADDRESS(G16,G19))</f>
        <v>3800</v>
      </c>
      <c r="I25" cm="1">
        <f t="array" aca="1" ref="I25" ca="1">INDIRECT(ADDRESS(H16,H19))</f>
        <v>3800</v>
      </c>
    </row>
    <row r="27" spans="1:9" ht="20.100000000000001" customHeight="1">
      <c r="A27" t="s">
        <v>136</v>
      </c>
      <c r="B27">
        <f ca="1">B25-B24</f>
        <v>200</v>
      </c>
      <c r="C27">
        <f ca="1">C25-C24</f>
        <v>200</v>
      </c>
      <c r="D27">
        <f t="shared" ref="D27:G27" ca="1" si="7">D25-D24</f>
        <v>200</v>
      </c>
      <c r="E27">
        <f t="shared" ca="1" si="7"/>
        <v>200</v>
      </c>
      <c r="F27">
        <f t="shared" ca="1" si="7"/>
        <v>200</v>
      </c>
      <c r="G27">
        <f t="shared" ca="1" si="7"/>
        <v>200</v>
      </c>
      <c r="H27">
        <f t="shared" ref="H27:I27" ca="1" si="8">H25-H24</f>
        <v>200</v>
      </c>
      <c r="I27">
        <f t="shared" ca="1" si="8"/>
        <v>200</v>
      </c>
    </row>
    <row r="29" spans="1:9" ht="20.100000000000001" customHeight="1">
      <c r="A29" t="s">
        <v>137</v>
      </c>
      <c r="B29">
        <f t="shared" ref="B29:I29" si="9">B10-B24</f>
        <v>58</v>
      </c>
      <c r="C29">
        <f t="shared" si="9"/>
        <v>58</v>
      </c>
      <c r="D29">
        <f t="shared" si="9"/>
        <v>58</v>
      </c>
      <c r="E29">
        <f t="shared" si="9"/>
        <v>58</v>
      </c>
      <c r="F29">
        <f t="shared" si="9"/>
        <v>58</v>
      </c>
      <c r="G29">
        <f t="shared" si="9"/>
        <v>58</v>
      </c>
      <c r="H29">
        <f t="shared" si="9"/>
        <v>58</v>
      </c>
      <c r="I29">
        <f t="shared" si="9"/>
        <v>58</v>
      </c>
    </row>
    <row r="31" spans="1:9" ht="20.100000000000001" customHeight="1">
      <c r="A31" s="7" t="s">
        <v>138</v>
      </c>
      <c r="B31" s="25">
        <f ca="1">((((B22-B21)/B27)*B29)+B21)</f>
        <v>1121.0954999999999</v>
      </c>
      <c r="C31" s="7">
        <f ca="1">((((C22-C21)/C27)*C29)+C21)</f>
        <v>2142.4809</v>
      </c>
      <c r="D31" s="25">
        <f t="shared" ref="D31:G31" ca="1" si="10">((((D22-D21)/D27)*D29)+D21)</f>
        <v>55.87</v>
      </c>
      <c r="E31" s="25">
        <f t="shared" ca="1" si="10"/>
        <v>88.58</v>
      </c>
      <c r="F31" s="25">
        <f t="shared" ca="1" si="10"/>
        <v>69.16</v>
      </c>
      <c r="G31" s="25">
        <f t="shared" ca="1" si="10"/>
        <v>75.58</v>
      </c>
      <c r="H31" s="25">
        <f t="shared" ref="H31:I31" ca="1" si="11">((((H22-H21)/H27)*H29)+H21)</f>
        <v>64.87</v>
      </c>
      <c r="I31" s="25">
        <f t="shared" ca="1" si="11"/>
        <v>896.42600000000004</v>
      </c>
    </row>
    <row r="32" spans="1:9" ht="20.100000000000001" customHeight="1">
      <c r="A32" t="s">
        <v>139</v>
      </c>
      <c r="B32">
        <f ca="1">ROUNDUP(B31,0)</f>
        <v>1122</v>
      </c>
      <c r="C32">
        <f ca="1">ROUNDUP(C31,0)</f>
        <v>2143</v>
      </c>
      <c r="D32">
        <f t="shared" ref="D32:G32" ca="1" si="12">ROUNDUP(D31,0)</f>
        <v>56</v>
      </c>
      <c r="E32">
        <f t="shared" ca="1" si="12"/>
        <v>89</v>
      </c>
      <c r="F32">
        <f t="shared" ca="1" si="12"/>
        <v>70</v>
      </c>
      <c r="G32">
        <f t="shared" ca="1" si="12"/>
        <v>76</v>
      </c>
      <c r="H32">
        <f t="shared" ref="H32:I32" ca="1" si="13">ROUNDUP(H31,0)</f>
        <v>65</v>
      </c>
      <c r="I32">
        <f t="shared" ca="1" si="13"/>
        <v>897</v>
      </c>
    </row>
  </sheetData>
  <protectedRanges>
    <protectedRange sqref="A5:A8" name="POH WT"/>
  </protectedRanges>
  <dataConsolidate/>
  <customSheetViews>
    <customSheetView guid="{A2505430-CCF1-4597-83D2-DC6893397C3D}">
      <selection activeCell="M20" sqref="M20"/>
      <pageMargins left="0" right="0" top="0" bottom="0" header="0" footer="0"/>
      <pageSetup orientation="portrait" horizontalDpi="4294967295" verticalDpi="4294967295" r:id="rId1"/>
    </customSheetView>
  </customSheetViews>
  <mergeCells count="3">
    <mergeCell ref="K4:Q15"/>
    <mergeCell ref="J4:J8"/>
    <mergeCell ref="A1:I2"/>
  </mergeCells>
  <pageMargins left="0.7" right="0.7" top="0.75" bottom="0.75" header="0.3" footer="0.3"/>
  <pageSetup orientation="portrait" horizontalDpi="4294967295" verticalDpi="4294967295" r:id="rId2"/>
  <ignoredErrors>
    <ignoredError sqref="C15 C25 D25:F2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1F56-ADD8-4D61-81A7-37229293188D}">
  <sheetPr>
    <tabColor theme="4" tint="0.79998168889431442"/>
  </sheetPr>
  <dimension ref="A1:AH51"/>
  <sheetViews>
    <sheetView zoomScale="76" zoomScaleNormal="130" workbookViewId="0">
      <selection activeCell="AC40" sqref="AC40"/>
    </sheetView>
  </sheetViews>
  <sheetFormatPr defaultRowHeight="14.45"/>
  <cols>
    <col min="1" max="1" width="37.28515625" bestFit="1" customWidth="1"/>
    <col min="2" max="2" width="10.140625" bestFit="1" customWidth="1"/>
    <col min="3" max="3" width="13.42578125" bestFit="1" customWidth="1"/>
    <col min="4" max="7" width="7.42578125" bestFit="1" customWidth="1"/>
    <col min="8" max="8" width="4.85546875" bestFit="1" customWidth="1"/>
    <col min="10" max="10" width="37.28515625" bestFit="1" customWidth="1"/>
    <col min="11" max="11" width="10.140625" bestFit="1" customWidth="1"/>
    <col min="12" max="12" width="13.42578125" bestFit="1" customWidth="1"/>
    <col min="13" max="16" width="7.42578125" bestFit="1" customWidth="1"/>
    <col min="19" max="19" width="37.28515625" bestFit="1" customWidth="1"/>
    <col min="20" max="20" width="8.85546875" bestFit="1" customWidth="1"/>
    <col min="21" max="21" width="13.42578125" bestFit="1" customWidth="1"/>
    <col min="22" max="25" width="7.42578125" bestFit="1" customWidth="1"/>
    <col min="28" max="28" width="37.28515625" bestFit="1" customWidth="1"/>
    <col min="29" max="29" width="9.28515625" bestFit="1" customWidth="1"/>
    <col min="30" max="30" width="13.42578125" bestFit="1" customWidth="1"/>
    <col min="31" max="34" width="7.42578125" bestFit="1" customWidth="1"/>
  </cols>
  <sheetData>
    <row r="1" spans="1:34">
      <c r="A1" s="282">
        <v>3800</v>
      </c>
      <c r="B1" s="282"/>
      <c r="C1" s="282"/>
      <c r="D1" s="282"/>
      <c r="E1" s="282"/>
      <c r="F1" s="282"/>
      <c r="G1" s="282"/>
      <c r="J1" s="282">
        <v>3600</v>
      </c>
      <c r="K1" s="282"/>
      <c r="L1" s="282"/>
      <c r="M1" s="282"/>
      <c r="N1" s="282"/>
      <c r="O1" s="282"/>
      <c r="P1" s="282"/>
      <c r="S1" s="282">
        <v>3300</v>
      </c>
      <c r="T1" s="282"/>
      <c r="U1" s="282"/>
      <c r="V1" s="282"/>
      <c r="W1" s="282"/>
      <c r="X1" s="282"/>
      <c r="Y1" s="282"/>
      <c r="AB1" s="282">
        <v>3000</v>
      </c>
      <c r="AC1" s="282"/>
      <c r="AD1" s="282"/>
      <c r="AE1" s="282"/>
      <c r="AF1" s="282"/>
      <c r="AG1" s="282"/>
      <c r="AH1" s="282"/>
    </row>
    <row r="2" spans="1:34">
      <c r="A2" s="109" t="s">
        <v>117</v>
      </c>
      <c r="J2" s="109" t="s">
        <v>117</v>
      </c>
      <c r="S2" s="109" t="s">
        <v>117</v>
      </c>
      <c r="AB2" s="109" t="s">
        <v>117</v>
      </c>
    </row>
    <row r="3" spans="1:34">
      <c r="C3" s="3" t="s">
        <v>140</v>
      </c>
      <c r="D3" s="3"/>
      <c r="E3" s="3"/>
      <c r="F3" s="3"/>
      <c r="G3" s="3"/>
      <c r="L3" s="3" t="s">
        <v>140</v>
      </c>
      <c r="M3" s="3"/>
      <c r="N3" s="3"/>
      <c r="O3" s="3"/>
      <c r="P3" s="3"/>
      <c r="U3" s="3" t="s">
        <v>140</v>
      </c>
      <c r="V3" s="3"/>
      <c r="W3" s="3"/>
      <c r="X3" s="3"/>
      <c r="Y3" s="3"/>
      <c r="AD3" s="3" t="s">
        <v>140</v>
      </c>
      <c r="AE3" s="3"/>
      <c r="AF3" s="3"/>
      <c r="AG3" s="3"/>
      <c r="AH3" s="3"/>
    </row>
    <row r="4" spans="1:34" ht="14.45" customHeight="1">
      <c r="C4" s="3">
        <v>0</v>
      </c>
      <c r="D4" s="3">
        <v>10</v>
      </c>
      <c r="E4" s="3">
        <v>20</v>
      </c>
      <c r="F4" s="3">
        <v>30</v>
      </c>
      <c r="G4" s="3">
        <v>40</v>
      </c>
      <c r="L4" s="3">
        <v>0</v>
      </c>
      <c r="M4" s="3">
        <v>10</v>
      </c>
      <c r="N4" s="3">
        <v>20</v>
      </c>
      <c r="O4" s="3">
        <v>30</v>
      </c>
      <c r="P4" s="3">
        <v>40</v>
      </c>
      <c r="U4" s="3">
        <v>0</v>
      </c>
      <c r="V4" s="3">
        <v>10</v>
      </c>
      <c r="W4" s="3">
        <v>20</v>
      </c>
      <c r="X4" s="3">
        <v>30</v>
      </c>
      <c r="Y4" s="3">
        <v>40</v>
      </c>
      <c r="AD4" s="3">
        <v>0</v>
      </c>
      <c r="AE4" s="3">
        <v>10</v>
      </c>
      <c r="AF4" s="3">
        <v>20</v>
      </c>
      <c r="AG4" s="3">
        <v>30</v>
      </c>
      <c r="AH4" s="3">
        <v>40</v>
      </c>
    </row>
    <row r="5" spans="1:34" ht="14.45" customHeight="1">
      <c r="A5" s="6" t="s">
        <v>141</v>
      </c>
      <c r="B5" s="4">
        <v>0</v>
      </c>
      <c r="C5" s="96">
        <v>735</v>
      </c>
      <c r="D5" s="96">
        <v>800</v>
      </c>
      <c r="E5" s="96">
        <v>870</v>
      </c>
      <c r="F5" s="96">
        <v>950</v>
      </c>
      <c r="G5" s="96">
        <v>1035</v>
      </c>
      <c r="J5" s="6" t="s">
        <v>141</v>
      </c>
      <c r="K5" s="4">
        <v>0</v>
      </c>
      <c r="L5" s="96">
        <v>735</v>
      </c>
      <c r="M5" s="96">
        <v>800</v>
      </c>
      <c r="N5" s="96">
        <v>870</v>
      </c>
      <c r="O5" s="96">
        <v>950</v>
      </c>
      <c r="P5" s="96">
        <v>1035</v>
      </c>
      <c r="S5" s="6" t="s">
        <v>141</v>
      </c>
      <c r="T5" s="4">
        <v>0</v>
      </c>
      <c r="U5" s="96">
        <v>600</v>
      </c>
      <c r="V5" s="96">
        <v>655</v>
      </c>
      <c r="W5" s="96">
        <v>710</v>
      </c>
      <c r="X5" s="96">
        <v>775</v>
      </c>
      <c r="Y5" s="96">
        <v>840</v>
      </c>
      <c r="AB5" s="6" t="s">
        <v>141</v>
      </c>
      <c r="AC5" s="4">
        <v>0</v>
      </c>
      <c r="AD5" s="96">
        <v>485</v>
      </c>
      <c r="AE5" s="96">
        <v>525</v>
      </c>
      <c r="AF5" s="96">
        <v>570</v>
      </c>
      <c r="AG5" s="96">
        <v>620</v>
      </c>
      <c r="AH5" s="96">
        <v>675</v>
      </c>
    </row>
    <row r="6" spans="1:34">
      <c r="A6" s="5"/>
      <c r="B6" s="4">
        <v>1000</v>
      </c>
      <c r="C6" s="96">
        <v>780</v>
      </c>
      <c r="D6" s="96">
        <v>850</v>
      </c>
      <c r="E6" s="96">
        <v>930</v>
      </c>
      <c r="F6" s="96">
        <v>1010</v>
      </c>
      <c r="G6" s="96">
        <v>1105</v>
      </c>
      <c r="J6" s="5"/>
      <c r="K6" s="4">
        <v>1000</v>
      </c>
      <c r="L6" s="96">
        <v>780</v>
      </c>
      <c r="M6" s="96">
        <v>850</v>
      </c>
      <c r="N6" s="96">
        <v>930</v>
      </c>
      <c r="O6" s="96">
        <v>1010</v>
      </c>
      <c r="P6" s="96">
        <v>1105</v>
      </c>
      <c r="S6" s="5"/>
      <c r="T6" s="4">
        <v>1000</v>
      </c>
      <c r="U6" s="96">
        <v>640</v>
      </c>
      <c r="V6" s="96">
        <v>695</v>
      </c>
      <c r="W6" s="96">
        <v>755</v>
      </c>
      <c r="X6" s="96">
        <v>825</v>
      </c>
      <c r="Y6" s="96">
        <v>895</v>
      </c>
      <c r="AB6" s="5"/>
      <c r="AC6" s="4">
        <v>1000</v>
      </c>
      <c r="AD6" s="96">
        <v>515</v>
      </c>
      <c r="AE6" s="96">
        <v>560</v>
      </c>
      <c r="AF6" s="96">
        <v>605</v>
      </c>
      <c r="AG6" s="96">
        <v>660</v>
      </c>
      <c r="AH6" s="96">
        <v>720</v>
      </c>
    </row>
    <row r="7" spans="1:34">
      <c r="A7" s="5"/>
      <c r="B7" s="4">
        <v>2000</v>
      </c>
      <c r="C7" s="96">
        <v>830</v>
      </c>
      <c r="D7" s="96">
        <v>905</v>
      </c>
      <c r="E7" s="96">
        <v>990</v>
      </c>
      <c r="F7" s="96">
        <v>1075</v>
      </c>
      <c r="G7" s="96">
        <v>1175</v>
      </c>
      <c r="J7" s="5"/>
      <c r="K7" s="4">
        <v>2000</v>
      </c>
      <c r="L7" s="96">
        <v>830</v>
      </c>
      <c r="M7" s="96">
        <v>905</v>
      </c>
      <c r="N7" s="96">
        <v>990</v>
      </c>
      <c r="O7" s="96">
        <v>1075</v>
      </c>
      <c r="P7" s="96">
        <v>1175</v>
      </c>
      <c r="S7" s="5"/>
      <c r="T7" s="4">
        <v>2000</v>
      </c>
      <c r="U7" s="96">
        <v>680</v>
      </c>
      <c r="V7" s="96">
        <v>740</v>
      </c>
      <c r="W7" s="96">
        <v>805</v>
      </c>
      <c r="X7" s="96">
        <v>875</v>
      </c>
      <c r="Y7" s="96">
        <v>955</v>
      </c>
      <c r="AB7" s="5"/>
      <c r="AC7" s="4">
        <v>2000</v>
      </c>
      <c r="AD7" s="96">
        <v>545</v>
      </c>
      <c r="AE7" s="96">
        <v>595</v>
      </c>
      <c r="AF7" s="96">
        <v>645</v>
      </c>
      <c r="AG7" s="96">
        <v>705</v>
      </c>
      <c r="AH7" s="96">
        <v>765</v>
      </c>
    </row>
    <row r="8" spans="1:34">
      <c r="A8" s="5"/>
      <c r="B8" s="4">
        <v>3000</v>
      </c>
      <c r="C8" s="96">
        <v>885</v>
      </c>
      <c r="D8" s="96">
        <v>965</v>
      </c>
      <c r="E8" s="96">
        <v>1055</v>
      </c>
      <c r="F8" s="96">
        <v>1150</v>
      </c>
      <c r="G8" s="96">
        <v>1255</v>
      </c>
      <c r="J8" s="5"/>
      <c r="K8" s="4">
        <v>3000</v>
      </c>
      <c r="L8" s="96">
        <v>885</v>
      </c>
      <c r="M8" s="96">
        <v>965</v>
      </c>
      <c r="N8" s="96">
        <v>1055</v>
      </c>
      <c r="O8" s="96">
        <v>1150</v>
      </c>
      <c r="P8" s="96">
        <v>1255</v>
      </c>
      <c r="S8" s="5"/>
      <c r="T8" s="4">
        <v>3000</v>
      </c>
      <c r="U8" s="96">
        <v>725</v>
      </c>
      <c r="V8" s="96">
        <v>790</v>
      </c>
      <c r="W8" s="96">
        <v>860</v>
      </c>
      <c r="X8" s="96">
        <v>935</v>
      </c>
      <c r="Y8" s="96">
        <v>1020</v>
      </c>
      <c r="AB8" s="5"/>
      <c r="AC8" s="4">
        <v>3000</v>
      </c>
      <c r="AD8" s="96">
        <v>580</v>
      </c>
      <c r="AE8" s="96">
        <v>635</v>
      </c>
      <c r="AF8" s="96">
        <v>690</v>
      </c>
      <c r="AG8" s="96">
        <v>750</v>
      </c>
      <c r="AH8" s="96">
        <v>815</v>
      </c>
    </row>
    <row r="9" spans="1:34">
      <c r="A9" s="5"/>
      <c r="B9" s="4">
        <v>4000</v>
      </c>
      <c r="C9" s="96">
        <v>945</v>
      </c>
      <c r="D9" s="96">
        <v>1030</v>
      </c>
      <c r="E9" s="96">
        <v>1125</v>
      </c>
      <c r="F9" s="96">
        <v>1225</v>
      </c>
      <c r="G9" s="96">
        <v>1340</v>
      </c>
      <c r="J9" s="5"/>
      <c r="K9" s="4">
        <v>4000</v>
      </c>
      <c r="L9" s="96">
        <v>945</v>
      </c>
      <c r="M9" s="96">
        <v>1030</v>
      </c>
      <c r="N9" s="96">
        <v>1125</v>
      </c>
      <c r="O9" s="96">
        <v>1225</v>
      </c>
      <c r="P9" s="96">
        <v>1340</v>
      </c>
      <c r="S9" s="5"/>
      <c r="T9" s="4">
        <v>4000</v>
      </c>
      <c r="U9" s="96">
        <v>770</v>
      </c>
      <c r="V9" s="96">
        <v>840</v>
      </c>
      <c r="W9" s="96">
        <v>912</v>
      </c>
      <c r="X9" s="96">
        <v>995</v>
      </c>
      <c r="Y9" s="96">
        <v>1085</v>
      </c>
      <c r="AB9" s="5"/>
      <c r="AC9" s="4">
        <v>4000</v>
      </c>
      <c r="AD9" s="96">
        <v>620</v>
      </c>
      <c r="AE9" s="96">
        <v>675</v>
      </c>
      <c r="AF9" s="96">
        <v>735</v>
      </c>
      <c r="AG9" s="96">
        <v>800</v>
      </c>
      <c r="AH9" s="96">
        <v>870</v>
      </c>
    </row>
    <row r="10" spans="1:34">
      <c r="A10" s="5"/>
      <c r="B10" s="4">
        <v>5000</v>
      </c>
      <c r="C10" s="96">
        <v>1005</v>
      </c>
      <c r="D10" s="96">
        <v>1100</v>
      </c>
      <c r="E10" s="96">
        <v>1200</v>
      </c>
      <c r="F10" s="96">
        <v>1310</v>
      </c>
      <c r="G10" s="96">
        <v>1430</v>
      </c>
      <c r="J10" s="5"/>
      <c r="K10" s="4">
        <v>5000</v>
      </c>
      <c r="L10" s="96">
        <v>1005</v>
      </c>
      <c r="M10" s="96">
        <v>1100</v>
      </c>
      <c r="N10" s="96">
        <v>1200</v>
      </c>
      <c r="O10" s="96">
        <v>1310</v>
      </c>
      <c r="P10" s="96">
        <v>1430</v>
      </c>
      <c r="S10" s="5"/>
      <c r="T10" s="4">
        <v>5000</v>
      </c>
      <c r="U10" s="96">
        <v>820</v>
      </c>
      <c r="V10" s="96">
        <v>895</v>
      </c>
      <c r="W10" s="96">
        <v>975</v>
      </c>
      <c r="X10" s="96">
        <v>1065</v>
      </c>
      <c r="Y10" s="96">
        <v>1160</v>
      </c>
      <c r="AB10" s="5"/>
      <c r="AC10" s="4">
        <v>5000</v>
      </c>
      <c r="AD10" s="96">
        <v>660</v>
      </c>
      <c r="AE10" s="96">
        <v>720</v>
      </c>
      <c r="AF10" s="96">
        <v>780</v>
      </c>
      <c r="AG10" s="96">
        <v>850</v>
      </c>
      <c r="AH10" s="96">
        <v>930</v>
      </c>
    </row>
    <row r="11" spans="1:34">
      <c r="A11" s="5"/>
      <c r="B11" s="4">
        <v>6000</v>
      </c>
      <c r="C11" s="96">
        <v>1075</v>
      </c>
      <c r="D11" s="96">
        <v>1170</v>
      </c>
      <c r="E11" s="96">
        <v>1280</v>
      </c>
      <c r="F11" s="96">
        <v>1400</v>
      </c>
      <c r="G11" s="96">
        <v>1530</v>
      </c>
      <c r="J11" s="5"/>
      <c r="K11" s="4">
        <v>6000</v>
      </c>
      <c r="L11" s="96">
        <v>1075</v>
      </c>
      <c r="M11" s="96">
        <v>1170</v>
      </c>
      <c r="N11" s="96">
        <v>1280</v>
      </c>
      <c r="O11" s="96">
        <v>1400</v>
      </c>
      <c r="P11" s="96">
        <v>1530</v>
      </c>
      <c r="S11" s="5"/>
      <c r="T11" s="4">
        <v>6000</v>
      </c>
      <c r="U11" s="96">
        <v>875</v>
      </c>
      <c r="V11" s="96">
        <v>955</v>
      </c>
      <c r="W11" s="96">
        <v>1040</v>
      </c>
      <c r="X11" s="96">
        <v>1135</v>
      </c>
      <c r="Y11" s="96">
        <v>1240</v>
      </c>
      <c r="AB11" s="5"/>
      <c r="AC11" s="4">
        <v>6000</v>
      </c>
      <c r="AD11" s="96">
        <v>705</v>
      </c>
      <c r="AE11" s="96">
        <v>765</v>
      </c>
      <c r="AF11" s="96">
        <v>835</v>
      </c>
      <c r="AG11" s="96">
        <v>910</v>
      </c>
      <c r="AH11" s="96">
        <v>990</v>
      </c>
    </row>
    <row r="12" spans="1:34">
      <c r="A12" s="5"/>
      <c r="B12" s="4">
        <v>7000</v>
      </c>
      <c r="C12" s="96">
        <v>1145</v>
      </c>
      <c r="D12" s="96">
        <v>1250</v>
      </c>
      <c r="E12" s="96">
        <v>1370</v>
      </c>
      <c r="F12" s="96">
        <v>1495</v>
      </c>
      <c r="G12" s="96">
        <v>1635</v>
      </c>
      <c r="J12" s="5"/>
      <c r="K12" s="4">
        <v>7000</v>
      </c>
      <c r="L12" s="96">
        <v>1145</v>
      </c>
      <c r="M12" s="96">
        <v>1250</v>
      </c>
      <c r="N12" s="96">
        <v>1370</v>
      </c>
      <c r="O12" s="96">
        <v>1495</v>
      </c>
      <c r="P12" s="96">
        <v>1635</v>
      </c>
      <c r="S12" s="5"/>
      <c r="T12" s="4">
        <v>7000</v>
      </c>
      <c r="U12" s="96">
        <v>935</v>
      </c>
      <c r="V12" s="96">
        <v>1020</v>
      </c>
      <c r="W12" s="96">
        <v>1115</v>
      </c>
      <c r="X12" s="96">
        <v>1215</v>
      </c>
      <c r="Y12" s="96">
        <v>1325</v>
      </c>
      <c r="AB12" s="5"/>
      <c r="AC12" s="4">
        <v>7000</v>
      </c>
      <c r="AD12" s="96">
        <v>750</v>
      </c>
      <c r="AE12" s="96">
        <v>820</v>
      </c>
      <c r="AF12" s="96">
        <v>890</v>
      </c>
      <c r="AG12" s="96">
        <v>970</v>
      </c>
      <c r="AH12" s="96">
        <v>1060</v>
      </c>
    </row>
    <row r="13" spans="1:34">
      <c r="A13" s="5"/>
      <c r="B13" s="4">
        <v>8000</v>
      </c>
      <c r="C13" s="96">
        <v>1225</v>
      </c>
      <c r="D13" s="96">
        <v>1340</v>
      </c>
      <c r="E13" s="96">
        <v>1465</v>
      </c>
      <c r="F13" s="96">
        <v>1600</v>
      </c>
      <c r="G13" s="96">
        <v>1755</v>
      </c>
      <c r="J13" s="5"/>
      <c r="K13" s="4">
        <v>8000</v>
      </c>
      <c r="L13" s="96">
        <v>1225</v>
      </c>
      <c r="M13" s="96">
        <v>1340</v>
      </c>
      <c r="N13" s="96">
        <v>1465</v>
      </c>
      <c r="O13" s="96">
        <v>1600</v>
      </c>
      <c r="P13" s="96">
        <v>1755</v>
      </c>
      <c r="S13" s="5"/>
      <c r="T13" s="4">
        <v>8000</v>
      </c>
      <c r="U13" s="96">
        <v>1000</v>
      </c>
      <c r="V13" s="96">
        <v>1090</v>
      </c>
      <c r="W13" s="96">
        <v>1190</v>
      </c>
      <c r="X13" s="96">
        <v>1300</v>
      </c>
      <c r="Y13" s="96">
        <v>1420</v>
      </c>
      <c r="AB13" s="5"/>
      <c r="AC13" s="4">
        <v>8000</v>
      </c>
      <c r="AD13" s="96">
        <v>800</v>
      </c>
      <c r="AE13" s="96">
        <v>875</v>
      </c>
      <c r="AF13" s="96">
        <v>950</v>
      </c>
      <c r="AG13" s="96">
        <v>1040</v>
      </c>
      <c r="AH13" s="96">
        <v>1135</v>
      </c>
    </row>
    <row r="14" spans="1:34" ht="15" thickBot="1"/>
    <row r="15" spans="1:34">
      <c r="A15" s="283" t="s">
        <v>142</v>
      </c>
      <c r="B15" s="284"/>
      <c r="J15" s="283" t="s">
        <v>142</v>
      </c>
      <c r="K15" s="284"/>
      <c r="S15" s="283" t="s">
        <v>142</v>
      </c>
      <c r="T15" s="284"/>
      <c r="AB15" s="283" t="s">
        <v>142</v>
      </c>
      <c r="AC15" s="284"/>
    </row>
    <row r="16" spans="1:34">
      <c r="A16" s="110" t="s">
        <v>141</v>
      </c>
      <c r="B16" s="111" t="s">
        <v>143</v>
      </c>
      <c r="J16" s="110" t="s">
        <v>141</v>
      </c>
      <c r="K16" s="111" t="s">
        <v>143</v>
      </c>
      <c r="S16" s="110" t="s">
        <v>141</v>
      </c>
      <c r="T16" s="111" t="s">
        <v>143</v>
      </c>
      <c r="AB16" s="110" t="s">
        <v>141</v>
      </c>
      <c r="AC16" s="111" t="s">
        <v>143</v>
      </c>
    </row>
    <row r="17" spans="1:31">
      <c r="A17" s="110">
        <f>'206'!$B$7</f>
        <v>5256.0000000000009</v>
      </c>
      <c r="B17" s="111">
        <f>'206'!$C$7</f>
        <v>7</v>
      </c>
      <c r="J17" s="110">
        <f>'206'!$B$7</f>
        <v>5256.0000000000009</v>
      </c>
      <c r="K17" s="111">
        <f>'206'!$C$7</f>
        <v>7</v>
      </c>
      <c r="S17" s="110">
        <f>'206'!$B$7</f>
        <v>5256.0000000000009</v>
      </c>
      <c r="T17" s="111">
        <f>'206'!$C$7</f>
        <v>7</v>
      </c>
      <c r="AB17" s="110">
        <f>'206'!$B$7</f>
        <v>5256.0000000000009</v>
      </c>
      <c r="AC17" s="111">
        <f>'206'!$C$7</f>
        <v>7</v>
      </c>
    </row>
    <row r="18" spans="1:31">
      <c r="A18" s="9"/>
      <c r="B18" s="112"/>
      <c r="J18" s="9"/>
      <c r="K18" s="112"/>
      <c r="S18" s="9"/>
      <c r="T18" s="112"/>
      <c r="AB18" s="9"/>
      <c r="AC18" s="112"/>
    </row>
    <row r="19" spans="1:31" ht="15" thickBot="1">
      <c r="A19" s="10" t="s">
        <v>117</v>
      </c>
      <c r="B19" s="113">
        <f ca="1">B51*1.1</f>
        <v>1198.45</v>
      </c>
      <c r="C19" t="s">
        <v>144</v>
      </c>
      <c r="J19" s="10" t="s">
        <v>117</v>
      </c>
      <c r="K19" s="113">
        <f ca="1">K51</f>
        <v>1089.5</v>
      </c>
      <c r="S19" s="10" t="s">
        <v>117</v>
      </c>
      <c r="T19" s="113">
        <f ca="1">T51</f>
        <v>887.5</v>
      </c>
      <c r="AB19" s="10" t="s">
        <v>117</v>
      </c>
      <c r="AC19" s="113">
        <f ca="1">AC51</f>
        <v>713.6</v>
      </c>
    </row>
    <row r="22" spans="1:31">
      <c r="A22" t="s">
        <v>145</v>
      </c>
      <c r="B22">
        <f>VLOOKUP(A17,B5:B13,1)</f>
        <v>5000</v>
      </c>
      <c r="J22" t="s">
        <v>145</v>
      </c>
      <c r="K22">
        <f>VLOOKUP(J17,K5:K13,1)</f>
        <v>5000</v>
      </c>
      <c r="S22" t="s">
        <v>145</v>
      </c>
      <c r="T22">
        <f>VLOOKUP(S17,T5:T13,1)</f>
        <v>5000</v>
      </c>
      <c r="AB22" t="s">
        <v>145</v>
      </c>
      <c r="AC22">
        <f>VLOOKUP(AB17,AC5:AC13,1)</f>
        <v>5000</v>
      </c>
    </row>
    <row r="23" spans="1:31">
      <c r="A23" t="s">
        <v>146</v>
      </c>
      <c r="B23" cm="1">
        <f t="array" ref="B23">IF(A17&gt;=MAX(B5:B13),MAX(B5:B13),INDEX(B5:B13,MATCH(A17,B5:B13,1)+1))</f>
        <v>6000</v>
      </c>
      <c r="J23" t="s">
        <v>146</v>
      </c>
      <c r="K23" cm="1">
        <f t="array" ref="K23">IF(J17&gt;=MAX(K5:K13),MAX(K5:K13),INDEX(K5:K13,MATCH(J17,K5:K13,1)+1))</f>
        <v>6000</v>
      </c>
      <c r="S23" t="s">
        <v>146</v>
      </c>
      <c r="T23" cm="1">
        <f t="array" ref="T23">IF(S17&gt;=MAX(T5:T13),MAX(T5:T13),INDEX(T5:T13,MATCH(S17,T5:T13,1)+1))</f>
        <v>6000</v>
      </c>
      <c r="AB23" t="s">
        <v>146</v>
      </c>
      <c r="AC23" cm="1">
        <f t="array" ref="AC23">IF(AB17&gt;=MAX(AC5:AC13),MAX(AC5:AC13),INDEX(AC5:AC13,MATCH(AB17,AC5:AC13,1)+1))</f>
        <v>6000</v>
      </c>
    </row>
    <row r="25" spans="1:31" ht="28.9">
      <c r="A25" s="2" t="s">
        <v>147</v>
      </c>
      <c r="B25">
        <f>ROW(B5)</f>
        <v>5</v>
      </c>
      <c r="J25" s="2" t="s">
        <v>147</v>
      </c>
      <c r="K25">
        <f>ROW(K5)</f>
        <v>5</v>
      </c>
      <c r="S25" s="2" t="s">
        <v>147</v>
      </c>
      <c r="T25">
        <f>ROW(T5)</f>
        <v>5</v>
      </c>
      <c r="AB25" s="2" t="s">
        <v>147</v>
      </c>
      <c r="AC25">
        <f>ROW(AC5)</f>
        <v>5</v>
      </c>
    </row>
    <row r="26" spans="1:31" ht="28.9">
      <c r="A26" s="2" t="s">
        <v>148</v>
      </c>
      <c r="B26">
        <f>COLUMN(C4)</f>
        <v>3</v>
      </c>
      <c r="J26" s="2" t="s">
        <v>148</v>
      </c>
      <c r="K26">
        <f>COLUMN(L4)</f>
        <v>12</v>
      </c>
      <c r="S26" s="2" t="s">
        <v>148</v>
      </c>
      <c r="T26">
        <f>COLUMN(U4)</f>
        <v>21</v>
      </c>
      <c r="AB26" s="2" t="s">
        <v>148</v>
      </c>
      <c r="AC26">
        <f>COLUMN(AD4)</f>
        <v>30</v>
      </c>
    </row>
    <row r="28" spans="1:31">
      <c r="A28" t="s">
        <v>149</v>
      </c>
      <c r="B28">
        <f>(((MATCH(B22,B5:B13,0))+B25)-1)</f>
        <v>10</v>
      </c>
      <c r="D28" s="114"/>
      <c r="J28" t="s">
        <v>149</v>
      </c>
      <c r="K28">
        <f>(((MATCH(K22,K5:K13,0))+K25)-1)</f>
        <v>10</v>
      </c>
      <c r="M28" s="114"/>
      <c r="S28" t="s">
        <v>149</v>
      </c>
      <c r="T28">
        <f>(((MATCH(T22,T5:T13,0))+T25)-1)</f>
        <v>10</v>
      </c>
      <c r="V28" s="114"/>
      <c r="AB28" t="s">
        <v>149</v>
      </c>
      <c r="AC28">
        <f>(((MATCH(AC22,AC5:AC13,0))+AC25)-1)</f>
        <v>10</v>
      </c>
      <c r="AE28" s="114"/>
    </row>
    <row r="29" spans="1:31">
      <c r="A29" t="s">
        <v>150</v>
      </c>
      <c r="B29">
        <f>B28+1</f>
        <v>11</v>
      </c>
      <c r="J29" t="s">
        <v>150</v>
      </c>
      <c r="K29">
        <f>K28+1</f>
        <v>11</v>
      </c>
      <c r="S29" t="s">
        <v>150</v>
      </c>
      <c r="T29">
        <f>T28+1</f>
        <v>11</v>
      </c>
      <c r="AB29" t="s">
        <v>150</v>
      </c>
      <c r="AC29">
        <f>AC28+1</f>
        <v>11</v>
      </c>
    </row>
    <row r="31" spans="1:31">
      <c r="A31" t="s">
        <v>151</v>
      </c>
      <c r="B31">
        <f>HLOOKUP(B17,C4:G4,1)</f>
        <v>0</v>
      </c>
      <c r="J31" t="s">
        <v>151</v>
      </c>
      <c r="K31">
        <f>HLOOKUP(K17,L4:P4,1)</f>
        <v>0</v>
      </c>
      <c r="S31" t="s">
        <v>151</v>
      </c>
      <c r="T31">
        <f>HLOOKUP(T17,U4:Y4,1)</f>
        <v>0</v>
      </c>
      <c r="AB31" t="s">
        <v>151</v>
      </c>
      <c r="AC31">
        <f>HLOOKUP(AC17,AD4:AH4,1)</f>
        <v>0</v>
      </c>
    </row>
    <row r="32" spans="1:31">
      <c r="A32" t="s">
        <v>152</v>
      </c>
      <c r="B32" cm="1">
        <f t="array" ref="B32">IF(B17&gt;=MAX(C4:G4),MAX(C4:G4),INDEX(C4:G4,MATCH(B17,C4:G4,1)+1))</f>
        <v>10</v>
      </c>
      <c r="J32" t="s">
        <v>152</v>
      </c>
      <c r="K32" cm="1">
        <f t="array" ref="K32">IF(K17&gt;=MAX(L4:P4),MAX(L4:P4),INDEX(L4:P4,MATCH(K17,L4:P4,1)+1))</f>
        <v>10</v>
      </c>
      <c r="S32" t="s">
        <v>152</v>
      </c>
      <c r="T32" cm="1">
        <f t="array" ref="T32">IF(T17&gt;=MAX(U4:Y4),MAX(U4:Y4),INDEX(U4:Y4,MATCH(T17,U4:Y4,1)+1))</f>
        <v>10</v>
      </c>
      <c r="AB32" t="s">
        <v>152</v>
      </c>
      <c r="AC32" cm="1">
        <f t="array" ref="AC32">IF(AC17&gt;=MAX(AD4:AH4),MAX(AD4:AH4),INDEX(AD4:AH4,MATCH(AC17,AD4:AH4,1)+1))</f>
        <v>10</v>
      </c>
    </row>
    <row r="34" spans="1:29">
      <c r="A34" t="s">
        <v>153</v>
      </c>
      <c r="B34">
        <f>(((MATCH(B31,C4:G4,0))+B26)-1)</f>
        <v>3</v>
      </c>
      <c r="J34" t="s">
        <v>153</v>
      </c>
      <c r="K34">
        <f>(((MATCH(K31,L4:P4,0))+K26)-1)</f>
        <v>12</v>
      </c>
      <c r="S34" t="s">
        <v>153</v>
      </c>
      <c r="T34">
        <f>(((MATCH(T31,U4:Y4,0))+T26)-1)</f>
        <v>21</v>
      </c>
      <c r="AB34" t="s">
        <v>153</v>
      </c>
      <c r="AC34">
        <f>(((MATCH(AC31,AD4:AH4,0))+AC26)-1)</f>
        <v>30</v>
      </c>
    </row>
    <row r="35" spans="1:29">
      <c r="A35" t="s">
        <v>154</v>
      </c>
      <c r="B35">
        <f>((((MATCH(B31,C4:G4,0))+B26)-1)+1)</f>
        <v>4</v>
      </c>
      <c r="J35" t="s">
        <v>154</v>
      </c>
      <c r="K35">
        <f>((((MATCH(K31,L4:P4,0))+K26)-1)+1)</f>
        <v>13</v>
      </c>
      <c r="S35" t="s">
        <v>154</v>
      </c>
      <c r="T35">
        <f>((((MATCH(T31,U4:Y4,0))+T26)-1)+1)</f>
        <v>22</v>
      </c>
      <c r="AB35" t="s">
        <v>154</v>
      </c>
      <c r="AC35">
        <f>((((MATCH(AC31,AD4:AH4,0))+AC26)-1)+1)</f>
        <v>31</v>
      </c>
    </row>
    <row r="37" spans="1:29">
      <c r="A37" t="s">
        <v>155</v>
      </c>
      <c r="B37" s="115" cm="1">
        <f t="array" aca="1" ref="B37" ca="1">INDIRECT(ADDRESS(B28,B34))</f>
        <v>1005</v>
      </c>
      <c r="J37" t="s">
        <v>155</v>
      </c>
      <c r="K37" s="115" cm="1">
        <f t="array" aca="1" ref="K37" ca="1">INDIRECT(ADDRESS(K28,K34))</f>
        <v>1005</v>
      </c>
      <c r="S37" t="s">
        <v>155</v>
      </c>
      <c r="T37" s="115" cm="1">
        <f t="array" aca="1" ref="T37" ca="1">INDIRECT(ADDRESS(T28,T34))</f>
        <v>820</v>
      </c>
      <c r="AB37" t="s">
        <v>155</v>
      </c>
      <c r="AC37" s="115" cm="1">
        <f t="array" aca="1" ref="AC37" ca="1">INDIRECT(ADDRESS(AC28,AC34))</f>
        <v>660</v>
      </c>
    </row>
    <row r="38" spans="1:29">
      <c r="A38" t="s">
        <v>156</v>
      </c>
      <c r="B38" s="115" cm="1">
        <f t="array" aca="1" ref="B38" ca="1">INDIRECT(ADDRESS(B29,B34))</f>
        <v>1075</v>
      </c>
      <c r="J38" t="s">
        <v>156</v>
      </c>
      <c r="K38" s="115" cm="1">
        <f t="array" aca="1" ref="K38" ca="1">INDIRECT(ADDRESS(K29,K34))</f>
        <v>1075</v>
      </c>
      <c r="S38" t="s">
        <v>156</v>
      </c>
      <c r="T38" s="115" cm="1">
        <f t="array" aca="1" ref="T38" ca="1">INDIRECT(ADDRESS(T29,T34))</f>
        <v>875</v>
      </c>
      <c r="AB38" t="s">
        <v>156</v>
      </c>
      <c r="AC38" s="115" cm="1">
        <f t="array" aca="1" ref="AC38" ca="1">INDIRECT(ADDRESS(AC29,AC34))</f>
        <v>705</v>
      </c>
    </row>
    <row r="39" spans="1:29">
      <c r="A39" t="s">
        <v>157</v>
      </c>
      <c r="B39" s="115" cm="1">
        <f t="array" aca="1" ref="B39" ca="1">INDIRECT(ADDRESS(B28,B35))</f>
        <v>1100</v>
      </c>
      <c r="J39" t="s">
        <v>157</v>
      </c>
      <c r="K39" s="115" cm="1">
        <f t="array" aca="1" ref="K39" ca="1">INDIRECT(ADDRESS(K28,K35))</f>
        <v>1100</v>
      </c>
      <c r="S39" t="s">
        <v>157</v>
      </c>
      <c r="T39" s="115" cm="1">
        <f t="array" aca="1" ref="T39" ca="1">INDIRECT(ADDRESS(T28,T35))</f>
        <v>895</v>
      </c>
      <c r="AB39" t="s">
        <v>157</v>
      </c>
      <c r="AC39" s="115" cm="1">
        <f t="array" aca="1" ref="AC39" ca="1">INDIRECT(ADDRESS(AC28,AC35))</f>
        <v>720</v>
      </c>
    </row>
    <row r="40" spans="1:29">
      <c r="A40" t="s">
        <v>158</v>
      </c>
      <c r="B40" s="115" cm="1">
        <f t="array" aca="1" ref="B40" ca="1">INDIRECT(ADDRESS(B29,B35))</f>
        <v>1170</v>
      </c>
      <c r="J40" t="s">
        <v>158</v>
      </c>
      <c r="K40" s="115" cm="1">
        <f t="array" aca="1" ref="K40" ca="1">INDIRECT(ADDRESS(K29,K35))</f>
        <v>1170</v>
      </c>
      <c r="S40" t="s">
        <v>158</v>
      </c>
      <c r="T40" s="115" cm="1">
        <f t="array" aca="1" ref="T40" ca="1">INDIRECT(ADDRESS(T29,T35))</f>
        <v>955</v>
      </c>
      <c r="AB40" t="s">
        <v>158</v>
      </c>
      <c r="AC40" s="115" cm="1">
        <f t="array" aca="1" ref="AC40" ca="1">INDIRECT(ADDRESS(AC29,AC35))</f>
        <v>765</v>
      </c>
    </row>
    <row r="42" spans="1:29">
      <c r="A42" t="s">
        <v>159</v>
      </c>
      <c r="B42" s="1">
        <f>(A17-B22)</f>
        <v>256.00000000000091</v>
      </c>
      <c r="J42" t="s">
        <v>159</v>
      </c>
      <c r="K42" s="1">
        <f>(J17-K22)</f>
        <v>256.00000000000091</v>
      </c>
      <c r="S42" t="s">
        <v>159</v>
      </c>
      <c r="T42" s="1">
        <f>(S17-T22)</f>
        <v>256.00000000000091</v>
      </c>
      <c r="AB42" t="s">
        <v>159</v>
      </c>
      <c r="AC42" s="1">
        <f>(AB17-AC22)</f>
        <v>256.00000000000091</v>
      </c>
    </row>
    <row r="44" spans="1:29">
      <c r="A44" t="s">
        <v>160</v>
      </c>
      <c r="B44" s="115">
        <f ca="1">((((B38-B37)/1000)*B42)+B37)</f>
        <v>1022.9200000000001</v>
      </c>
      <c r="J44" t="s">
        <v>160</v>
      </c>
      <c r="K44" s="115">
        <f ca="1">((((K38-K37)/1000)*K42)+K37)</f>
        <v>1022.9200000000001</v>
      </c>
      <c r="S44" t="s">
        <v>160</v>
      </c>
      <c r="T44" s="115">
        <f ca="1">((((T38-T37)/1000)*T42)+T37)</f>
        <v>834.08</v>
      </c>
      <c r="AB44" t="s">
        <v>160</v>
      </c>
      <c r="AC44" s="115">
        <f ca="1">((((AC38-AC37)/1000)*AC42)+AC37)</f>
        <v>671.5200000000001</v>
      </c>
    </row>
    <row r="45" spans="1:29">
      <c r="A45" t="s">
        <v>161</v>
      </c>
      <c r="B45" s="115">
        <f ca="1">((((B40-B39)/1000)*B42)+B39)</f>
        <v>1117.92</v>
      </c>
      <c r="J45" t="s">
        <v>161</v>
      </c>
      <c r="K45" s="115">
        <f ca="1">((((K40-K39)/1000)*K42)+K39)</f>
        <v>1117.92</v>
      </c>
      <c r="S45" t="s">
        <v>161</v>
      </c>
      <c r="T45" s="115">
        <f ca="1">((((T40-T39)/1000)*T42)+T39)</f>
        <v>910.36</v>
      </c>
      <c r="AB45" t="s">
        <v>161</v>
      </c>
      <c r="AC45" s="115">
        <f ca="1">((((AC40-AC39)/1000)*AC42)+AC39)</f>
        <v>731.5200000000001</v>
      </c>
    </row>
    <row r="47" spans="1:29">
      <c r="A47" t="s">
        <v>162</v>
      </c>
      <c r="B47">
        <f>B17-B31</f>
        <v>7</v>
      </c>
      <c r="J47" t="s">
        <v>162</v>
      </c>
      <c r="K47">
        <f>K17-K31</f>
        <v>7</v>
      </c>
      <c r="S47" t="s">
        <v>162</v>
      </c>
      <c r="T47">
        <f>T17-T31</f>
        <v>7</v>
      </c>
      <c r="AB47" t="s">
        <v>162</v>
      </c>
      <c r="AC47">
        <f>AC17-AC31</f>
        <v>7</v>
      </c>
    </row>
    <row r="49" spans="1:29">
      <c r="A49" t="s">
        <v>163</v>
      </c>
      <c r="B49" s="116">
        <f ca="1">((((B45-B44)/10)*B47)+B44)</f>
        <v>1089.42</v>
      </c>
      <c r="J49" t="s">
        <v>163</v>
      </c>
      <c r="K49" s="116">
        <f ca="1">((((K45-K44)/10)*K47)+K44)</f>
        <v>1089.42</v>
      </c>
      <c r="S49" t="s">
        <v>163</v>
      </c>
      <c r="T49" s="116">
        <f ca="1">((((T45-T44)/10)*T47)+T44)</f>
        <v>887.476</v>
      </c>
      <c r="AB49" t="s">
        <v>163</v>
      </c>
      <c r="AC49" s="116">
        <f ca="1">((((AC45-AC44)/10)*AC47)+AC44)</f>
        <v>713.5200000000001</v>
      </c>
    </row>
    <row r="51" spans="1:29">
      <c r="A51" s="7" t="s">
        <v>164</v>
      </c>
      <c r="B51" s="8">
        <f ca="1">ROUNDUP(B49,1)</f>
        <v>1089.5</v>
      </c>
      <c r="J51" s="7" t="s">
        <v>164</v>
      </c>
      <c r="K51" s="8">
        <f ca="1">ROUNDUP(K49,1)</f>
        <v>1089.5</v>
      </c>
      <c r="S51" s="7" t="s">
        <v>164</v>
      </c>
      <c r="T51" s="8">
        <f ca="1">ROUNDUP(T49,1)</f>
        <v>887.5</v>
      </c>
      <c r="AB51" s="7" t="s">
        <v>164</v>
      </c>
      <c r="AC51" s="8">
        <f ca="1">ROUNDUP(AC49,1)</f>
        <v>713.6</v>
      </c>
    </row>
  </sheetData>
  <protectedRanges>
    <protectedRange sqref="A1 J1 S1 AB1" name="WT and POH values"/>
    <protectedRange sqref="C5:G13" name="WT and POH values_4"/>
    <protectedRange sqref="L5:P13" name="WT and POH Values_1_2"/>
    <protectedRange sqref="U5:Y13" name="WT and POH Values_2_1"/>
    <protectedRange sqref="AD5:AH13" name="WT and POH Values_3_1"/>
  </protectedRanges>
  <mergeCells count="8">
    <mergeCell ref="A1:G1"/>
    <mergeCell ref="J1:P1"/>
    <mergeCell ref="S1:Y1"/>
    <mergeCell ref="AB1:AH1"/>
    <mergeCell ref="A15:B15"/>
    <mergeCell ref="J15:K15"/>
    <mergeCell ref="S15:T15"/>
    <mergeCell ref="AB15:AC15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9CF4-62B4-4ADC-8423-8E242878207F}">
  <sheetPr>
    <tabColor theme="4" tint="0.79998168889431442"/>
  </sheetPr>
  <dimension ref="A1:AH51"/>
  <sheetViews>
    <sheetView topLeftCell="S21" zoomScale="70" zoomScaleNormal="70" workbookViewId="0">
      <selection activeCell="AC40" sqref="AC40"/>
    </sheetView>
  </sheetViews>
  <sheetFormatPr defaultRowHeight="14.45"/>
  <cols>
    <col min="1" max="1" width="37.28515625" bestFit="1" customWidth="1"/>
    <col min="2" max="2" width="10.140625" bestFit="1" customWidth="1"/>
    <col min="3" max="3" width="13.42578125" bestFit="1" customWidth="1"/>
    <col min="4" max="7" width="7.42578125" bestFit="1" customWidth="1"/>
    <col min="8" max="8" width="4.85546875" bestFit="1" customWidth="1"/>
    <col min="10" max="10" width="37.28515625" bestFit="1" customWidth="1"/>
    <col min="11" max="11" width="10.140625" bestFit="1" customWidth="1"/>
    <col min="12" max="12" width="13.42578125" bestFit="1" customWidth="1"/>
    <col min="13" max="16" width="7.42578125" bestFit="1" customWidth="1"/>
    <col min="19" max="19" width="37.28515625" bestFit="1" customWidth="1"/>
    <col min="20" max="20" width="10.140625" bestFit="1" customWidth="1"/>
    <col min="21" max="21" width="13.42578125" bestFit="1" customWidth="1"/>
    <col min="22" max="25" width="7.42578125" bestFit="1" customWidth="1"/>
    <col min="28" max="28" width="37.28515625" bestFit="1" customWidth="1"/>
    <col min="29" max="29" width="10.140625" bestFit="1" customWidth="1"/>
    <col min="30" max="30" width="13.42578125" bestFit="1" customWidth="1"/>
    <col min="31" max="34" width="7.42578125" bestFit="1" customWidth="1"/>
  </cols>
  <sheetData>
    <row r="1" spans="1:34">
      <c r="A1" s="282">
        <v>3800</v>
      </c>
      <c r="B1" s="282"/>
      <c r="C1" s="282"/>
      <c r="D1" s="282"/>
      <c r="E1" s="282"/>
      <c r="F1" s="282"/>
      <c r="G1" s="282"/>
      <c r="J1" s="282">
        <v>3600</v>
      </c>
      <c r="K1" s="282"/>
      <c r="L1" s="282"/>
      <c r="M1" s="282"/>
      <c r="N1" s="282"/>
      <c r="O1" s="282"/>
      <c r="P1" s="282"/>
      <c r="S1" s="282">
        <v>3300</v>
      </c>
      <c r="T1" s="282"/>
      <c r="U1" s="282"/>
      <c r="V1" s="282"/>
      <c r="W1" s="282"/>
      <c r="X1" s="282"/>
      <c r="Y1" s="282"/>
      <c r="AB1" s="282">
        <v>3000</v>
      </c>
      <c r="AC1" s="282"/>
      <c r="AD1" s="282"/>
      <c r="AE1" s="282"/>
      <c r="AF1" s="282"/>
      <c r="AG1" s="282"/>
      <c r="AH1" s="282"/>
    </row>
    <row r="2" spans="1:34">
      <c r="A2" s="109" t="s">
        <v>165</v>
      </c>
      <c r="J2" s="109" t="s">
        <v>165</v>
      </c>
      <c r="S2" s="109" t="s">
        <v>165</v>
      </c>
      <c r="AB2" s="109" t="s">
        <v>165</v>
      </c>
    </row>
    <row r="3" spans="1:34">
      <c r="C3" s="3" t="s">
        <v>140</v>
      </c>
      <c r="D3" s="3"/>
      <c r="E3" s="3"/>
      <c r="F3" s="3"/>
      <c r="G3" s="3"/>
      <c r="L3" s="3" t="s">
        <v>140</v>
      </c>
      <c r="M3" s="3"/>
      <c r="N3" s="3"/>
      <c r="O3" s="3"/>
      <c r="P3" s="3"/>
      <c r="U3" s="3" t="s">
        <v>140</v>
      </c>
      <c r="V3" s="3"/>
      <c r="W3" s="3"/>
      <c r="X3" s="3"/>
      <c r="Y3" s="3"/>
      <c r="AD3" s="3" t="s">
        <v>140</v>
      </c>
      <c r="AE3" s="3"/>
      <c r="AF3" s="3"/>
      <c r="AG3" s="3"/>
      <c r="AH3" s="3"/>
    </row>
    <row r="4" spans="1:34" ht="14.45" customHeight="1">
      <c r="C4" s="3">
        <v>0</v>
      </c>
      <c r="D4" s="3">
        <v>10</v>
      </c>
      <c r="E4" s="3">
        <v>20</v>
      </c>
      <c r="F4" s="3">
        <v>30</v>
      </c>
      <c r="G4" s="3">
        <v>40</v>
      </c>
      <c r="L4" s="3">
        <v>0</v>
      </c>
      <c r="M4" s="3">
        <v>10</v>
      </c>
      <c r="N4" s="3">
        <v>20</v>
      </c>
      <c r="O4" s="3">
        <v>30</v>
      </c>
      <c r="P4" s="3">
        <v>40</v>
      </c>
      <c r="U4" s="3">
        <v>0</v>
      </c>
      <c r="V4" s="3">
        <v>10</v>
      </c>
      <c r="W4" s="3">
        <v>20</v>
      </c>
      <c r="X4" s="3">
        <v>30</v>
      </c>
      <c r="Y4" s="3">
        <v>40</v>
      </c>
      <c r="AD4" s="3">
        <v>0</v>
      </c>
      <c r="AE4" s="3">
        <v>10</v>
      </c>
      <c r="AF4" s="3">
        <v>20</v>
      </c>
      <c r="AG4" s="3">
        <v>30</v>
      </c>
      <c r="AH4" s="3">
        <v>40</v>
      </c>
    </row>
    <row r="5" spans="1:34" ht="14.45" customHeight="1">
      <c r="A5" s="6" t="s">
        <v>141</v>
      </c>
      <c r="B5" s="4">
        <v>0</v>
      </c>
      <c r="C5" s="96">
        <v>1440</v>
      </c>
      <c r="D5" s="96">
        <v>1570</v>
      </c>
      <c r="E5" s="96">
        <v>1715</v>
      </c>
      <c r="F5" s="96">
        <v>1875</v>
      </c>
      <c r="G5" s="96">
        <v>2060</v>
      </c>
      <c r="J5" s="6" t="s">
        <v>141</v>
      </c>
      <c r="K5" s="4">
        <v>0</v>
      </c>
      <c r="L5" s="96">
        <v>1440</v>
      </c>
      <c r="M5" s="96">
        <v>1570</v>
      </c>
      <c r="N5" s="96">
        <v>1715</v>
      </c>
      <c r="O5" s="96">
        <v>1875</v>
      </c>
      <c r="P5" s="96">
        <v>2060</v>
      </c>
      <c r="S5" s="6" t="s">
        <v>141</v>
      </c>
      <c r="T5" s="4">
        <v>0</v>
      </c>
      <c r="U5" s="96">
        <v>1180</v>
      </c>
      <c r="V5" s="96">
        <v>1280</v>
      </c>
      <c r="W5" s="96">
        <v>1395</v>
      </c>
      <c r="X5" s="96">
        <v>1520</v>
      </c>
      <c r="Y5" s="96">
        <v>1665</v>
      </c>
      <c r="AB5" s="6" t="s">
        <v>141</v>
      </c>
      <c r="AC5" s="4">
        <v>0</v>
      </c>
      <c r="AD5" s="96">
        <v>955</v>
      </c>
      <c r="AE5" s="96">
        <v>1035</v>
      </c>
      <c r="AF5" s="96">
        <v>1125</v>
      </c>
      <c r="AG5" s="96">
        <v>1220</v>
      </c>
      <c r="AH5" s="96">
        <v>1330</v>
      </c>
    </row>
    <row r="6" spans="1:34">
      <c r="A6" s="5"/>
      <c r="B6" s="4">
        <v>1000</v>
      </c>
      <c r="C6" s="96">
        <v>1520</v>
      </c>
      <c r="D6" s="96">
        <v>1660</v>
      </c>
      <c r="E6" s="96">
        <v>1815</v>
      </c>
      <c r="F6" s="96">
        <v>1990</v>
      </c>
      <c r="G6" s="96">
        <v>2190</v>
      </c>
      <c r="J6" s="5"/>
      <c r="K6" s="4">
        <v>1000</v>
      </c>
      <c r="L6" s="96">
        <v>1520</v>
      </c>
      <c r="M6" s="96">
        <v>1660</v>
      </c>
      <c r="N6" s="96">
        <v>1815</v>
      </c>
      <c r="O6" s="96">
        <v>1990</v>
      </c>
      <c r="P6" s="96">
        <v>2190</v>
      </c>
      <c r="S6" s="5"/>
      <c r="T6" s="4">
        <v>1000</v>
      </c>
      <c r="U6" s="96">
        <v>1245</v>
      </c>
      <c r="V6" s="96">
        <v>1355</v>
      </c>
      <c r="W6" s="96">
        <v>1475</v>
      </c>
      <c r="X6" s="96">
        <v>1610</v>
      </c>
      <c r="Y6" s="96">
        <v>1765</v>
      </c>
      <c r="AB6" s="5"/>
      <c r="AC6" s="4">
        <v>1000</v>
      </c>
      <c r="AD6" s="96">
        <v>1005</v>
      </c>
      <c r="AE6" s="96">
        <v>1090</v>
      </c>
      <c r="AF6" s="96">
        <v>1185</v>
      </c>
      <c r="AG6" s="96">
        <v>1290</v>
      </c>
      <c r="AH6" s="96">
        <v>1410</v>
      </c>
    </row>
    <row r="7" spans="1:34">
      <c r="A7" s="5"/>
      <c r="B7" s="4">
        <v>2000</v>
      </c>
      <c r="C7" s="96">
        <v>1610</v>
      </c>
      <c r="D7" s="96">
        <v>1760</v>
      </c>
      <c r="E7" s="96">
        <v>1925</v>
      </c>
      <c r="F7" s="96">
        <v>2115</v>
      </c>
      <c r="G7" s="96">
        <v>2325</v>
      </c>
      <c r="J7" s="5"/>
      <c r="K7" s="4">
        <v>2000</v>
      </c>
      <c r="L7" s="96">
        <v>1610</v>
      </c>
      <c r="M7" s="96">
        <v>1760</v>
      </c>
      <c r="N7" s="96">
        <v>1925</v>
      </c>
      <c r="O7" s="96">
        <v>2115</v>
      </c>
      <c r="P7" s="96">
        <v>2325</v>
      </c>
      <c r="S7" s="5"/>
      <c r="T7" s="4">
        <v>2000</v>
      </c>
      <c r="U7" s="96">
        <v>1315</v>
      </c>
      <c r="V7" s="96">
        <v>1435</v>
      </c>
      <c r="W7" s="96">
        <v>1565</v>
      </c>
      <c r="X7" s="96">
        <v>1710</v>
      </c>
      <c r="Y7" s="96">
        <v>1870</v>
      </c>
      <c r="AB7" s="5"/>
      <c r="AC7" s="4">
        <v>2000</v>
      </c>
      <c r="AD7" s="96">
        <v>1060</v>
      </c>
      <c r="AE7" s="96">
        <v>1155</v>
      </c>
      <c r="AF7" s="96">
        <v>1255</v>
      </c>
      <c r="AG7" s="96">
        <v>1365</v>
      </c>
      <c r="AH7" s="96">
        <v>1490</v>
      </c>
    </row>
    <row r="8" spans="1:34">
      <c r="A8" s="5"/>
      <c r="B8" s="4">
        <v>3000</v>
      </c>
      <c r="C8" s="96">
        <v>1705</v>
      </c>
      <c r="D8" s="96">
        <v>1865</v>
      </c>
      <c r="E8" s="96">
        <v>2045</v>
      </c>
      <c r="F8" s="96">
        <v>2245</v>
      </c>
      <c r="G8" s="96">
        <v>2475</v>
      </c>
      <c r="J8" s="5"/>
      <c r="K8" s="4">
        <v>3000</v>
      </c>
      <c r="L8" s="96">
        <v>1705</v>
      </c>
      <c r="M8" s="96">
        <v>1865</v>
      </c>
      <c r="N8" s="96">
        <v>2045</v>
      </c>
      <c r="O8" s="96">
        <v>2245</v>
      </c>
      <c r="P8" s="96">
        <v>2475</v>
      </c>
      <c r="S8" s="5"/>
      <c r="T8" s="4">
        <v>3000</v>
      </c>
      <c r="U8" s="96">
        <v>1390</v>
      </c>
      <c r="V8" s="96">
        <v>1515</v>
      </c>
      <c r="W8" s="96">
        <v>1655</v>
      </c>
      <c r="X8" s="96">
        <v>1810</v>
      </c>
      <c r="Y8" s="96">
        <v>1990</v>
      </c>
      <c r="AB8" s="5"/>
      <c r="AC8" s="4">
        <v>3000</v>
      </c>
      <c r="AD8" s="96">
        <v>1125</v>
      </c>
      <c r="AE8" s="96">
        <v>1220</v>
      </c>
      <c r="AF8" s="96">
        <v>1330</v>
      </c>
      <c r="AG8" s="96">
        <v>1450</v>
      </c>
      <c r="AH8" s="96">
        <v>1580</v>
      </c>
    </row>
    <row r="9" spans="1:34">
      <c r="A9" s="5"/>
      <c r="B9" s="4">
        <v>4000</v>
      </c>
      <c r="C9" s="96">
        <v>1810</v>
      </c>
      <c r="D9" s="96">
        <v>1960</v>
      </c>
      <c r="E9" s="96">
        <v>2175</v>
      </c>
      <c r="F9" s="96">
        <v>2390</v>
      </c>
      <c r="G9" s="96">
        <v>2640</v>
      </c>
      <c r="J9" s="5"/>
      <c r="K9" s="4">
        <v>4000</v>
      </c>
      <c r="L9" s="96">
        <v>1810</v>
      </c>
      <c r="M9" s="96">
        <v>1960</v>
      </c>
      <c r="N9" s="96">
        <v>2175</v>
      </c>
      <c r="O9" s="96">
        <v>2390</v>
      </c>
      <c r="P9" s="96">
        <v>2640</v>
      </c>
      <c r="S9" s="5"/>
      <c r="T9" s="4">
        <v>4000</v>
      </c>
      <c r="U9" s="96">
        <v>1475</v>
      </c>
      <c r="V9" s="96">
        <v>1610</v>
      </c>
      <c r="W9" s="96">
        <v>1755</v>
      </c>
      <c r="X9" s="96">
        <v>1925</v>
      </c>
      <c r="Y9" s="96">
        <v>2115</v>
      </c>
      <c r="AB9" s="5"/>
      <c r="AC9" s="4">
        <v>4000</v>
      </c>
      <c r="AD9" s="96">
        <v>1185</v>
      </c>
      <c r="AE9" s="96">
        <v>1290</v>
      </c>
      <c r="AF9" s="96">
        <v>1405</v>
      </c>
      <c r="AG9" s="96">
        <v>1535</v>
      </c>
      <c r="AH9" s="96">
        <v>1680</v>
      </c>
    </row>
    <row r="10" spans="1:34">
      <c r="A10" s="5"/>
      <c r="B10" s="4">
        <v>5000</v>
      </c>
      <c r="C10" s="96">
        <v>1920</v>
      </c>
      <c r="D10" s="96">
        <v>2105</v>
      </c>
      <c r="E10" s="96">
        <v>2310</v>
      </c>
      <c r="F10" s="96">
        <v>2545</v>
      </c>
      <c r="G10" s="96">
        <v>2815</v>
      </c>
      <c r="J10" s="5"/>
      <c r="K10" s="4">
        <v>5000</v>
      </c>
      <c r="L10" s="96">
        <v>1920</v>
      </c>
      <c r="M10" s="96">
        <v>2105</v>
      </c>
      <c r="N10" s="96">
        <v>2310</v>
      </c>
      <c r="O10" s="96">
        <v>2545</v>
      </c>
      <c r="P10" s="96">
        <v>2815</v>
      </c>
      <c r="S10" s="5"/>
      <c r="T10" s="4">
        <v>5000</v>
      </c>
      <c r="U10" s="96">
        <v>1560</v>
      </c>
      <c r="V10" s="96">
        <v>1705</v>
      </c>
      <c r="W10" s="96">
        <v>1865</v>
      </c>
      <c r="X10" s="96">
        <v>2045</v>
      </c>
      <c r="Y10" s="96">
        <v>2250</v>
      </c>
      <c r="AB10" s="5"/>
      <c r="AC10" s="4">
        <v>5000</v>
      </c>
      <c r="AD10" s="96">
        <v>1255</v>
      </c>
      <c r="AE10" s="96">
        <v>1370</v>
      </c>
      <c r="AF10" s="96">
        <v>1490</v>
      </c>
      <c r="AG10" s="96">
        <v>1630</v>
      </c>
      <c r="AH10" s="96">
        <v>1785</v>
      </c>
    </row>
    <row r="11" spans="1:34">
      <c r="A11" s="5"/>
      <c r="B11" s="4">
        <v>6000</v>
      </c>
      <c r="C11" s="96">
        <v>2040</v>
      </c>
      <c r="D11" s="96">
        <v>2235</v>
      </c>
      <c r="E11" s="96">
        <v>2460</v>
      </c>
      <c r="F11" s="96">
        <v>2715</v>
      </c>
      <c r="G11" s="96">
        <v>3005</v>
      </c>
      <c r="J11" s="5"/>
      <c r="K11" s="4">
        <v>6000</v>
      </c>
      <c r="L11" s="96">
        <v>2040</v>
      </c>
      <c r="M11" s="96">
        <v>2235</v>
      </c>
      <c r="N11" s="96">
        <v>2460</v>
      </c>
      <c r="O11" s="96">
        <v>2715</v>
      </c>
      <c r="P11" s="96">
        <v>3005</v>
      </c>
      <c r="S11" s="5"/>
      <c r="T11" s="4">
        <v>6000</v>
      </c>
      <c r="U11" s="96">
        <v>1655</v>
      </c>
      <c r="V11" s="96">
        <v>1810</v>
      </c>
      <c r="W11" s="96">
        <v>1980</v>
      </c>
      <c r="X11" s="96">
        <v>2175</v>
      </c>
      <c r="Y11" s="96">
        <v>2395</v>
      </c>
      <c r="AB11" s="5"/>
      <c r="AC11" s="4">
        <v>6000</v>
      </c>
      <c r="AD11" s="96">
        <v>1330</v>
      </c>
      <c r="AE11" s="96">
        <v>1450</v>
      </c>
      <c r="AF11" s="96">
        <v>1585</v>
      </c>
      <c r="AG11" s="96">
        <v>1730</v>
      </c>
      <c r="AH11" s="96">
        <v>1895</v>
      </c>
    </row>
    <row r="12" spans="1:34">
      <c r="A12" s="5"/>
      <c r="B12" s="4">
        <v>7000</v>
      </c>
      <c r="C12" s="96">
        <v>2170</v>
      </c>
      <c r="D12" s="96">
        <v>2360</v>
      </c>
      <c r="E12" s="96">
        <v>2620</v>
      </c>
      <c r="F12" s="96">
        <v>2895</v>
      </c>
      <c r="G12" s="96">
        <v>3210</v>
      </c>
      <c r="J12" s="5"/>
      <c r="K12" s="4">
        <v>7000</v>
      </c>
      <c r="L12" s="96">
        <v>2170</v>
      </c>
      <c r="M12" s="96">
        <v>2360</v>
      </c>
      <c r="N12" s="96">
        <v>2620</v>
      </c>
      <c r="O12" s="96">
        <v>2895</v>
      </c>
      <c r="P12" s="96">
        <v>3210</v>
      </c>
      <c r="S12" s="5"/>
      <c r="T12" s="4">
        <v>7000</v>
      </c>
      <c r="U12" s="96">
        <v>1760</v>
      </c>
      <c r="V12" s="96">
        <v>1925</v>
      </c>
      <c r="W12" s="96">
        <v>2110</v>
      </c>
      <c r="X12" s="96">
        <v>2315</v>
      </c>
      <c r="Y12" s="96">
        <v>2555</v>
      </c>
      <c r="AB12" s="5"/>
      <c r="AC12" s="4">
        <v>7000</v>
      </c>
      <c r="AD12" s="96">
        <v>1410</v>
      </c>
      <c r="AE12" s="96">
        <v>1540</v>
      </c>
      <c r="AF12" s="96">
        <v>1680</v>
      </c>
      <c r="AG12" s="96">
        <v>1840</v>
      </c>
      <c r="AH12" s="96">
        <v>2020</v>
      </c>
    </row>
    <row r="13" spans="1:34">
      <c r="A13" s="5"/>
      <c r="B13" s="4">
        <v>8000</v>
      </c>
      <c r="C13" s="96">
        <v>2305</v>
      </c>
      <c r="D13" s="96">
        <v>2535</v>
      </c>
      <c r="E13" s="96">
        <v>2795</v>
      </c>
      <c r="F13" s="96">
        <v>3095</v>
      </c>
      <c r="G13" s="96">
        <v>3440</v>
      </c>
      <c r="J13" s="5"/>
      <c r="K13" s="4">
        <v>8000</v>
      </c>
      <c r="L13" s="96">
        <v>2305</v>
      </c>
      <c r="M13" s="96">
        <v>2535</v>
      </c>
      <c r="N13" s="96">
        <v>2795</v>
      </c>
      <c r="O13" s="96">
        <v>3095</v>
      </c>
      <c r="P13" s="96">
        <v>3440</v>
      </c>
      <c r="S13" s="5"/>
      <c r="T13" s="4">
        <v>8000</v>
      </c>
      <c r="U13" s="96">
        <v>1870</v>
      </c>
      <c r="V13" s="96">
        <v>2045</v>
      </c>
      <c r="W13" s="96">
        <v>2245</v>
      </c>
      <c r="X13" s="96">
        <v>2470</v>
      </c>
      <c r="Y13" s="96">
        <v>2725</v>
      </c>
      <c r="AB13" s="5"/>
      <c r="AC13" s="4">
        <v>8000</v>
      </c>
      <c r="AD13" s="96">
        <v>1500</v>
      </c>
      <c r="AE13" s="96">
        <v>1635</v>
      </c>
      <c r="AF13" s="96">
        <v>1785</v>
      </c>
      <c r="AG13" s="96">
        <v>1955</v>
      </c>
      <c r="AH13" s="96">
        <v>2150</v>
      </c>
    </row>
    <row r="14" spans="1:34" ht="15" thickBot="1"/>
    <row r="15" spans="1:34">
      <c r="A15" s="283" t="s">
        <v>142</v>
      </c>
      <c r="B15" s="284"/>
      <c r="J15" s="283" t="s">
        <v>142</v>
      </c>
      <c r="K15" s="284"/>
      <c r="S15" s="283" t="s">
        <v>142</v>
      </c>
      <c r="T15" s="284"/>
      <c r="AB15" s="283" t="s">
        <v>142</v>
      </c>
      <c r="AC15" s="284"/>
    </row>
    <row r="16" spans="1:34">
      <c r="A16" s="110" t="s">
        <v>141</v>
      </c>
      <c r="B16" s="111" t="s">
        <v>143</v>
      </c>
      <c r="J16" s="110" t="s">
        <v>141</v>
      </c>
      <c r="K16" s="111" t="s">
        <v>143</v>
      </c>
      <c r="S16" s="110" t="s">
        <v>141</v>
      </c>
      <c r="T16" s="111" t="s">
        <v>143</v>
      </c>
      <c r="AB16" s="110" t="s">
        <v>141</v>
      </c>
      <c r="AC16" s="111" t="s">
        <v>143</v>
      </c>
    </row>
    <row r="17" spans="1:31">
      <c r="A17" s="110">
        <f>'206'!$B$7</f>
        <v>5256.0000000000009</v>
      </c>
      <c r="B17" s="111">
        <f>'206'!$C$7</f>
        <v>7</v>
      </c>
      <c r="J17" s="110">
        <f>'206'!$B$7</f>
        <v>5256.0000000000009</v>
      </c>
      <c r="K17" s="111">
        <f>'206'!$C$7</f>
        <v>7</v>
      </c>
      <c r="S17" s="110">
        <f>'206'!$B$7</f>
        <v>5256.0000000000009</v>
      </c>
      <c r="T17" s="111">
        <f>'206'!$C$7</f>
        <v>7</v>
      </c>
      <c r="AB17" s="110">
        <f>'206'!$B$7</f>
        <v>5256.0000000000009</v>
      </c>
      <c r="AC17" s="111">
        <f>'206'!$C$7</f>
        <v>7</v>
      </c>
    </row>
    <row r="18" spans="1:31">
      <c r="A18" s="9"/>
      <c r="B18" s="112"/>
      <c r="J18" s="9"/>
      <c r="K18" s="112"/>
      <c r="S18" s="9"/>
      <c r="T18" s="112"/>
      <c r="AB18" s="9"/>
      <c r="AC18" s="112"/>
    </row>
    <row r="19" spans="1:31" ht="15" thickBot="1">
      <c r="A19" s="10" t="s">
        <v>165</v>
      </c>
      <c r="B19" s="113">
        <f ca="1">B51*1.1</f>
        <v>2290.31</v>
      </c>
      <c r="C19" t="s">
        <v>144</v>
      </c>
      <c r="J19" s="10" t="s">
        <v>165</v>
      </c>
      <c r="K19" s="113">
        <f ca="1">K51</f>
        <v>2082.1</v>
      </c>
      <c r="S19" s="10" t="s">
        <v>165</v>
      </c>
      <c r="T19" s="113">
        <f ca="1">T51</f>
        <v>1687.6999999999998</v>
      </c>
      <c r="AB19" s="10" t="s">
        <v>165</v>
      </c>
      <c r="AC19" s="113">
        <f ca="1">AC51</f>
        <v>1355.6</v>
      </c>
    </row>
    <row r="22" spans="1:31">
      <c r="A22" t="s">
        <v>145</v>
      </c>
      <c r="B22">
        <f>VLOOKUP(A17,B5:B13,1)</f>
        <v>5000</v>
      </c>
      <c r="J22" t="s">
        <v>145</v>
      </c>
      <c r="K22">
        <f>VLOOKUP(J17,K5:K13,1)</f>
        <v>5000</v>
      </c>
      <c r="S22" t="s">
        <v>145</v>
      </c>
      <c r="T22">
        <f>VLOOKUP(S17,T5:T13,1)</f>
        <v>5000</v>
      </c>
      <c r="AB22" t="s">
        <v>145</v>
      </c>
      <c r="AC22">
        <f>VLOOKUP(AB17,AC5:AC13,1)</f>
        <v>5000</v>
      </c>
    </row>
    <row r="23" spans="1:31">
      <c r="A23" t="s">
        <v>146</v>
      </c>
      <c r="B23" cm="1">
        <f t="array" ref="B23">IF(A17&gt;=MAX(B5:B13),MAX(B5:B13),INDEX(B5:B13,MATCH(A17,B5:B13,1)+1))</f>
        <v>6000</v>
      </c>
      <c r="D23" cm="1">
        <f t="array" ref="D23">INDEX(B5:B13,MATCH(A17,B5:B13,1)+1)</f>
        <v>6000</v>
      </c>
      <c r="J23" t="s">
        <v>146</v>
      </c>
      <c r="K23" cm="1">
        <f t="array" ref="K23">IF(J17&gt;=MAX(K5:K13),MAX(K5:K13),INDEX(K5:K13,MATCH(J17,K5:K13,1)+1))</f>
        <v>6000</v>
      </c>
      <c r="S23" t="s">
        <v>146</v>
      </c>
      <c r="T23" cm="1">
        <f t="array" ref="T23">IF(S17&gt;=MAX(T5:T13),MAX(T5:T13),INDEX(T5:T13,MATCH(S17,T5:T13,1)+1))</f>
        <v>6000</v>
      </c>
      <c r="AB23" t="s">
        <v>146</v>
      </c>
      <c r="AC23" cm="1">
        <f t="array" ref="AC23">IF(AB17&gt;=MAX(AC5:AC13),MAX(AC5:AC13),INDEX(AC5:AC13,MATCH(AB17,AC5:AC13,1)+1))</f>
        <v>6000</v>
      </c>
    </row>
    <row r="25" spans="1:31" ht="28.9">
      <c r="A25" s="2" t="s">
        <v>147</v>
      </c>
      <c r="B25">
        <f>ROW(B5)</f>
        <v>5</v>
      </c>
      <c r="J25" s="2" t="s">
        <v>147</v>
      </c>
      <c r="K25">
        <f>ROW(K5)</f>
        <v>5</v>
      </c>
      <c r="S25" s="2" t="s">
        <v>147</v>
      </c>
      <c r="T25">
        <f>ROW(T5)</f>
        <v>5</v>
      </c>
      <c r="AB25" s="2" t="s">
        <v>147</v>
      </c>
      <c r="AC25">
        <f>ROW(AC5)</f>
        <v>5</v>
      </c>
    </row>
    <row r="26" spans="1:31" ht="28.9">
      <c r="A26" s="2" t="s">
        <v>148</v>
      </c>
      <c r="B26">
        <f>COLUMN(C4)</f>
        <v>3</v>
      </c>
      <c r="J26" s="2" t="s">
        <v>148</v>
      </c>
      <c r="K26">
        <f>COLUMN(L4)</f>
        <v>12</v>
      </c>
      <c r="S26" s="2" t="s">
        <v>148</v>
      </c>
      <c r="T26">
        <f>COLUMN(U4)</f>
        <v>21</v>
      </c>
      <c r="AB26" s="2" t="s">
        <v>148</v>
      </c>
      <c r="AC26">
        <f>COLUMN(AD4)</f>
        <v>30</v>
      </c>
    </row>
    <row r="28" spans="1:31">
      <c r="A28" t="s">
        <v>149</v>
      </c>
      <c r="B28">
        <f>(((MATCH(B22,B5:B13,0))+B25)-1)</f>
        <v>10</v>
      </c>
      <c r="D28" s="114"/>
      <c r="J28" t="s">
        <v>149</v>
      </c>
      <c r="K28">
        <f>(((MATCH(K22,K5:K13,0))+K25)-1)</f>
        <v>10</v>
      </c>
      <c r="M28" s="114"/>
      <c r="S28" t="s">
        <v>149</v>
      </c>
      <c r="T28">
        <f>(((MATCH(T22,T5:T13,0))+T25)-1)</f>
        <v>10</v>
      </c>
      <c r="V28" s="114"/>
      <c r="AB28" t="s">
        <v>149</v>
      </c>
      <c r="AC28">
        <f>(((MATCH(AC22,AC5:AC13,0))+AC25)-1)</f>
        <v>10</v>
      </c>
      <c r="AE28" s="114"/>
    </row>
    <row r="29" spans="1:31">
      <c r="A29" t="s">
        <v>150</v>
      </c>
      <c r="B29">
        <f>B28+1</f>
        <v>11</v>
      </c>
      <c r="J29" t="s">
        <v>150</v>
      </c>
      <c r="K29">
        <f>K28+1</f>
        <v>11</v>
      </c>
      <c r="S29" t="s">
        <v>150</v>
      </c>
      <c r="T29">
        <f>T28+1</f>
        <v>11</v>
      </c>
      <c r="AB29" t="s">
        <v>150</v>
      </c>
      <c r="AC29">
        <f>AC28+1</f>
        <v>11</v>
      </c>
    </row>
    <row r="31" spans="1:31">
      <c r="A31" t="s">
        <v>151</v>
      </c>
      <c r="B31">
        <f>HLOOKUP(B17,C4:G4,1)</f>
        <v>0</v>
      </c>
      <c r="J31" t="s">
        <v>151</v>
      </c>
      <c r="K31">
        <f>HLOOKUP(K17,L4:P4,1)</f>
        <v>0</v>
      </c>
      <c r="S31" t="s">
        <v>151</v>
      </c>
      <c r="T31">
        <f>HLOOKUP(T17,U4:Y4,1)</f>
        <v>0</v>
      </c>
      <c r="AB31" t="s">
        <v>151</v>
      </c>
      <c r="AC31">
        <f>HLOOKUP(AC17,AD4:AH4,1)</f>
        <v>0</v>
      </c>
    </row>
    <row r="32" spans="1:31">
      <c r="A32" t="s">
        <v>152</v>
      </c>
      <c r="B32" cm="1">
        <f t="array" ref="B32">IF(B17&gt;=MAX(C4:G4),MAX(C4:G4),INDEX(C4:G4,MATCH(B17,C4:G4,1)+1))</f>
        <v>10</v>
      </c>
      <c r="J32" t="s">
        <v>152</v>
      </c>
      <c r="K32" cm="1">
        <f t="array" ref="K32">IF(K17&gt;=MAX(L4:P4),MAX(L4:P4),INDEX(L4:P4,MATCH(K17,L4:P4,1)+1))</f>
        <v>10</v>
      </c>
      <c r="S32" t="s">
        <v>152</v>
      </c>
      <c r="T32" cm="1">
        <f t="array" ref="T32">IF(T17&gt;=MAX(U4:Y4),MAX(U4:Y4),INDEX(U4:Y4,MATCH(T17,U4:Y4,1)+1))</f>
        <v>10</v>
      </c>
      <c r="AB32" t="s">
        <v>152</v>
      </c>
      <c r="AC32" cm="1">
        <f t="array" ref="AC32">IF(AC17&gt;=MAX(AD4:AH4),MAX(AD4:AH4),INDEX(AD4:AH4,MATCH(AC17,AD4:AH4,1)+1))</f>
        <v>10</v>
      </c>
    </row>
    <row r="34" spans="1:29">
      <c r="A34" t="s">
        <v>153</v>
      </c>
      <c r="B34">
        <f>(((MATCH(B31,C4:G4,0))+B26)-1)</f>
        <v>3</v>
      </c>
      <c r="J34" t="s">
        <v>153</v>
      </c>
      <c r="K34">
        <f>(((MATCH(K31,L4:P4,0))+K26)-1)</f>
        <v>12</v>
      </c>
      <c r="S34" t="s">
        <v>153</v>
      </c>
      <c r="T34">
        <f>(((MATCH(T31,U4:Y4,0))+T26)-1)</f>
        <v>21</v>
      </c>
      <c r="AB34" t="s">
        <v>153</v>
      </c>
      <c r="AC34">
        <f>(((MATCH(AC31,AD4:AH4,0))+AC26)-1)</f>
        <v>30</v>
      </c>
    </row>
    <row r="35" spans="1:29">
      <c r="A35" t="s">
        <v>154</v>
      </c>
      <c r="B35">
        <f>((((MATCH(B31,C4:G4,0))+B26)-1)+1)</f>
        <v>4</v>
      </c>
      <c r="J35" t="s">
        <v>154</v>
      </c>
      <c r="K35">
        <f>((((MATCH(K31,L4:P4,0))+K26)-1)+1)</f>
        <v>13</v>
      </c>
      <c r="S35" t="s">
        <v>154</v>
      </c>
      <c r="T35">
        <f>((((MATCH(T31,U4:Y4,0))+T26)-1)+1)</f>
        <v>22</v>
      </c>
      <c r="AB35" t="s">
        <v>154</v>
      </c>
      <c r="AC35">
        <f>((((MATCH(AC31,AD4:AH4,0))+AC26)-1)+1)</f>
        <v>31</v>
      </c>
    </row>
    <row r="37" spans="1:29">
      <c r="A37" t="s">
        <v>155</v>
      </c>
      <c r="B37" s="115" cm="1">
        <f t="array" aca="1" ref="B37" ca="1">INDIRECT(ADDRESS(B28,B34))</f>
        <v>1920</v>
      </c>
      <c r="J37" t="s">
        <v>155</v>
      </c>
      <c r="K37" s="115" cm="1">
        <f t="array" aca="1" ref="K37" ca="1">INDIRECT(ADDRESS(K28,K34))</f>
        <v>1920</v>
      </c>
      <c r="S37" t="s">
        <v>155</v>
      </c>
      <c r="T37" s="115" cm="1">
        <f t="array" aca="1" ref="T37" ca="1">INDIRECT(ADDRESS(T28,T34))</f>
        <v>1560</v>
      </c>
      <c r="AB37" t="s">
        <v>155</v>
      </c>
      <c r="AC37" s="115" cm="1">
        <f t="array" aca="1" ref="AC37" ca="1">INDIRECT(ADDRESS(AC28,AC34))</f>
        <v>1255</v>
      </c>
    </row>
    <row r="38" spans="1:29">
      <c r="A38" t="s">
        <v>156</v>
      </c>
      <c r="B38" s="115" cm="1">
        <f t="array" aca="1" ref="B38" ca="1">INDIRECT(ADDRESS(B29,B34))</f>
        <v>2040</v>
      </c>
      <c r="J38" t="s">
        <v>156</v>
      </c>
      <c r="K38" s="115" cm="1">
        <f t="array" aca="1" ref="K38" ca="1">INDIRECT(ADDRESS(K29,K34))</f>
        <v>2040</v>
      </c>
      <c r="S38" t="s">
        <v>156</v>
      </c>
      <c r="T38" s="115" cm="1">
        <f t="array" aca="1" ref="T38" ca="1">INDIRECT(ADDRESS(T29,T34))</f>
        <v>1655</v>
      </c>
      <c r="AB38" t="s">
        <v>156</v>
      </c>
      <c r="AC38" s="115" cm="1">
        <f t="array" aca="1" ref="AC38" ca="1">INDIRECT(ADDRESS(AC29,AC34))</f>
        <v>1330</v>
      </c>
    </row>
    <row r="39" spans="1:29">
      <c r="A39" t="s">
        <v>157</v>
      </c>
      <c r="B39" s="115" cm="1">
        <f t="array" aca="1" ref="B39" ca="1">INDIRECT(ADDRESS(B28,B35))</f>
        <v>2105</v>
      </c>
      <c r="J39" t="s">
        <v>157</v>
      </c>
      <c r="K39" s="115" cm="1">
        <f t="array" aca="1" ref="K39" ca="1">INDIRECT(ADDRESS(K28,K35))</f>
        <v>2105</v>
      </c>
      <c r="S39" t="s">
        <v>157</v>
      </c>
      <c r="T39" s="115" cm="1">
        <f t="array" aca="1" ref="T39" ca="1">INDIRECT(ADDRESS(T28,T35))</f>
        <v>1705</v>
      </c>
      <c r="AB39" t="s">
        <v>157</v>
      </c>
      <c r="AC39" s="115" cm="1">
        <f t="array" aca="1" ref="AC39" ca="1">INDIRECT(ADDRESS(AC28,AC35))</f>
        <v>1370</v>
      </c>
    </row>
    <row r="40" spans="1:29">
      <c r="A40" t="s">
        <v>158</v>
      </c>
      <c r="B40" s="115" cm="1">
        <f t="array" aca="1" ref="B40" ca="1">INDIRECT(ADDRESS(B29,B35))</f>
        <v>2235</v>
      </c>
      <c r="J40" t="s">
        <v>158</v>
      </c>
      <c r="K40" s="115" cm="1">
        <f t="array" aca="1" ref="K40" ca="1">INDIRECT(ADDRESS(K29,K35))</f>
        <v>2235</v>
      </c>
      <c r="S40" t="s">
        <v>158</v>
      </c>
      <c r="T40" s="115" cm="1">
        <f t="array" aca="1" ref="T40" ca="1">INDIRECT(ADDRESS(T29,T35))</f>
        <v>1810</v>
      </c>
      <c r="AB40" t="s">
        <v>158</v>
      </c>
      <c r="AC40" s="115" cm="1">
        <f t="array" aca="1" ref="AC40" ca="1">INDIRECT(ADDRESS(AC29,AC35))</f>
        <v>1450</v>
      </c>
    </row>
    <row r="42" spans="1:29">
      <c r="A42" t="s">
        <v>159</v>
      </c>
      <c r="B42" s="1">
        <f>(A17-B22)</f>
        <v>256.00000000000091</v>
      </c>
      <c r="J42" t="s">
        <v>159</v>
      </c>
      <c r="K42" s="1">
        <f>(J17-K22)</f>
        <v>256.00000000000091</v>
      </c>
      <c r="S42" t="s">
        <v>159</v>
      </c>
      <c r="T42" s="1">
        <f>(S17-T22)</f>
        <v>256.00000000000091</v>
      </c>
      <c r="AB42" t="s">
        <v>159</v>
      </c>
      <c r="AC42" s="1">
        <f>(AB17-AC22)</f>
        <v>256.00000000000091</v>
      </c>
    </row>
    <row r="44" spans="1:29">
      <c r="A44" t="s">
        <v>160</v>
      </c>
      <c r="B44" s="115">
        <f ca="1">((((B38-B37)/1000)*B42)+B37)</f>
        <v>1950.72</v>
      </c>
      <c r="J44" t="s">
        <v>160</v>
      </c>
      <c r="K44" s="115">
        <f ca="1">((((K38-K37)/1000)*K42)+K37)</f>
        <v>1950.72</v>
      </c>
      <c r="S44" t="s">
        <v>160</v>
      </c>
      <c r="T44" s="115">
        <f ca="1">((((T38-T37)/1000)*T42)+T37)</f>
        <v>1584.3200000000002</v>
      </c>
      <c r="AB44" t="s">
        <v>160</v>
      </c>
      <c r="AC44" s="115">
        <f ca="1">((((AC38-AC37)/1000)*AC42)+AC37)</f>
        <v>1274.2</v>
      </c>
    </row>
    <row r="45" spans="1:29">
      <c r="A45" t="s">
        <v>161</v>
      </c>
      <c r="B45" s="115">
        <f ca="1">((((B40-B39)/1000)*B42)+B39)</f>
        <v>2138.2800000000002</v>
      </c>
      <c r="J45" t="s">
        <v>161</v>
      </c>
      <c r="K45" s="115">
        <f ca="1">((((K40-K39)/1000)*K42)+K39)</f>
        <v>2138.2800000000002</v>
      </c>
      <c r="S45" t="s">
        <v>161</v>
      </c>
      <c r="T45" s="115">
        <f ca="1">((((T40-T39)/1000)*T42)+T39)</f>
        <v>1731.88</v>
      </c>
      <c r="AB45" t="s">
        <v>161</v>
      </c>
      <c r="AC45" s="115">
        <f ca="1">((((AC40-AC39)/1000)*AC42)+AC39)</f>
        <v>1390.48</v>
      </c>
    </row>
    <row r="47" spans="1:29">
      <c r="A47" t="s">
        <v>162</v>
      </c>
      <c r="B47">
        <f>B17-B31</f>
        <v>7</v>
      </c>
      <c r="J47" t="s">
        <v>162</v>
      </c>
      <c r="K47">
        <f>K17-K31</f>
        <v>7</v>
      </c>
      <c r="S47" t="s">
        <v>162</v>
      </c>
      <c r="T47">
        <f>T17-T31</f>
        <v>7</v>
      </c>
      <c r="AB47" t="s">
        <v>162</v>
      </c>
      <c r="AC47">
        <f>AC17-AC31</f>
        <v>7</v>
      </c>
    </row>
    <row r="49" spans="1:29">
      <c r="A49" t="s">
        <v>163</v>
      </c>
      <c r="B49" s="116">
        <f ca="1">((((B45-B44)/10)*B47)+B44)</f>
        <v>2082.0120000000002</v>
      </c>
      <c r="J49" t="s">
        <v>163</v>
      </c>
      <c r="K49" s="116">
        <f ca="1">((((K45-K44)/10)*K47)+K44)</f>
        <v>2082.0120000000002</v>
      </c>
      <c r="S49" t="s">
        <v>163</v>
      </c>
      <c r="T49" s="116">
        <f ca="1">((((T45-T44)/10)*T47)+T44)</f>
        <v>1687.6120000000001</v>
      </c>
      <c r="AB49" t="s">
        <v>163</v>
      </c>
      <c r="AC49" s="116">
        <f ca="1">((((AC45-AC44)/10)*AC47)+AC44)</f>
        <v>1355.596</v>
      </c>
    </row>
    <row r="51" spans="1:29">
      <c r="A51" s="7" t="s">
        <v>164</v>
      </c>
      <c r="B51" s="8">
        <f ca="1">ROUNDUP(B49,1)</f>
        <v>2082.1</v>
      </c>
      <c r="J51" s="7" t="s">
        <v>164</v>
      </c>
      <c r="K51" s="8">
        <f ca="1">ROUNDUP(K49,1)</f>
        <v>2082.1</v>
      </c>
      <c r="S51" s="7" t="s">
        <v>164</v>
      </c>
      <c r="T51" s="8">
        <f ca="1">ROUNDUP(T49,1)</f>
        <v>1687.6999999999998</v>
      </c>
      <c r="AB51" s="7" t="s">
        <v>164</v>
      </c>
      <c r="AC51" s="8">
        <f ca="1">ROUNDUP(AC49,1)</f>
        <v>1355.6</v>
      </c>
    </row>
  </sheetData>
  <protectedRanges>
    <protectedRange sqref="A1 J1 S1 AB1" name="WT and POH values"/>
    <protectedRange sqref="AD5:AH13" name="WT and POH Values_7_1"/>
    <protectedRange sqref="U5:Y13" name="WT and POH Values_6_1"/>
    <protectedRange sqref="L5:P13" name="WT and POH Values_5"/>
    <protectedRange sqref="C5:G13" name="WT and POH Values_5_1"/>
  </protectedRanges>
  <mergeCells count="8">
    <mergeCell ref="A1:G1"/>
    <mergeCell ref="J1:P1"/>
    <mergeCell ref="S1:Y1"/>
    <mergeCell ref="AB1:AH1"/>
    <mergeCell ref="A15:B15"/>
    <mergeCell ref="J15:K15"/>
    <mergeCell ref="S15:T15"/>
    <mergeCell ref="AB15:AC1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EFFA0-AA77-415B-AB71-C436832B250B}">
  <sheetPr>
    <tabColor theme="4" tint="0.79998168889431442"/>
  </sheetPr>
  <dimension ref="A1:X101"/>
  <sheetViews>
    <sheetView topLeftCell="A38" zoomScaleNormal="100" workbookViewId="0">
      <selection activeCell="B40" sqref="B40"/>
    </sheetView>
  </sheetViews>
  <sheetFormatPr defaultRowHeight="20.100000000000001" customHeight="1"/>
  <cols>
    <col min="1" max="1" width="36.5703125" bestFit="1" customWidth="1"/>
    <col min="2" max="18" width="15.5703125" customWidth="1"/>
  </cols>
  <sheetData>
    <row r="1" spans="1:11" ht="20.100000000000001" customHeight="1">
      <c r="A1" s="289" t="s">
        <v>166</v>
      </c>
      <c r="B1" s="290"/>
      <c r="C1" s="290"/>
      <c r="D1" s="290"/>
      <c r="E1" s="290"/>
      <c r="F1" s="290"/>
      <c r="G1" s="290"/>
    </row>
    <row r="2" spans="1:11" ht="20.100000000000001" customHeight="1">
      <c r="A2" s="290"/>
      <c r="B2" s="290"/>
      <c r="C2" s="290"/>
      <c r="D2" s="290"/>
      <c r="E2" s="290"/>
      <c r="F2" s="290"/>
      <c r="G2" s="290"/>
    </row>
    <row r="3" spans="1:11" ht="20.100000000000001" customHeight="1">
      <c r="C3" s="3" t="s">
        <v>140</v>
      </c>
      <c r="D3" s="3"/>
      <c r="E3" s="3"/>
      <c r="F3" s="3"/>
      <c r="G3" s="3"/>
    </row>
    <row r="4" spans="1:11" ht="20.100000000000001" customHeight="1">
      <c r="C4" s="3">
        <v>0</v>
      </c>
      <c r="D4" s="3">
        <v>10</v>
      </c>
      <c r="E4" s="3">
        <v>20</v>
      </c>
      <c r="F4" s="3">
        <v>30</v>
      </c>
      <c r="G4" s="3">
        <v>40</v>
      </c>
    </row>
    <row r="5" spans="1:11" ht="20.100000000000001" customHeight="1">
      <c r="A5" s="6" t="s">
        <v>141</v>
      </c>
      <c r="B5" s="4">
        <v>0</v>
      </c>
      <c r="C5" s="96">
        <v>695</v>
      </c>
      <c r="D5" s="96">
        <v>720</v>
      </c>
      <c r="E5" s="96">
        <v>750</v>
      </c>
      <c r="F5" s="96">
        <v>775</v>
      </c>
      <c r="G5" s="96">
        <v>800</v>
      </c>
      <c r="J5" s="294" t="s">
        <v>167</v>
      </c>
      <c r="K5" s="295" t="s">
        <v>168</v>
      </c>
    </row>
    <row r="6" spans="1:11" ht="20.100000000000001" customHeight="1">
      <c r="A6" s="5"/>
      <c r="B6" s="4">
        <v>1000</v>
      </c>
      <c r="C6" s="96">
        <v>720</v>
      </c>
      <c r="D6" s="96">
        <v>750</v>
      </c>
      <c r="E6" s="96">
        <v>775</v>
      </c>
      <c r="F6" s="96">
        <v>800</v>
      </c>
      <c r="G6" s="96">
        <v>830</v>
      </c>
      <c r="J6" s="294"/>
      <c r="K6" s="295"/>
    </row>
    <row r="7" spans="1:11" ht="20.100000000000001" customHeight="1">
      <c r="A7" s="5"/>
      <c r="B7" s="4">
        <v>2000</v>
      </c>
      <c r="C7" s="96">
        <v>750</v>
      </c>
      <c r="D7" s="96">
        <v>775</v>
      </c>
      <c r="E7" s="96">
        <v>805</v>
      </c>
      <c r="F7" s="96">
        <v>830</v>
      </c>
      <c r="G7" s="96">
        <v>860</v>
      </c>
      <c r="J7" s="294"/>
      <c r="K7" s="295"/>
    </row>
    <row r="8" spans="1:11" ht="20.100000000000001" customHeight="1">
      <c r="A8" s="5"/>
      <c r="B8" s="4">
        <v>3000</v>
      </c>
      <c r="C8" s="96">
        <v>775</v>
      </c>
      <c r="D8" s="96">
        <v>805</v>
      </c>
      <c r="E8" s="96">
        <v>835</v>
      </c>
      <c r="F8" s="96">
        <v>865</v>
      </c>
      <c r="G8" s="96">
        <v>890</v>
      </c>
      <c r="J8" s="294"/>
      <c r="K8" s="295"/>
    </row>
    <row r="9" spans="1:11" ht="20.100000000000001" customHeight="1">
      <c r="A9" s="5"/>
      <c r="B9" s="4">
        <v>4000</v>
      </c>
      <c r="C9" s="96">
        <v>805</v>
      </c>
      <c r="D9" s="96">
        <v>835</v>
      </c>
      <c r="E9" s="96">
        <v>865</v>
      </c>
      <c r="F9" s="96">
        <v>895</v>
      </c>
      <c r="G9" s="96">
        <v>925</v>
      </c>
      <c r="J9" s="294"/>
      <c r="K9" s="295"/>
    </row>
    <row r="10" spans="1:11" ht="20.100000000000001" customHeight="1">
      <c r="A10" s="5"/>
      <c r="B10" s="4">
        <v>5000</v>
      </c>
      <c r="C10" s="96">
        <v>835</v>
      </c>
      <c r="D10" s="96">
        <v>870</v>
      </c>
      <c r="E10" s="96">
        <v>900</v>
      </c>
      <c r="F10" s="96">
        <v>930</v>
      </c>
      <c r="G10" s="96">
        <v>960</v>
      </c>
      <c r="J10" s="294"/>
      <c r="K10" s="295"/>
    </row>
    <row r="11" spans="1:11" ht="20.100000000000001" customHeight="1">
      <c r="A11" s="5"/>
      <c r="B11" s="4">
        <v>6000</v>
      </c>
      <c r="C11" s="96">
        <v>870</v>
      </c>
      <c r="D11" s="96">
        <v>900</v>
      </c>
      <c r="E11" s="96">
        <v>935</v>
      </c>
      <c r="F11" s="96">
        <v>965</v>
      </c>
      <c r="G11" s="96">
        <v>995</v>
      </c>
      <c r="J11" s="294"/>
      <c r="K11" s="295"/>
    </row>
    <row r="12" spans="1:11" ht="20.100000000000001" customHeight="1">
      <c r="A12" s="5"/>
      <c r="B12" s="4">
        <v>7000</v>
      </c>
      <c r="C12" s="96">
        <v>905</v>
      </c>
      <c r="D12" s="96">
        <v>935</v>
      </c>
      <c r="E12" s="96">
        <v>970</v>
      </c>
      <c r="F12" s="96">
        <v>1000</v>
      </c>
      <c r="G12" s="96">
        <v>1035</v>
      </c>
      <c r="J12" s="294"/>
      <c r="K12" s="295"/>
    </row>
    <row r="13" spans="1:11" ht="20.100000000000001" customHeight="1">
      <c r="A13" s="5"/>
      <c r="B13" s="4">
        <v>8000</v>
      </c>
      <c r="C13" s="96">
        <v>940</v>
      </c>
      <c r="D13" s="96">
        <v>970</v>
      </c>
      <c r="E13" s="96">
        <v>1005</v>
      </c>
      <c r="F13" s="96">
        <v>1040</v>
      </c>
      <c r="G13" s="96">
        <v>1075</v>
      </c>
      <c r="J13" s="294"/>
      <c r="K13" s="295"/>
    </row>
    <row r="14" spans="1:11" ht="20.100000000000001" customHeight="1" thickBot="1"/>
    <row r="15" spans="1:11" ht="20.100000000000001" customHeight="1">
      <c r="A15" s="117" t="s">
        <v>142</v>
      </c>
      <c r="B15" s="118"/>
    </row>
    <row r="16" spans="1:11" ht="20.100000000000001" customHeight="1">
      <c r="A16" s="119" t="s">
        <v>141</v>
      </c>
      <c r="B16" s="120" t="s">
        <v>143</v>
      </c>
    </row>
    <row r="17" spans="1:20" ht="20.100000000000001" customHeight="1">
      <c r="A17" s="119">
        <f>'206'!$B$7</f>
        <v>5256.0000000000009</v>
      </c>
      <c r="B17" s="120">
        <f>'206'!$C$7</f>
        <v>7</v>
      </c>
    </row>
    <row r="18" spans="1:20" ht="20.100000000000001" customHeight="1">
      <c r="A18" s="121"/>
      <c r="B18" s="122"/>
    </row>
    <row r="19" spans="1:20" ht="20.100000000000001" customHeight="1" thickBot="1">
      <c r="A19" s="123" t="s">
        <v>165</v>
      </c>
      <c r="B19" s="124">
        <f ca="1">B51</f>
        <v>867.6</v>
      </c>
    </row>
    <row r="20" spans="1:20" ht="20.100000000000001" customHeight="1">
      <c r="A20" s="2"/>
      <c r="B20" s="2"/>
    </row>
    <row r="21" spans="1:20" ht="20.100000000000001" customHeight="1" thickBot="1">
      <c r="A21" s="2"/>
      <c r="B21" s="2"/>
    </row>
    <row r="22" spans="1:20" ht="20.100000000000001" customHeight="1">
      <c r="A22" s="2" t="s">
        <v>145</v>
      </c>
      <c r="B22" s="2">
        <f>VLOOKUP(A17,B5:B13,1)</f>
        <v>5000</v>
      </c>
      <c r="H22" s="291" t="s">
        <v>169</v>
      </c>
      <c r="I22" s="292"/>
      <c r="J22" s="292"/>
      <c r="K22" s="292"/>
      <c r="L22" s="293"/>
      <c r="M22" s="80"/>
      <c r="N22" s="285" t="s">
        <v>167</v>
      </c>
      <c r="O22" s="279" t="s">
        <v>170</v>
      </c>
      <c r="P22" s="279"/>
      <c r="Q22" s="279"/>
      <c r="R22" s="279"/>
      <c r="S22" s="279"/>
      <c r="T22" s="48"/>
    </row>
    <row r="23" spans="1:20" ht="20.100000000000001" customHeight="1">
      <c r="A23" s="2" t="s">
        <v>146</v>
      </c>
      <c r="B23" cm="1">
        <f t="array" ref="B23">IF(A17&gt;=MAX(B5:B13),MAX(B5:B13),INDEX(B5:B13,MATCH(A17,B5:B13,1)+1))</f>
        <v>6000</v>
      </c>
      <c r="H23" s="15">
        <v>3800</v>
      </c>
      <c r="I23" s="14">
        <v>3600</v>
      </c>
      <c r="J23" s="14">
        <v>3300</v>
      </c>
      <c r="K23" s="47">
        <v>3000</v>
      </c>
      <c r="L23" s="55" t="s">
        <v>116</v>
      </c>
      <c r="M23" s="80"/>
      <c r="N23" s="285"/>
      <c r="O23" s="279"/>
      <c r="P23" s="279"/>
      <c r="Q23" s="279"/>
      <c r="R23" s="279"/>
      <c r="S23" s="279"/>
      <c r="T23" s="48"/>
    </row>
    <row r="24" spans="1:20" ht="20.100000000000001" customHeight="1">
      <c r="A24" s="2"/>
      <c r="B24" s="2"/>
      <c r="H24" s="50">
        <f ca="1">(I24*((H23/I23)^2))</f>
        <v>966.67777777777781</v>
      </c>
      <c r="I24" s="19">
        <f ca="1">B19</f>
        <v>867.6</v>
      </c>
      <c r="J24" s="49">
        <f ca="1">(I24*((J23/I23)^2))</f>
        <v>729.02499999999998</v>
      </c>
      <c r="K24" s="54">
        <f ca="1">(I24*((K23/I23)^2))</f>
        <v>602.50000000000011</v>
      </c>
      <c r="L24" s="55"/>
      <c r="M24" s="80"/>
      <c r="N24" s="285"/>
      <c r="O24" s="279"/>
      <c r="P24" s="279"/>
      <c r="Q24" s="279"/>
      <c r="R24" s="279"/>
      <c r="S24" s="279"/>
      <c r="T24" s="48"/>
    </row>
    <row r="25" spans="1:20" ht="29.45" thickBot="1">
      <c r="A25" s="2" t="s">
        <v>147</v>
      </c>
      <c r="B25" s="2">
        <f>ROW(B5)</f>
        <v>5</v>
      </c>
      <c r="H25" s="89">
        <f ca="1">ROUNDUP(H24,0)</f>
        <v>967</v>
      </c>
      <c r="I25" s="90">
        <f ca="1">I24</f>
        <v>867.6</v>
      </c>
      <c r="J25" s="91">
        <f ca="1">ROUNDUP(J24,0)</f>
        <v>730</v>
      </c>
      <c r="K25" s="92">
        <f ca="1">ROUNDUP(K24,0)</f>
        <v>603</v>
      </c>
      <c r="L25" s="93" t="s">
        <v>20</v>
      </c>
      <c r="M25" s="80"/>
      <c r="N25" s="285"/>
      <c r="O25" s="279"/>
      <c r="P25" s="279"/>
      <c r="Q25" s="279"/>
      <c r="R25" s="279"/>
      <c r="S25" s="279"/>
      <c r="T25" s="48"/>
    </row>
    <row r="26" spans="1:20" ht="28.9">
      <c r="A26" s="2" t="s">
        <v>148</v>
      </c>
      <c r="B26" s="2">
        <f>COLUMN(C4)</f>
        <v>3</v>
      </c>
      <c r="O26" s="48"/>
      <c r="P26" s="48"/>
      <c r="Q26" s="48"/>
      <c r="R26" s="48"/>
      <c r="S26" s="48"/>
    </row>
    <row r="27" spans="1:20" ht="20.100000000000001" customHeight="1" thickBot="1">
      <c r="A27" s="2"/>
      <c r="B27" s="2"/>
      <c r="O27" s="48"/>
      <c r="P27" s="48"/>
      <c r="Q27" s="48"/>
      <c r="R27" s="48"/>
      <c r="S27" s="48"/>
    </row>
    <row r="28" spans="1:20" ht="20.100000000000001" customHeight="1">
      <c r="A28" s="2" t="s">
        <v>149</v>
      </c>
      <c r="B28" s="2">
        <f>(((MATCH(B22,B5:B13,0))+B25)-1)</f>
        <v>10</v>
      </c>
      <c r="H28" s="20">
        <v>3800</v>
      </c>
      <c r="I28" s="21">
        <v>3600</v>
      </c>
      <c r="J28" s="21">
        <v>3300</v>
      </c>
      <c r="K28" s="21">
        <v>3000</v>
      </c>
      <c r="L28" s="22" t="s">
        <v>116</v>
      </c>
      <c r="O28" s="48"/>
      <c r="P28" s="108" t="s">
        <v>167</v>
      </c>
      <c r="Q28" s="105" t="s">
        <v>171</v>
      </c>
      <c r="R28" s="105"/>
      <c r="S28" s="105"/>
      <c r="T28" s="105"/>
    </row>
    <row r="29" spans="1:20" ht="20.100000000000001" customHeight="1">
      <c r="A29" s="2" t="s">
        <v>150</v>
      </c>
      <c r="B29" s="2">
        <f>B28+1</f>
        <v>11</v>
      </c>
      <c r="H29" s="15">
        <f>K43</f>
        <v>66.336048958850881</v>
      </c>
      <c r="I29" s="94">
        <v>64</v>
      </c>
      <c r="J29" s="14">
        <f>I43</f>
        <v>60.370660936227821</v>
      </c>
      <c r="K29" s="14">
        <f>J43</f>
        <v>55.429662282923147</v>
      </c>
      <c r="L29" s="23" t="s">
        <v>172</v>
      </c>
      <c r="O29" s="48"/>
      <c r="P29" s="108"/>
      <c r="Q29" s="105"/>
      <c r="R29" s="105"/>
      <c r="S29" s="105"/>
      <c r="T29" s="105"/>
    </row>
    <row r="30" spans="1:20" ht="20.100000000000001" customHeight="1">
      <c r="A30" s="2"/>
      <c r="B30" s="2"/>
      <c r="H30" s="86">
        <f>ROUNDUP(H29,0)</f>
        <v>67</v>
      </c>
      <c r="I30" s="87">
        <f t="shared" ref="I30:K30" si="0">ROUNDUP(I29,0)</f>
        <v>64</v>
      </c>
      <c r="J30" s="87">
        <f t="shared" si="0"/>
        <v>61</v>
      </c>
      <c r="K30" s="87">
        <f t="shared" si="0"/>
        <v>56</v>
      </c>
      <c r="L30" s="88" t="s">
        <v>173</v>
      </c>
      <c r="O30" s="48"/>
      <c r="P30" s="108"/>
      <c r="Q30" s="105"/>
      <c r="R30" s="105"/>
      <c r="S30" s="105"/>
      <c r="T30" s="105"/>
    </row>
    <row r="31" spans="1:20" ht="20.100000000000001" customHeight="1" thickBot="1">
      <c r="A31" s="2" t="s">
        <v>151</v>
      </c>
      <c r="B31" s="2">
        <f>HLOOKUP(B17,C4:G4,1)</f>
        <v>0</v>
      </c>
      <c r="H31" s="16">
        <f>(I31*(SQRT(H28/I28)))</f>
        <v>70.068839167080711</v>
      </c>
      <c r="I31" s="53">
        <f>(((K35-J35)/10*(I29-J34))+J35)</f>
        <v>68.2</v>
      </c>
      <c r="J31" s="17">
        <f>(I31*(SQRT(J28/I28)))</f>
        <v>65.296528748982254</v>
      </c>
      <c r="K31" s="17">
        <f>(I31*(SQRT(K28/I28)))</f>
        <v>62.257797369753888</v>
      </c>
      <c r="L31" s="24" t="s">
        <v>174</v>
      </c>
      <c r="P31" s="108"/>
      <c r="Q31" s="105"/>
      <c r="R31" s="105"/>
      <c r="S31" s="105"/>
      <c r="T31" s="105"/>
    </row>
    <row r="32" spans="1:20" ht="20.100000000000001" customHeight="1">
      <c r="A32" s="2" t="s">
        <v>152</v>
      </c>
      <c r="B32" s="2" cm="1">
        <f t="array" ref="B32">IF(B17&gt;=MAX(C4:G4),MAX(C4:G4),INDEX(C4:G4,MATCH(B17,C4:G4,1)+1))</f>
        <v>10</v>
      </c>
    </row>
    <row r="33" spans="1:24" ht="20.100000000000001" customHeight="1">
      <c r="A33" s="2"/>
      <c r="B33" s="2"/>
      <c r="H33" s="286" t="s">
        <v>175</v>
      </c>
      <c r="I33" s="287"/>
      <c r="J33" s="287"/>
      <c r="K33" s="287"/>
      <c r="L33" s="287"/>
      <c r="M33" s="287"/>
      <c r="N33" s="288"/>
      <c r="P33" s="107" t="s">
        <v>167</v>
      </c>
      <c r="Q33" s="106" t="s">
        <v>176</v>
      </c>
      <c r="R33" s="106"/>
      <c r="S33" s="106"/>
      <c r="T33" s="106"/>
      <c r="U33" s="106"/>
      <c r="V33" s="106"/>
      <c r="W33" s="106"/>
      <c r="X33" s="106"/>
    </row>
    <row r="34" spans="1:24" ht="20.100000000000001" customHeight="1">
      <c r="A34" s="2" t="s">
        <v>153</v>
      </c>
      <c r="B34" s="2">
        <f>(((MATCH(B31,C4:G4,0))+B26)-1)</f>
        <v>3</v>
      </c>
      <c r="H34" s="81" t="s">
        <v>172</v>
      </c>
      <c r="I34">
        <v>50</v>
      </c>
      <c r="J34">
        <v>60</v>
      </c>
      <c r="K34">
        <v>70</v>
      </c>
      <c r="L34">
        <v>80</v>
      </c>
      <c r="M34">
        <v>90</v>
      </c>
      <c r="N34" s="82">
        <v>100</v>
      </c>
      <c r="P34" s="107"/>
      <c r="Q34" s="106"/>
      <c r="R34" s="106"/>
      <c r="S34" s="106"/>
      <c r="T34" s="106"/>
      <c r="U34" s="106"/>
      <c r="V34" s="106"/>
      <c r="W34" s="106"/>
      <c r="X34" s="106"/>
    </row>
    <row r="35" spans="1:24" ht="20.100000000000001" customHeight="1">
      <c r="A35" s="2" t="s">
        <v>154</v>
      </c>
      <c r="B35" s="2">
        <f>((((MATCH(B31,C4:G4,0))+B26)-1)+1)</f>
        <v>4</v>
      </c>
      <c r="H35" s="83" t="s">
        <v>174</v>
      </c>
      <c r="I35" s="84">
        <v>59</v>
      </c>
      <c r="J35" s="84">
        <v>65</v>
      </c>
      <c r="K35" s="84">
        <v>73</v>
      </c>
      <c r="L35" s="84">
        <v>82</v>
      </c>
      <c r="M35" s="84">
        <v>91</v>
      </c>
      <c r="N35" s="85">
        <v>102</v>
      </c>
      <c r="P35" s="107"/>
      <c r="Q35" s="106"/>
      <c r="R35" s="106"/>
      <c r="S35" s="106"/>
      <c r="T35" s="106"/>
      <c r="U35" s="106"/>
      <c r="V35" s="106"/>
      <c r="W35" s="106"/>
      <c r="X35" s="106"/>
    </row>
    <row r="36" spans="1:24" ht="20.100000000000001" customHeight="1">
      <c r="A36" s="2"/>
      <c r="B36" s="2"/>
    </row>
    <row r="37" spans="1:24" ht="20.100000000000001" customHeight="1">
      <c r="A37" s="2" t="s">
        <v>155</v>
      </c>
      <c r="B37" s="125" cm="1">
        <f t="array" aca="1" ref="B37" ca="1">INDIRECT(ADDRESS(B28,B34))</f>
        <v>835</v>
      </c>
      <c r="H37" s="51" t="s">
        <v>116</v>
      </c>
      <c r="I37" s="14">
        <v>3300</v>
      </c>
      <c r="J37" s="14">
        <v>3000</v>
      </c>
      <c r="K37" s="14">
        <v>3800</v>
      </c>
      <c r="P37" s="107" t="s">
        <v>167</v>
      </c>
      <c r="Q37" s="108" t="s">
        <v>177</v>
      </c>
      <c r="R37" s="108"/>
      <c r="S37" s="108"/>
      <c r="T37" s="108"/>
    </row>
    <row r="38" spans="1:24" ht="20.100000000000001" customHeight="1">
      <c r="A38" s="2" t="s">
        <v>156</v>
      </c>
      <c r="B38" s="125" cm="1">
        <f t="array" aca="1" ref="B38" ca="1">INDIRECT(ADDRESS(B29,B34))</f>
        <v>870</v>
      </c>
      <c r="H38" s="14" t="s">
        <v>178</v>
      </c>
      <c r="I38" s="14">
        <f>K35-J35</f>
        <v>8</v>
      </c>
      <c r="J38" s="14">
        <f>J35-I35</f>
        <v>6</v>
      </c>
      <c r="K38" s="14">
        <f>K35-J35</f>
        <v>8</v>
      </c>
      <c r="P38" s="107"/>
      <c r="Q38" s="108"/>
      <c r="R38" s="108"/>
      <c r="S38" s="108"/>
      <c r="T38" s="108"/>
    </row>
    <row r="39" spans="1:24" ht="20.100000000000001" customHeight="1">
      <c r="A39" s="2" t="s">
        <v>157</v>
      </c>
      <c r="B39" s="125" cm="1">
        <f t="array" aca="1" ref="B39" ca="1">INDIRECT(ADDRESS(B28,B35))</f>
        <v>870</v>
      </c>
      <c r="H39" s="14" t="s">
        <v>179</v>
      </c>
      <c r="I39" s="14">
        <f>K34-J34</f>
        <v>10</v>
      </c>
      <c r="J39" s="14">
        <f>J34-I34</f>
        <v>10</v>
      </c>
      <c r="K39" s="14">
        <f>K34-J34</f>
        <v>10</v>
      </c>
      <c r="P39" s="107"/>
      <c r="Q39" s="108"/>
      <c r="R39" s="108"/>
      <c r="S39" s="108"/>
      <c r="T39" s="108"/>
    </row>
    <row r="40" spans="1:24" ht="20.100000000000001" customHeight="1">
      <c r="A40" s="2" t="s">
        <v>158</v>
      </c>
      <c r="B40" s="125" cm="1">
        <f t="array" aca="1" ref="B40" ca="1">INDIRECT(ADDRESS(B29,B35))</f>
        <v>900</v>
      </c>
      <c r="H40" s="14" t="s">
        <v>180</v>
      </c>
      <c r="I40" s="14">
        <f>I39/I38</f>
        <v>1.25</v>
      </c>
      <c r="J40" s="14">
        <f>J39/J38</f>
        <v>1.6666666666666667</v>
      </c>
      <c r="K40" s="14">
        <f>I39/I38</f>
        <v>1.25</v>
      </c>
      <c r="P40" s="107"/>
      <c r="Q40" s="108"/>
      <c r="R40" s="108"/>
      <c r="S40" s="108"/>
      <c r="T40" s="108"/>
    </row>
    <row r="41" spans="1:24" ht="20.100000000000001" customHeight="1">
      <c r="A41" s="2"/>
      <c r="B41" s="2"/>
      <c r="H41" s="14" t="s">
        <v>181</v>
      </c>
      <c r="I41" s="14">
        <f>J31-J35</f>
        <v>0.29652874898225434</v>
      </c>
      <c r="J41" s="14">
        <f>K31-I35</f>
        <v>3.257797369753888</v>
      </c>
      <c r="K41" s="14">
        <f>H31-J35</f>
        <v>5.0688391670807107</v>
      </c>
      <c r="P41" s="107"/>
      <c r="Q41" s="108"/>
      <c r="R41" s="108"/>
      <c r="S41" s="108"/>
      <c r="T41" s="108"/>
    </row>
    <row r="42" spans="1:24" ht="20.100000000000001" customHeight="1">
      <c r="A42" s="2" t="s">
        <v>159</v>
      </c>
      <c r="B42" s="126">
        <f>(A17-B22)</f>
        <v>256.00000000000091</v>
      </c>
      <c r="H42" s="14" t="s">
        <v>182</v>
      </c>
      <c r="I42" s="14">
        <f>I40*I41</f>
        <v>0.37066093622781793</v>
      </c>
      <c r="J42" s="14">
        <f>J41*J40</f>
        <v>5.4296622829231467</v>
      </c>
      <c r="K42" s="14">
        <f>K40*K41</f>
        <v>6.3360489588508884</v>
      </c>
      <c r="P42" s="107"/>
      <c r="Q42" s="108"/>
      <c r="R42" s="108"/>
      <c r="S42" s="108"/>
      <c r="T42" s="108"/>
    </row>
    <row r="43" spans="1:24" ht="20.100000000000001" customHeight="1">
      <c r="A43" s="2"/>
      <c r="B43" s="2"/>
      <c r="H43" s="52" t="s">
        <v>172</v>
      </c>
      <c r="I43" s="52">
        <f>J34+I42</f>
        <v>60.370660936227821</v>
      </c>
      <c r="J43" s="52">
        <f>I34+J42</f>
        <v>55.429662282923147</v>
      </c>
      <c r="K43" s="52">
        <f>J34+K42</f>
        <v>66.336048958850881</v>
      </c>
      <c r="P43" s="107"/>
      <c r="Q43" s="108"/>
      <c r="R43" s="108"/>
      <c r="S43" s="108"/>
      <c r="T43" s="108"/>
    </row>
    <row r="44" spans="1:24" ht="20.100000000000001" customHeight="1">
      <c r="A44" s="2" t="s">
        <v>160</v>
      </c>
      <c r="B44" s="125">
        <f ca="1">((((B38-B37)/1000)*B42)+B37)</f>
        <v>843.96</v>
      </c>
    </row>
    <row r="45" spans="1:24" ht="20.100000000000001" customHeight="1">
      <c r="A45" s="2" t="s">
        <v>161</v>
      </c>
      <c r="B45" s="125">
        <f ca="1">((((B40-B39)/1000)*B42)+B39)</f>
        <v>877.68000000000006</v>
      </c>
    </row>
    <row r="46" spans="1:24" ht="20.100000000000001" customHeight="1">
      <c r="A46" s="2"/>
      <c r="B46" s="2"/>
    </row>
    <row r="47" spans="1:24" ht="20.100000000000001" customHeight="1">
      <c r="A47" s="2" t="s">
        <v>162</v>
      </c>
      <c r="B47" s="2">
        <f>B17-B31</f>
        <v>7</v>
      </c>
    </row>
    <row r="48" spans="1:24" ht="20.100000000000001" customHeight="1">
      <c r="A48" s="2"/>
      <c r="B48" s="2"/>
    </row>
    <row r="49" spans="1:2" ht="20.100000000000001" customHeight="1">
      <c r="A49" s="2" t="s">
        <v>163</v>
      </c>
      <c r="B49" s="127">
        <f ca="1">((((B45-B44)/10)*B47)+B44)</f>
        <v>867.56400000000008</v>
      </c>
    </row>
    <row r="50" spans="1:2" ht="20.100000000000001" customHeight="1">
      <c r="A50" s="2"/>
      <c r="B50" s="2"/>
    </row>
    <row r="51" spans="1:2" ht="20.100000000000001" customHeight="1">
      <c r="A51" s="128" t="s">
        <v>164</v>
      </c>
      <c r="B51" s="129">
        <f ca="1">ROUNDUP(B49,1)</f>
        <v>867.6</v>
      </c>
    </row>
    <row r="52" spans="1:2" ht="20.100000000000001" customHeight="1">
      <c r="A52" s="2"/>
      <c r="B52" s="2"/>
    </row>
    <row r="53" spans="1:2" ht="20.100000000000001" customHeight="1">
      <c r="A53" s="2"/>
      <c r="B53" s="2"/>
    </row>
    <row r="54" spans="1:2" ht="20.100000000000001" customHeight="1">
      <c r="A54" s="2"/>
      <c r="B54" s="2"/>
    </row>
    <row r="55" spans="1:2" ht="20.100000000000001" customHeight="1">
      <c r="A55" s="2"/>
      <c r="B55" s="2"/>
    </row>
    <row r="56" spans="1:2" ht="20.100000000000001" customHeight="1">
      <c r="A56" s="2"/>
      <c r="B56" s="2"/>
    </row>
    <row r="57" spans="1:2" ht="20.100000000000001" customHeight="1">
      <c r="A57" s="2"/>
      <c r="B57" s="2"/>
    </row>
    <row r="58" spans="1:2" ht="20.100000000000001" customHeight="1">
      <c r="A58" s="2"/>
      <c r="B58" s="2"/>
    </row>
    <row r="59" spans="1:2" ht="20.100000000000001" customHeight="1">
      <c r="A59" s="2"/>
      <c r="B59" s="2"/>
    </row>
    <row r="60" spans="1:2" ht="20.100000000000001" customHeight="1">
      <c r="A60" s="2"/>
      <c r="B60" s="2"/>
    </row>
    <row r="61" spans="1:2" ht="20.100000000000001" customHeight="1">
      <c r="A61" s="2"/>
      <c r="B61" s="2"/>
    </row>
    <row r="62" spans="1:2" ht="20.100000000000001" customHeight="1">
      <c r="A62" s="2"/>
      <c r="B62" s="2"/>
    </row>
    <row r="63" spans="1:2" ht="20.100000000000001" customHeight="1">
      <c r="A63" s="2"/>
      <c r="B63" s="2"/>
    </row>
    <row r="64" spans="1:2" ht="20.100000000000001" customHeight="1">
      <c r="A64" s="2"/>
      <c r="B64" s="2"/>
    </row>
    <row r="65" spans="1:2" ht="20.100000000000001" customHeight="1">
      <c r="A65" s="2"/>
      <c r="B65" s="2"/>
    </row>
    <row r="66" spans="1:2" ht="20.100000000000001" customHeight="1">
      <c r="A66" s="2"/>
      <c r="B66" s="2"/>
    </row>
    <row r="67" spans="1:2" ht="20.100000000000001" customHeight="1">
      <c r="A67" s="2"/>
      <c r="B67" s="2"/>
    </row>
    <row r="68" spans="1:2" ht="20.100000000000001" customHeight="1">
      <c r="A68" s="2"/>
      <c r="B68" s="2"/>
    </row>
    <row r="69" spans="1:2" ht="20.100000000000001" customHeight="1">
      <c r="A69" s="2"/>
      <c r="B69" s="2"/>
    </row>
    <row r="70" spans="1:2" ht="20.100000000000001" customHeight="1">
      <c r="A70" s="2"/>
      <c r="B70" s="2"/>
    </row>
    <row r="71" spans="1:2" ht="20.100000000000001" customHeight="1">
      <c r="A71" s="2"/>
      <c r="B71" s="2"/>
    </row>
    <row r="72" spans="1:2" ht="20.100000000000001" customHeight="1">
      <c r="A72" s="2"/>
      <c r="B72" s="2"/>
    </row>
    <row r="73" spans="1:2" ht="20.100000000000001" customHeight="1">
      <c r="A73" s="2"/>
      <c r="B73" s="2"/>
    </row>
    <row r="74" spans="1:2" ht="20.100000000000001" customHeight="1">
      <c r="A74" s="2"/>
      <c r="B74" s="2"/>
    </row>
    <row r="75" spans="1:2" ht="20.100000000000001" customHeight="1">
      <c r="A75" s="2"/>
      <c r="B75" s="2"/>
    </row>
    <row r="76" spans="1:2" ht="20.100000000000001" customHeight="1">
      <c r="A76" s="2"/>
      <c r="B76" s="2"/>
    </row>
    <row r="77" spans="1:2" ht="20.100000000000001" customHeight="1">
      <c r="A77" s="2"/>
      <c r="B77" s="2"/>
    </row>
    <row r="78" spans="1:2" ht="20.100000000000001" customHeight="1">
      <c r="A78" s="2"/>
      <c r="B78" s="2"/>
    </row>
    <row r="79" spans="1:2" ht="20.100000000000001" customHeight="1">
      <c r="A79" s="2"/>
      <c r="B79" s="2"/>
    </row>
    <row r="80" spans="1:2" ht="20.100000000000001" customHeight="1">
      <c r="A80" s="2"/>
      <c r="B80" s="2"/>
    </row>
    <row r="81" spans="1:2" ht="20.100000000000001" customHeight="1">
      <c r="A81" s="2"/>
      <c r="B81" s="2"/>
    </row>
    <row r="82" spans="1:2" ht="20.100000000000001" customHeight="1">
      <c r="A82" s="2"/>
      <c r="B82" s="2"/>
    </row>
    <row r="83" spans="1:2" ht="20.100000000000001" customHeight="1">
      <c r="A83" s="2"/>
      <c r="B83" s="2"/>
    </row>
    <row r="84" spans="1:2" ht="20.100000000000001" customHeight="1">
      <c r="A84" s="2"/>
      <c r="B84" s="2"/>
    </row>
    <row r="85" spans="1:2" ht="20.100000000000001" customHeight="1">
      <c r="A85" s="2"/>
      <c r="B85" s="2"/>
    </row>
    <row r="86" spans="1:2" ht="20.100000000000001" customHeight="1">
      <c r="A86" s="2"/>
      <c r="B86" s="2"/>
    </row>
    <row r="87" spans="1:2" ht="20.100000000000001" customHeight="1">
      <c r="A87" s="2"/>
      <c r="B87" s="2"/>
    </row>
    <row r="88" spans="1:2" ht="20.100000000000001" customHeight="1">
      <c r="A88" s="2"/>
      <c r="B88" s="2"/>
    </row>
    <row r="89" spans="1:2" ht="20.100000000000001" customHeight="1">
      <c r="A89" s="2"/>
      <c r="B89" s="2"/>
    </row>
    <row r="90" spans="1:2" ht="20.100000000000001" customHeight="1">
      <c r="A90" s="2"/>
      <c r="B90" s="2"/>
    </row>
    <row r="91" spans="1:2" ht="20.100000000000001" customHeight="1">
      <c r="A91" s="2"/>
      <c r="B91" s="2"/>
    </row>
    <row r="92" spans="1:2" ht="20.100000000000001" customHeight="1">
      <c r="A92" s="2"/>
      <c r="B92" s="2"/>
    </row>
    <row r="93" spans="1:2" ht="20.100000000000001" customHeight="1">
      <c r="A93" s="2"/>
      <c r="B93" s="2"/>
    </row>
    <row r="94" spans="1:2" ht="20.100000000000001" customHeight="1">
      <c r="A94" s="2"/>
      <c r="B94" s="2"/>
    </row>
    <row r="95" spans="1:2" ht="20.100000000000001" customHeight="1">
      <c r="A95" s="2"/>
      <c r="B95" s="2"/>
    </row>
    <row r="96" spans="1:2" ht="20.100000000000001" customHeight="1">
      <c r="A96" s="2"/>
      <c r="B96" s="2"/>
    </row>
    <row r="97" spans="1:2" ht="20.100000000000001" customHeight="1">
      <c r="A97" s="2"/>
      <c r="B97" s="2"/>
    </row>
    <row r="98" spans="1:2" ht="20.100000000000001" customHeight="1">
      <c r="A98" s="2"/>
      <c r="B98" s="2"/>
    </row>
    <row r="99" spans="1:2" ht="20.100000000000001" customHeight="1">
      <c r="A99" s="2"/>
      <c r="B99" s="2"/>
    </row>
    <row r="100" spans="1:2" ht="20.100000000000001" customHeight="1">
      <c r="A100" s="2"/>
      <c r="B100" s="2"/>
    </row>
    <row r="101" spans="1:2" ht="20.100000000000001" customHeight="1">
      <c r="A101" s="2"/>
      <c r="B101" s="2"/>
    </row>
  </sheetData>
  <protectedRanges>
    <protectedRange sqref="S3 C5:G13 A1" name="WT and POH Values"/>
  </protectedRanges>
  <customSheetViews>
    <customSheetView guid="{A2505430-CCF1-4597-83D2-DC6893397C3D}">
      <selection activeCell="B19" sqref="B19"/>
      <pageMargins left="0" right="0" top="0" bottom="0" header="0" footer="0"/>
      <pageSetup orientation="portrait" horizontalDpi="4294967295" verticalDpi="4294967295" r:id="rId1"/>
    </customSheetView>
  </customSheetViews>
  <mergeCells count="7">
    <mergeCell ref="O22:S25"/>
    <mergeCell ref="N22:N25"/>
    <mergeCell ref="H33:N33"/>
    <mergeCell ref="A1:G2"/>
    <mergeCell ref="H22:L22"/>
    <mergeCell ref="J5:J13"/>
    <mergeCell ref="K5:K13"/>
  </mergeCells>
  <pageMargins left="0.7" right="0.7" top="0.75" bottom="0.75" header="0.3" footer="0.3"/>
  <pageSetup orientation="portrait" horizontalDpi="4294967295" verticalDpi="4294967295" r:id="rId2"/>
  <ignoredErrors>
    <ignoredError sqref="B40 B44:B45 B49" evalErro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A37A-E284-4572-97D8-6FDE9C5E1B84}">
  <dimension ref="A1:O28"/>
  <sheetViews>
    <sheetView workbookViewId="0">
      <selection activeCell="J9" sqref="J9"/>
    </sheetView>
  </sheetViews>
  <sheetFormatPr defaultRowHeight="14.45"/>
  <cols>
    <col min="1" max="1" width="15.85546875" bestFit="1" customWidth="1"/>
    <col min="2" max="2" width="19.5703125" customWidth="1"/>
    <col min="3" max="3" width="10.42578125" bestFit="1" customWidth="1"/>
    <col min="4" max="4" width="7" bestFit="1" customWidth="1"/>
    <col min="5" max="5" width="7.5703125" bestFit="1" customWidth="1"/>
    <col min="6" max="6" width="4.85546875" bestFit="1" customWidth="1"/>
    <col min="7" max="7" width="5" bestFit="1" customWidth="1"/>
    <col min="8" max="8" width="3.5703125" customWidth="1"/>
    <col min="11" max="11" width="9.140625" bestFit="1" customWidth="1"/>
    <col min="12" max="12" width="13.42578125" bestFit="1" customWidth="1"/>
    <col min="13" max="13" width="8.5703125" bestFit="1" customWidth="1"/>
    <col min="20" max="20" width="13.5703125" bestFit="1" customWidth="1"/>
  </cols>
  <sheetData>
    <row r="1" spans="1:15">
      <c r="A1" s="283" t="s">
        <v>183</v>
      </c>
      <c r="B1" s="284"/>
    </row>
    <row r="2" spans="1:15">
      <c r="A2" s="206" t="s">
        <v>8</v>
      </c>
      <c r="B2" s="148">
        <v>2537</v>
      </c>
    </row>
    <row r="3" spans="1:15">
      <c r="A3" s="207" t="s">
        <v>184</v>
      </c>
      <c r="B3" s="148">
        <v>29.55</v>
      </c>
    </row>
    <row r="4" spans="1:15">
      <c r="A4" s="207" t="s">
        <v>11</v>
      </c>
      <c r="B4" s="148">
        <v>4</v>
      </c>
    </row>
    <row r="5" spans="1:15">
      <c r="A5" s="205" t="s">
        <v>185</v>
      </c>
      <c r="B5" s="148">
        <v>0</v>
      </c>
    </row>
    <row r="6" spans="1:15">
      <c r="A6" s="208" t="s">
        <v>141</v>
      </c>
      <c r="B6" s="210">
        <f>(((29.92-B3)*1000)+B2)</f>
        <v>2907.0000000000009</v>
      </c>
    </row>
    <row r="7" spans="1:15" ht="15" thickBot="1">
      <c r="A7" s="209" t="s">
        <v>186</v>
      </c>
      <c r="B7" s="211">
        <f>B18</f>
        <v>2332.0463010065428</v>
      </c>
    </row>
    <row r="8" spans="1:15" ht="15" thickBot="1"/>
    <row r="9" spans="1:15">
      <c r="A9" s="296" t="s">
        <v>187</v>
      </c>
      <c r="B9" s="297"/>
      <c r="C9" s="297"/>
      <c r="D9" s="297"/>
      <c r="E9" s="297"/>
      <c r="F9" s="298"/>
      <c r="O9">
        <v>75</v>
      </c>
    </row>
    <row r="10" spans="1:15">
      <c r="A10" s="198" t="s">
        <v>188</v>
      </c>
      <c r="B10" s="199">
        <f>'DA Calculation'!B3*33.8639</f>
        <v>1000.6782450000001</v>
      </c>
      <c r="C10" s="196"/>
      <c r="D10" s="196"/>
      <c r="E10" s="196"/>
      <c r="F10" s="200"/>
      <c r="O10">
        <v>109</v>
      </c>
    </row>
    <row r="11" spans="1:15">
      <c r="A11" s="196" t="s">
        <v>189</v>
      </c>
      <c r="B11" s="213">
        <f>B2*0.3048</f>
        <v>773.27760000000001</v>
      </c>
      <c r="C11" s="196"/>
      <c r="D11" s="196"/>
      <c r="E11" s="196"/>
      <c r="F11" s="200"/>
    </row>
    <row r="12" spans="1:15">
      <c r="A12" s="198" t="s">
        <v>190</v>
      </c>
      <c r="B12" s="196">
        <f>B3*((288-(0.0065*B11))/288)^5.2561</f>
        <v>26.938110577810765</v>
      </c>
      <c r="C12" s="196"/>
      <c r="D12" s="196"/>
      <c r="E12" s="196"/>
      <c r="F12" s="200"/>
    </row>
    <row r="13" spans="1:15">
      <c r="A13" s="198" t="s">
        <v>191</v>
      </c>
      <c r="B13" s="196">
        <f>B10*1.057694081632</f>
        <v>1058.4114573543966</v>
      </c>
      <c r="C13" s="196"/>
      <c r="D13" s="196"/>
      <c r="E13" s="196"/>
      <c r="F13" s="200"/>
    </row>
    <row r="14" spans="1:15">
      <c r="A14" s="198" t="s">
        <v>192</v>
      </c>
      <c r="B14" s="201">
        <f>B4+273.16</f>
        <v>277.16000000000003</v>
      </c>
      <c r="C14" s="196"/>
      <c r="D14" s="196"/>
      <c r="E14" s="196"/>
      <c r="F14" s="200"/>
    </row>
    <row r="15" spans="1:15">
      <c r="A15" s="198" t="s">
        <v>193</v>
      </c>
      <c r="B15" s="196">
        <f>(6.11*(10^D15))</f>
        <v>6.11</v>
      </c>
      <c r="C15" s="196"/>
      <c r="D15" s="196">
        <f>E15/F15</f>
        <v>0</v>
      </c>
      <c r="E15" s="196">
        <f>7.5*B5</f>
        <v>0</v>
      </c>
      <c r="F15" s="200">
        <f>237.7+B5</f>
        <v>237.7</v>
      </c>
    </row>
    <row r="16" spans="1:15">
      <c r="A16" s="198" t="s">
        <v>194</v>
      </c>
      <c r="B16" s="196">
        <f>(B14/D16)</f>
        <v>277.76611879073977</v>
      </c>
      <c r="C16" s="196"/>
      <c r="D16" s="196">
        <f>1-(E16*F16)</f>
        <v>0.99781788076465738</v>
      </c>
      <c r="E16" s="196">
        <f>B15/B13</f>
        <v>5.7728022099010016E-3</v>
      </c>
      <c r="F16" s="200">
        <f>1-0.622</f>
        <v>0.378</v>
      </c>
    </row>
    <row r="17" spans="1:6" ht="15" thickBot="1">
      <c r="A17" s="198" t="s">
        <v>195</v>
      </c>
      <c r="B17" s="196">
        <f>(((D17*E17)+32)+459.69)</f>
        <v>499.98101382333152</v>
      </c>
      <c r="C17" s="196"/>
      <c r="D17" s="196">
        <f>9/5</f>
        <v>1.8</v>
      </c>
      <c r="E17" s="196">
        <f>B16-273.16</f>
        <v>4.6061187907397425</v>
      </c>
      <c r="F17" s="200"/>
    </row>
    <row r="18" spans="1:6" ht="15" thickBot="1">
      <c r="A18" s="197" t="s">
        <v>186</v>
      </c>
      <c r="B18" s="204">
        <f>145366*(1-D18)</f>
        <v>2332.0463010065428</v>
      </c>
      <c r="C18" s="202"/>
      <c r="D18" s="202">
        <f>E18^0.235</f>
        <v>0.98395741575742235</v>
      </c>
      <c r="E18" s="202">
        <f>F18/B17</f>
        <v>0.93349485473876093</v>
      </c>
      <c r="F18" s="203">
        <f>17.326*B12</f>
        <v>466.7297038711493</v>
      </c>
    </row>
    <row r="20" spans="1:6">
      <c r="A20" s="196"/>
      <c r="B20" s="212"/>
    </row>
    <row r="21" spans="1:6">
      <c r="A21" s="196"/>
    </row>
    <row r="28" spans="1:6" ht="14.45" customHeight="1"/>
  </sheetData>
  <customSheetViews>
    <customSheetView guid="{A2505430-CCF1-4597-83D2-DC6893397C3D}">
      <selection activeCell="K25" sqref="K25"/>
      <pageMargins left="0" right="0" top="0" bottom="0" header="0" footer="0"/>
      <pageSetup orientation="portrait" horizontalDpi="4294967295" verticalDpi="4294967295" r:id="rId1"/>
    </customSheetView>
  </customSheetViews>
  <mergeCells count="2">
    <mergeCell ref="A1:B1"/>
    <mergeCell ref="A9:F9"/>
  </mergeCells>
  <pageMargins left="0.7" right="0.7" top="0.75" bottom="0.75" header="0.3" footer="0.3"/>
  <pageSetup orientation="portrait" horizontalDpi="4294967295" verticalDpi="4294967295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2FC0-92C7-4941-A866-EFC69E4C438B}">
  <sheetPr>
    <tabColor theme="5" tint="0.79998168889431442"/>
  </sheetPr>
  <dimension ref="A1:G37"/>
  <sheetViews>
    <sheetView topLeftCell="A2" zoomScaleNormal="100" workbookViewId="0">
      <selection activeCell="B25" sqref="B25:D37"/>
    </sheetView>
  </sheetViews>
  <sheetFormatPr defaultRowHeight="14.45"/>
  <cols>
    <col min="1" max="1" width="3.28515625" customWidth="1"/>
    <col min="2" max="2" width="9.28515625" customWidth="1"/>
    <col min="3" max="3" width="9.28515625" bestFit="1" customWidth="1"/>
    <col min="4" max="4" width="10.7109375" bestFit="1" customWidth="1"/>
    <col min="5" max="5" width="1.42578125" customWidth="1"/>
    <col min="6" max="6" width="9.85546875" bestFit="1" customWidth="1"/>
    <col min="7" max="7" width="11.140625" bestFit="1" customWidth="1"/>
    <col min="8" max="8" width="2.7109375" customWidth="1"/>
  </cols>
  <sheetData>
    <row r="1" spans="1:7" ht="15" thickBot="1">
      <c r="A1" s="18"/>
    </row>
    <row r="2" spans="1:7" ht="42.75" customHeight="1" thickBot="1">
      <c r="A2" s="9"/>
      <c r="B2" s="263" t="s">
        <v>196</v>
      </c>
      <c r="C2" s="264"/>
      <c r="D2" s="264"/>
      <c r="E2" s="264"/>
      <c r="F2" s="264"/>
      <c r="G2" s="265"/>
    </row>
    <row r="3" spans="1:7" ht="15.6">
      <c r="B3" s="306" t="s">
        <v>1</v>
      </c>
      <c r="C3" s="303"/>
      <c r="D3" s="303"/>
      <c r="E3" s="57"/>
      <c r="F3" s="303" t="s">
        <v>2</v>
      </c>
      <c r="G3" s="304"/>
    </row>
    <row r="4" spans="1:7">
      <c r="B4" s="274" t="s">
        <v>197</v>
      </c>
      <c r="C4" s="275"/>
      <c r="D4" s="275"/>
      <c r="E4" s="58"/>
      <c r="F4" s="275" t="s">
        <v>4</v>
      </c>
      <c r="G4" s="276"/>
    </row>
    <row r="5" spans="1:7" ht="3.75" customHeight="1">
      <c r="B5" s="255"/>
      <c r="C5" s="256"/>
      <c r="D5" s="257"/>
      <c r="E5" s="57"/>
      <c r="F5" s="246"/>
      <c r="G5" s="247"/>
    </row>
    <row r="6" spans="1:7" ht="15.6">
      <c r="B6" s="31" t="s">
        <v>5</v>
      </c>
      <c r="C6" s="27" t="s">
        <v>6</v>
      </c>
      <c r="D6" s="27" t="s">
        <v>7</v>
      </c>
      <c r="E6" s="57"/>
      <c r="F6" s="27" t="s">
        <v>8</v>
      </c>
      <c r="G6" s="32" t="s">
        <v>9</v>
      </c>
    </row>
    <row r="7" spans="1:7" ht="18.75" customHeight="1">
      <c r="B7" s="194">
        <f>F14</f>
        <v>2175.0000000000027</v>
      </c>
      <c r="C7" s="195">
        <f>F10</f>
        <v>19</v>
      </c>
      <c r="D7" s="29">
        <v>2345</v>
      </c>
      <c r="E7" s="57"/>
      <c r="F7" s="29">
        <v>2385</v>
      </c>
      <c r="G7" s="33">
        <v>30.13</v>
      </c>
    </row>
    <row r="8" spans="1:7" ht="4.5" customHeight="1">
      <c r="B8" s="255"/>
      <c r="C8" s="256"/>
      <c r="D8" s="257"/>
      <c r="E8" s="57"/>
      <c r="F8" s="246"/>
      <c r="G8" s="247"/>
    </row>
    <row r="9" spans="1:7" ht="15.6">
      <c r="B9" s="268" t="s">
        <v>10</v>
      </c>
      <c r="C9" s="269"/>
      <c r="D9" s="269"/>
      <c r="E9" s="57"/>
      <c r="F9" s="27" t="s">
        <v>11</v>
      </c>
      <c r="G9" s="32" t="s">
        <v>185</v>
      </c>
    </row>
    <row r="10" spans="1:7" ht="15.6">
      <c r="B10" s="250" t="s">
        <v>12</v>
      </c>
      <c r="C10" s="251"/>
      <c r="D10" s="43">
        <v>1.5</v>
      </c>
      <c r="E10" s="57"/>
      <c r="F10" s="29">
        <v>19</v>
      </c>
      <c r="G10" s="95">
        <v>-1</v>
      </c>
    </row>
    <row r="11" spans="1:7" ht="21" customHeight="1">
      <c r="B11" s="248">
        <f ca="1">'172 Wind Slope Margin'!B54</f>
        <v>1011</v>
      </c>
      <c r="C11" s="249"/>
      <c r="D11" s="28">
        <f ca="1">B11*D10</f>
        <v>1516.5</v>
      </c>
      <c r="E11" s="252"/>
      <c r="F11" s="253"/>
      <c r="G11" s="254"/>
    </row>
    <row r="12" spans="1:7" ht="5.25" customHeight="1">
      <c r="B12" s="255"/>
      <c r="C12" s="256"/>
      <c r="D12" s="257"/>
      <c r="E12" s="252"/>
      <c r="F12" s="253"/>
      <c r="G12" s="254"/>
    </row>
    <row r="13" spans="1:7" ht="15.6">
      <c r="B13" s="250" t="s">
        <v>13</v>
      </c>
      <c r="C13" s="251"/>
      <c r="D13" s="43">
        <v>1.5</v>
      </c>
      <c r="E13" s="57"/>
      <c r="F13" s="269" t="s">
        <v>14</v>
      </c>
      <c r="G13" s="270"/>
    </row>
    <row r="14" spans="1:7" ht="21.75" customHeight="1">
      <c r="B14" s="248">
        <f ca="1">'172 Wind Slope Margin'!B55</f>
        <v>1810</v>
      </c>
      <c r="C14" s="249"/>
      <c r="D14" s="28">
        <f ca="1">B14*D13</f>
        <v>2715</v>
      </c>
      <c r="E14" s="57"/>
      <c r="F14" s="249">
        <f>(((29.92-G7)*1000)+F7)</f>
        <v>2175.0000000000027</v>
      </c>
      <c r="G14" s="305"/>
    </row>
    <row r="15" spans="1:7" ht="6.75" customHeight="1">
      <c r="B15" s="255"/>
      <c r="C15" s="256"/>
      <c r="D15" s="257"/>
      <c r="E15" s="252"/>
      <c r="F15" s="253"/>
      <c r="G15" s="254"/>
    </row>
    <row r="16" spans="1:7" ht="15.6">
      <c r="B16" s="268" t="s">
        <v>15</v>
      </c>
      <c r="C16" s="269"/>
      <c r="D16" s="269"/>
      <c r="E16" s="57"/>
      <c r="F16" s="269" t="s">
        <v>198</v>
      </c>
      <c r="G16" s="270"/>
    </row>
    <row r="17" spans="2:7" ht="18">
      <c r="B17" s="39" t="s">
        <v>17</v>
      </c>
      <c r="C17" s="40" t="s">
        <v>18</v>
      </c>
      <c r="D17" s="56" t="s">
        <v>19</v>
      </c>
      <c r="E17" s="57"/>
      <c r="F17" s="271">
        <v>3269.1731381852715</v>
      </c>
      <c r="G17" s="272"/>
    </row>
    <row r="18" spans="2:7" ht="19.5" customHeight="1">
      <c r="B18" s="41" t="s">
        <v>199</v>
      </c>
      <c r="C18" s="42" t="s">
        <v>23</v>
      </c>
      <c r="D18" s="30">
        <f ca="1">D20-5</f>
        <v>50</v>
      </c>
      <c r="E18" s="59"/>
      <c r="F18" s="59"/>
      <c r="G18" s="44"/>
    </row>
    <row r="19" spans="2:7" ht="19.5" customHeight="1">
      <c r="B19" s="41" t="s">
        <v>200</v>
      </c>
      <c r="C19" s="42" t="s">
        <v>25</v>
      </c>
      <c r="D19" s="30">
        <f ca="1">D18-10</f>
        <v>40</v>
      </c>
      <c r="E19" s="59"/>
      <c r="F19" s="258" t="s">
        <v>16</v>
      </c>
      <c r="G19" s="259"/>
    </row>
    <row r="20" spans="2:7" ht="20.25" customHeight="1">
      <c r="B20" s="41" t="s">
        <v>200</v>
      </c>
      <c r="C20" s="42" t="s">
        <v>27</v>
      </c>
      <c r="D20" s="30">
        <f ca="1">'172 WT Interpolation'!D11</f>
        <v>55</v>
      </c>
      <c r="E20" s="59"/>
      <c r="F20" s="38" t="s">
        <v>20</v>
      </c>
      <c r="G20" s="60" t="s">
        <v>26</v>
      </c>
    </row>
    <row r="21" spans="2:7" ht="4.5" customHeight="1">
      <c r="B21" s="243"/>
      <c r="C21" s="244"/>
      <c r="D21" s="245"/>
      <c r="E21" s="45"/>
      <c r="F21" s="299">
        <f ca="1">'172 Wind Slope Margin'!C57</f>
        <v>537</v>
      </c>
      <c r="G21" s="301">
        <f ca="1">'172 WT Interpolation'!H11</f>
        <v>61</v>
      </c>
    </row>
    <row r="22" spans="2:7" ht="18">
      <c r="B22" s="37" t="s">
        <v>28</v>
      </c>
      <c r="C22" s="38" t="s">
        <v>29</v>
      </c>
      <c r="D22" s="38" t="s">
        <v>30</v>
      </c>
      <c r="E22" s="45"/>
      <c r="F22" s="300"/>
      <c r="G22" s="302"/>
    </row>
    <row r="23" spans="2:7" ht="21" customHeight="1" thickBot="1">
      <c r="B23" s="34">
        <f ca="1">'172 WT Interpolation'!E11</f>
        <v>73</v>
      </c>
      <c r="C23" s="35">
        <f ca="1">'172 WT Interpolation'!F11</f>
        <v>57</v>
      </c>
      <c r="D23" s="36">
        <f ca="1">'172 WT Interpolation'!G11</f>
        <v>66</v>
      </c>
      <c r="E23" s="46"/>
      <c r="F23" s="157">
        <f ca="1">'172 Wind Slope Margin'!C58</f>
        <v>1207</v>
      </c>
      <c r="G23" s="137" t="s">
        <v>13</v>
      </c>
    </row>
    <row r="24" spans="2:7" ht="15" customHeight="1" thickBot="1">
      <c r="B24" s="18"/>
      <c r="C24" s="138"/>
      <c r="D24" s="62"/>
      <c r="G24" s="136"/>
    </row>
    <row r="25" spans="2:7" ht="15" customHeight="1">
      <c r="B25" s="260" t="s">
        <v>32</v>
      </c>
      <c r="C25" s="261"/>
      <c r="D25" s="262"/>
      <c r="G25" s="136"/>
    </row>
    <row r="26" spans="2:7" ht="38.25" customHeight="1">
      <c r="B26" s="144"/>
      <c r="C26" s="149" t="s">
        <v>34</v>
      </c>
      <c r="D26" s="145" t="s">
        <v>35</v>
      </c>
    </row>
    <row r="27" spans="2:7">
      <c r="B27" s="144" t="s">
        <v>37</v>
      </c>
      <c r="C27" s="140">
        <v>0</v>
      </c>
      <c r="D27" s="146">
        <v>0</v>
      </c>
    </row>
    <row r="28" spans="2:7">
      <c r="B28" s="147"/>
      <c r="C28" s="107"/>
      <c r="D28" s="148"/>
    </row>
    <row r="29" spans="2:7">
      <c r="B29" s="240" t="s">
        <v>38</v>
      </c>
      <c r="C29" s="241"/>
      <c r="D29" s="242"/>
    </row>
    <row r="30" spans="2:7">
      <c r="B30" s="144"/>
      <c r="C30" s="139" t="s">
        <v>40</v>
      </c>
      <c r="D30" s="145" t="s">
        <v>41</v>
      </c>
    </row>
    <row r="31" spans="2:7" ht="16.5" customHeight="1" thickBot="1">
      <c r="B31" s="141" t="s">
        <v>36</v>
      </c>
      <c r="C31" s="142">
        <v>0</v>
      </c>
      <c r="D31" s="143">
        <v>0</v>
      </c>
    </row>
    <row r="32" spans="2:7" ht="18.600000000000001" thickBot="1">
      <c r="B32" s="26"/>
      <c r="C32" s="26"/>
      <c r="D32" s="26"/>
    </row>
    <row r="33" spans="2:4">
      <c r="B33" s="260" t="s">
        <v>33</v>
      </c>
      <c r="C33" s="261"/>
      <c r="D33" s="262"/>
    </row>
    <row r="34" spans="2:4">
      <c r="B34" s="144" t="s">
        <v>36</v>
      </c>
      <c r="C34" s="140">
        <v>0</v>
      </c>
      <c r="D34" s="146"/>
    </row>
    <row r="35" spans="2:4" ht="15" thickBot="1"/>
    <row r="36" spans="2:4">
      <c r="B36" s="260" t="s">
        <v>39</v>
      </c>
      <c r="C36" s="261"/>
      <c r="D36" s="262"/>
    </row>
    <row r="37" spans="2:4">
      <c r="B37" s="144" t="s">
        <v>36</v>
      </c>
      <c r="C37" s="140">
        <v>0</v>
      </c>
      <c r="D37" s="146"/>
    </row>
  </sheetData>
  <protectedRanges>
    <protectedRange sqref="B7:D7 F7:G7 F10:G10" name="Enter Values here"/>
  </protectedRanges>
  <mergeCells count="31">
    <mergeCell ref="B2:G2"/>
    <mergeCell ref="F3:G3"/>
    <mergeCell ref="B9:D9"/>
    <mergeCell ref="B16:D16"/>
    <mergeCell ref="F13:G13"/>
    <mergeCell ref="F14:G14"/>
    <mergeCell ref="F16:G16"/>
    <mergeCell ref="F5:G5"/>
    <mergeCell ref="F8:G8"/>
    <mergeCell ref="B11:C11"/>
    <mergeCell ref="B13:C13"/>
    <mergeCell ref="B14:C14"/>
    <mergeCell ref="B15:D15"/>
    <mergeCell ref="B10:C10"/>
    <mergeCell ref="B3:D3"/>
    <mergeCell ref="B36:D36"/>
    <mergeCell ref="B4:D4"/>
    <mergeCell ref="B25:D25"/>
    <mergeCell ref="B29:D29"/>
    <mergeCell ref="F4:G4"/>
    <mergeCell ref="B8:D8"/>
    <mergeCell ref="B5:D5"/>
    <mergeCell ref="E11:G12"/>
    <mergeCell ref="E15:G15"/>
    <mergeCell ref="F17:G17"/>
    <mergeCell ref="B12:D12"/>
    <mergeCell ref="F19:G19"/>
    <mergeCell ref="F21:F22"/>
    <mergeCell ref="G21:G22"/>
    <mergeCell ref="B21:D21"/>
    <mergeCell ref="B33:D3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5661-107C-46B9-8C2A-9E3A8485719A}">
  <sheetPr>
    <tabColor theme="5" tint="0.79998168889431442"/>
  </sheetPr>
  <dimension ref="A1:C58"/>
  <sheetViews>
    <sheetView workbookViewId="0">
      <selection activeCell="H50" sqref="H50"/>
    </sheetView>
  </sheetViews>
  <sheetFormatPr defaultRowHeight="14.45"/>
  <cols>
    <col min="1" max="1" width="30.28515625" bestFit="1" customWidth="1"/>
  </cols>
  <sheetData>
    <row r="1" spans="1:3" ht="18">
      <c r="A1" s="277" t="s">
        <v>201</v>
      </c>
      <c r="B1" s="277"/>
      <c r="C1" s="277"/>
    </row>
    <row r="3" spans="1:3">
      <c r="B3" t="s">
        <v>84</v>
      </c>
      <c r="C3" t="s">
        <v>85</v>
      </c>
    </row>
    <row r="4" spans="1:3" ht="43.15">
      <c r="A4" s="164" t="s">
        <v>202</v>
      </c>
      <c r="B4" s="165"/>
      <c r="C4" s="165"/>
    </row>
    <row r="5" spans="1:3">
      <c r="A5" s="165" t="s">
        <v>12</v>
      </c>
      <c r="B5" s="166">
        <f ca="1">'172 WT Interpolation'!B11</f>
        <v>1011</v>
      </c>
      <c r="C5" s="166">
        <f ca="1">'172 WT Interpolation'!I11</f>
        <v>537</v>
      </c>
    </row>
    <row r="6" spans="1:3">
      <c r="A6" s="165" t="s">
        <v>13</v>
      </c>
      <c r="B6" s="166">
        <f ca="1">'172 WT Interpolation'!C11</f>
        <v>1810</v>
      </c>
      <c r="C6" s="166">
        <f ca="1">'172 WT Interpolation'!J11</f>
        <v>1207</v>
      </c>
    </row>
    <row r="7" spans="1:3" ht="15" thickBot="1"/>
    <row r="8" spans="1:3">
      <c r="A8" s="283" t="s">
        <v>87</v>
      </c>
      <c r="B8" s="307"/>
      <c r="C8" s="284"/>
    </row>
    <row r="9" spans="1:3">
      <c r="A9" s="9" t="s">
        <v>88</v>
      </c>
      <c r="B9">
        <f>'172'!D31</f>
        <v>0</v>
      </c>
      <c r="C9" s="112">
        <f>'172'!D31</f>
        <v>0</v>
      </c>
    </row>
    <row r="10" spans="1:3">
      <c r="A10" s="9" t="s">
        <v>89</v>
      </c>
      <c r="B10">
        <f>B9*2.5</f>
        <v>0</v>
      </c>
      <c r="C10" s="112">
        <f>C9*5</f>
        <v>0</v>
      </c>
    </row>
    <row r="11" spans="1:3">
      <c r="A11" s="9" t="s">
        <v>90</v>
      </c>
      <c r="B11" s="167">
        <f ca="1">B5*((B10*0.01)+1)</f>
        <v>1011</v>
      </c>
      <c r="C11" s="112"/>
    </row>
    <row r="12" spans="1:3">
      <c r="A12" s="9" t="s">
        <v>91</v>
      </c>
      <c r="C12" s="168">
        <f ca="1">C5*((C10*0.01)+1)</f>
        <v>537</v>
      </c>
    </row>
    <row r="13" spans="1:3">
      <c r="A13" s="9"/>
      <c r="C13" s="112"/>
    </row>
    <row r="14" spans="1:3">
      <c r="A14" s="9" t="s">
        <v>92</v>
      </c>
      <c r="B14">
        <f>'172'!C31</f>
        <v>0</v>
      </c>
      <c r="C14" s="112">
        <f>'172'!C31</f>
        <v>0</v>
      </c>
    </row>
    <row r="15" spans="1:3">
      <c r="A15" s="9" t="s">
        <v>89</v>
      </c>
      <c r="B15">
        <f>B14*5</f>
        <v>0</v>
      </c>
      <c r="C15" s="112">
        <f>C14*2.5</f>
        <v>0</v>
      </c>
    </row>
    <row r="16" spans="1:3">
      <c r="A16" s="9" t="s">
        <v>93</v>
      </c>
      <c r="B16" s="167">
        <f ca="1">B5*((B15*0.01)+1)</f>
        <v>1011</v>
      </c>
      <c r="C16" s="169"/>
    </row>
    <row r="17" spans="1:3">
      <c r="A17" s="9" t="s">
        <v>94</v>
      </c>
      <c r="C17" s="168">
        <f ca="1">C5*((100-C15)/100)</f>
        <v>537</v>
      </c>
    </row>
    <row r="18" spans="1:3">
      <c r="A18" s="9"/>
      <c r="C18" s="112"/>
    </row>
    <row r="19" spans="1:3">
      <c r="A19" s="170" t="s">
        <v>95</v>
      </c>
      <c r="B19" s="171">
        <f ca="1">IF(B11=B16,B5,IF(B11&lt;&gt;B5,B11,B16))</f>
        <v>1011</v>
      </c>
      <c r="C19" s="172"/>
    </row>
    <row r="20" spans="1:3" ht="15" thickBot="1">
      <c r="A20" s="173" t="s">
        <v>96</v>
      </c>
      <c r="B20" s="174"/>
      <c r="C20" s="175">
        <f ca="1">IF(C12=C17,C5,IF(C12&lt;&gt;C5,C12,C17))</f>
        <v>537</v>
      </c>
    </row>
    <row r="22" spans="1:3">
      <c r="A22" t="s">
        <v>203</v>
      </c>
      <c r="B22" s="162">
        <f ca="1">B6-B19</f>
        <v>799</v>
      </c>
    </row>
    <row r="23" spans="1:3">
      <c r="A23" t="s">
        <v>204</v>
      </c>
      <c r="B23" s="162"/>
      <c r="C23" s="162">
        <f ca="1">C6-C5</f>
        <v>670</v>
      </c>
    </row>
    <row r="24" spans="1:3" ht="15" thickBot="1"/>
    <row r="25" spans="1:3">
      <c r="A25" s="283" t="s">
        <v>97</v>
      </c>
      <c r="B25" s="307"/>
      <c r="C25" s="284"/>
    </row>
    <row r="26" spans="1:3">
      <c r="A26" s="9" t="s">
        <v>98</v>
      </c>
      <c r="B26">
        <f>'172'!C27</f>
        <v>0</v>
      </c>
      <c r="C26" s="112">
        <f>'172'!C27</f>
        <v>0</v>
      </c>
    </row>
    <row r="27" spans="1:3">
      <c r="A27" s="9" t="s">
        <v>99</v>
      </c>
      <c r="B27" s="167">
        <f ca="1">B19*((100-B26)/100)</f>
        <v>1011</v>
      </c>
      <c r="C27" s="112"/>
    </row>
    <row r="28" spans="1:3">
      <c r="A28" s="9" t="s">
        <v>205</v>
      </c>
      <c r="B28" s="167">
        <f ca="1">B22*((100-B26)/100)</f>
        <v>799</v>
      </c>
      <c r="C28" s="112"/>
    </row>
    <row r="29" spans="1:3">
      <c r="A29" s="9" t="s">
        <v>101</v>
      </c>
      <c r="C29" s="168">
        <f ca="1">C5*((100-C26)/100)</f>
        <v>537</v>
      </c>
    </row>
    <row r="30" spans="1:3">
      <c r="A30" s="9" t="s">
        <v>102</v>
      </c>
      <c r="C30" s="168">
        <f ca="1">C23*((C26*0.01)+1)</f>
        <v>670</v>
      </c>
    </row>
    <row r="31" spans="1:3">
      <c r="A31" s="9"/>
      <c r="C31" s="112"/>
    </row>
    <row r="32" spans="1:3">
      <c r="A32" s="9" t="s">
        <v>103</v>
      </c>
      <c r="B32">
        <f>'172'!D27</f>
        <v>0</v>
      </c>
      <c r="C32" s="112">
        <f>'172'!D27</f>
        <v>0</v>
      </c>
    </row>
    <row r="33" spans="1:3">
      <c r="A33" s="9" t="s">
        <v>104</v>
      </c>
      <c r="B33">
        <f>B32*4</f>
        <v>0</v>
      </c>
      <c r="C33" s="112">
        <f>C32*4</f>
        <v>0</v>
      </c>
    </row>
    <row r="34" spans="1:3">
      <c r="A34" s="9" t="s">
        <v>206</v>
      </c>
      <c r="B34" s="167">
        <f ca="1">B19*((B33*0.01)+1)</f>
        <v>1011</v>
      </c>
      <c r="C34" s="176"/>
    </row>
    <row r="35" spans="1:3">
      <c r="A35" s="9" t="s">
        <v>205</v>
      </c>
      <c r="B35" s="167">
        <f ca="1">B22*((B33*0.01)+1)</f>
        <v>799</v>
      </c>
      <c r="C35" s="176"/>
    </row>
    <row r="36" spans="1:3">
      <c r="A36" s="9" t="s">
        <v>207</v>
      </c>
      <c r="C36" s="168">
        <f ca="1">C5*((C33*0.01)+1)</f>
        <v>537</v>
      </c>
    </row>
    <row r="37" spans="1:3">
      <c r="A37" s="9" t="s">
        <v>102</v>
      </c>
      <c r="C37" s="168">
        <f ca="1">C23*((C33*0.01)+1)</f>
        <v>670</v>
      </c>
    </row>
    <row r="38" spans="1:3">
      <c r="A38" s="9"/>
      <c r="C38" s="169"/>
    </row>
    <row r="39" spans="1:3">
      <c r="A39" s="9" t="s">
        <v>208</v>
      </c>
      <c r="B39" s="162">
        <f ca="1">IF(B28=B35,B22,IF(B28&lt;&gt;B22,B28,B35))</f>
        <v>799</v>
      </c>
      <c r="C39" s="169"/>
    </row>
    <row r="40" spans="1:3">
      <c r="A40" s="9" t="s">
        <v>209</v>
      </c>
      <c r="C40" s="193">
        <f ca="1">IF(C30=C37,C23,IF(C30&lt;&gt;C23,C30,C37))</f>
        <v>670</v>
      </c>
    </row>
    <row r="41" spans="1:3">
      <c r="A41" s="9"/>
      <c r="C41" s="169"/>
    </row>
    <row r="42" spans="1:3">
      <c r="A42" s="170" t="s">
        <v>95</v>
      </c>
      <c r="B42" s="171">
        <f ca="1">IF(B27=B34,B19,IF(B27&lt;&gt;B19,B27,B34))</f>
        <v>1011</v>
      </c>
      <c r="C42" s="112"/>
    </row>
    <row r="43" spans="1:3" ht="15" thickBot="1">
      <c r="A43" s="173" t="s">
        <v>96</v>
      </c>
      <c r="B43" s="177"/>
      <c r="C43" s="175">
        <f ca="1">IF(C29=C36,C20,IF(C29&lt;&gt;C20,C29,C36))</f>
        <v>537</v>
      </c>
    </row>
    <row r="44" spans="1:3" ht="15" thickBot="1"/>
    <row r="45" spans="1:3">
      <c r="A45" s="283" t="s">
        <v>210</v>
      </c>
      <c r="B45" s="307"/>
      <c r="C45" s="284"/>
    </row>
    <row r="46" spans="1:3">
      <c r="A46" s="9" t="s">
        <v>33</v>
      </c>
      <c r="B46">
        <f>'172'!C34</f>
        <v>0</v>
      </c>
      <c r="C46" s="112"/>
    </row>
    <row r="47" spans="1:3">
      <c r="A47" s="178" t="s">
        <v>211</v>
      </c>
      <c r="B47" s="167">
        <f ca="1">B42*((B46*0.01)+1)</f>
        <v>1011</v>
      </c>
      <c r="C47" s="112"/>
    </row>
    <row r="48" spans="1:3">
      <c r="A48" s="179" t="s">
        <v>39</v>
      </c>
      <c r="B48" s="1"/>
      <c r="C48" s="112">
        <f>'172'!C37</f>
        <v>0</v>
      </c>
    </row>
    <row r="49" spans="1:3" ht="15" thickBot="1">
      <c r="A49" s="180" t="s">
        <v>212</v>
      </c>
      <c r="B49" s="181"/>
      <c r="C49" s="192">
        <f ca="1">C43*((C48*0.01)+1)</f>
        <v>537</v>
      </c>
    </row>
    <row r="51" spans="1:3">
      <c r="A51" s="153" t="s">
        <v>107</v>
      </c>
      <c r="B51" s="163">
        <f ca="1">B47+B39</f>
        <v>1810</v>
      </c>
    </row>
    <row r="52" spans="1:3">
      <c r="A52" s="153" t="s">
        <v>108</v>
      </c>
      <c r="B52" s="154"/>
      <c r="C52" s="163">
        <f ca="1">IF(C30=C37,C6,IF(C30&lt;&gt;C6,C30,C37))</f>
        <v>1207</v>
      </c>
    </row>
    <row r="53" spans="1:3" ht="15" thickBot="1"/>
    <row r="54" spans="1:3">
      <c r="A54" s="182" t="s">
        <v>213</v>
      </c>
      <c r="B54" s="183">
        <f ca="1">B47</f>
        <v>1011</v>
      </c>
      <c r="C54" s="184"/>
    </row>
    <row r="55" spans="1:3">
      <c r="A55" s="185" t="s">
        <v>214</v>
      </c>
      <c r="B55" s="186">
        <f ca="1">B51</f>
        <v>1810</v>
      </c>
      <c r="C55" s="187"/>
    </row>
    <row r="56" spans="1:3">
      <c r="A56" s="185"/>
      <c r="B56" s="96"/>
      <c r="C56" s="187"/>
    </row>
    <row r="57" spans="1:3">
      <c r="A57" s="185" t="s">
        <v>111</v>
      </c>
      <c r="B57" s="96"/>
      <c r="C57" s="188">
        <f ca="1">C43</f>
        <v>537</v>
      </c>
    </row>
    <row r="58" spans="1:3" ht="15" thickBot="1">
      <c r="A58" s="189" t="s">
        <v>215</v>
      </c>
      <c r="B58" s="190"/>
      <c r="C58" s="191">
        <f ca="1">C52</f>
        <v>1207</v>
      </c>
    </row>
  </sheetData>
  <mergeCells count="4">
    <mergeCell ref="A1:C1"/>
    <mergeCell ref="A8:C8"/>
    <mergeCell ref="A25:C25"/>
    <mergeCell ref="A45:C4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8F1C-F32C-48F0-B1C3-4FBF48EAB138}">
  <sheetPr>
    <tabColor theme="5" tint="0.79998168889431442"/>
  </sheetPr>
  <dimension ref="A1:R32"/>
  <sheetViews>
    <sheetView zoomScale="85" zoomScaleNormal="85" workbookViewId="0">
      <selection activeCell="D6" sqref="D6"/>
    </sheetView>
  </sheetViews>
  <sheetFormatPr defaultRowHeight="20.100000000000001" customHeight="1"/>
  <cols>
    <col min="1" max="1" width="25.28515625" bestFit="1" customWidth="1"/>
    <col min="2" max="11" width="12.5703125" customWidth="1"/>
  </cols>
  <sheetData>
    <row r="1" spans="1:18" ht="20.100000000000001" customHeight="1">
      <c r="A1" s="281" t="s">
        <v>115</v>
      </c>
      <c r="B1" s="281"/>
      <c r="C1" s="281"/>
      <c r="D1" s="281"/>
      <c r="E1" s="281"/>
      <c r="F1" s="281"/>
      <c r="G1" s="281"/>
      <c r="H1" s="281"/>
      <c r="I1" s="281"/>
      <c r="J1" s="133"/>
    </row>
    <row r="2" spans="1:18" ht="20.100000000000001" customHeight="1">
      <c r="A2" s="281"/>
      <c r="B2" s="281"/>
      <c r="C2" s="281"/>
      <c r="D2" s="281"/>
      <c r="E2" s="281"/>
      <c r="F2" s="281"/>
      <c r="G2" s="281"/>
      <c r="H2" s="281"/>
      <c r="I2" s="281"/>
      <c r="J2" s="133"/>
    </row>
    <row r="3" spans="1:18" ht="20.100000000000001" customHeight="1" thickBot="1"/>
    <row r="4" spans="1:18" ht="20.100000000000001" customHeight="1">
      <c r="A4" s="74" t="s">
        <v>116</v>
      </c>
      <c r="B4" s="75" t="s">
        <v>117</v>
      </c>
      <c r="C4" s="75" t="s">
        <v>118</v>
      </c>
      <c r="D4" s="75" t="s">
        <v>119</v>
      </c>
      <c r="E4" s="75" t="s">
        <v>120</v>
      </c>
      <c r="F4" s="75" t="s">
        <v>121</v>
      </c>
      <c r="G4" s="76" t="s">
        <v>122</v>
      </c>
      <c r="H4" s="76" t="s">
        <v>123</v>
      </c>
      <c r="I4" s="77" t="s">
        <v>124</v>
      </c>
      <c r="J4" s="7" t="s">
        <v>216</v>
      </c>
      <c r="K4" s="280" t="s">
        <v>125</v>
      </c>
      <c r="L4" s="279" t="s">
        <v>126</v>
      </c>
      <c r="M4" s="279"/>
      <c r="N4" s="279"/>
      <c r="O4" s="279"/>
      <c r="P4" s="279"/>
      <c r="Q4" s="279"/>
      <c r="R4" s="279"/>
    </row>
    <row r="5" spans="1:18" ht="20.100000000000001" customHeight="1">
      <c r="A5" s="78">
        <v>1900</v>
      </c>
      <c r="B5" s="102">
        <f ca="1">'172 Gnd Roll All WT'!AC19</f>
        <v>652.20000000000005</v>
      </c>
      <c r="C5" s="102">
        <f ca="1">'172 50ft All WT'!AC19</f>
        <v>1180.8</v>
      </c>
      <c r="D5" s="64">
        <v>50</v>
      </c>
      <c r="E5" s="64">
        <v>67</v>
      </c>
      <c r="F5" s="64">
        <v>54</v>
      </c>
      <c r="G5" s="65">
        <v>59</v>
      </c>
      <c r="H5" s="66">
        <v>55</v>
      </c>
      <c r="I5" s="103">
        <f ca="1">'172 Landing Performance'!D58</f>
        <v>352</v>
      </c>
      <c r="J5" s="135">
        <f ca="1">'172 Landing Performance'!T23</f>
        <v>791</v>
      </c>
      <c r="K5" s="280"/>
      <c r="L5" s="279"/>
      <c r="M5" s="279"/>
      <c r="N5" s="279"/>
      <c r="O5" s="279"/>
      <c r="P5" s="279"/>
      <c r="Q5" s="279"/>
      <c r="R5" s="279"/>
    </row>
    <row r="6" spans="1:18" ht="20.100000000000001" customHeight="1">
      <c r="A6" s="78">
        <v>2100</v>
      </c>
      <c r="B6" s="102">
        <f ca="1">'172 Gnd Roll All WT'!T19</f>
        <v>818.5</v>
      </c>
      <c r="C6" s="102">
        <f ca="1">'172 50ft All WT'!T19</f>
        <v>1469.8999999999999</v>
      </c>
      <c r="D6" s="64">
        <v>52</v>
      </c>
      <c r="E6" s="64">
        <v>70</v>
      </c>
      <c r="F6" s="64">
        <v>56</v>
      </c>
      <c r="G6" s="65">
        <v>62</v>
      </c>
      <c r="H6" s="66">
        <v>58</v>
      </c>
      <c r="I6" s="103">
        <f ca="1">'172 Landing Performance'!C58</f>
        <v>429</v>
      </c>
      <c r="J6" s="134">
        <f ca="1">'172 Landing Performance'!S23</f>
        <v>966</v>
      </c>
      <c r="K6" s="280"/>
      <c r="L6" s="279"/>
      <c r="M6" s="279"/>
      <c r="N6" s="279"/>
      <c r="O6" s="279"/>
      <c r="P6" s="279"/>
      <c r="Q6" s="279"/>
      <c r="R6" s="279"/>
    </row>
    <row r="7" spans="1:18" ht="20.100000000000001" customHeight="1">
      <c r="A7" s="78">
        <v>2300</v>
      </c>
      <c r="B7" s="102">
        <f ca="1">'172 Gnd Roll All WT'!K19</f>
        <v>1010.5</v>
      </c>
      <c r="C7" s="102">
        <f ca="1">'172 50ft All WT'!K19</f>
        <v>1809.3</v>
      </c>
      <c r="D7" s="64">
        <v>54</v>
      </c>
      <c r="E7" s="101">
        <v>73</v>
      </c>
      <c r="F7" s="64">
        <v>57</v>
      </c>
      <c r="G7" s="65">
        <v>65</v>
      </c>
      <c r="H7" s="66">
        <v>60</v>
      </c>
      <c r="I7" s="100">
        <f ca="1">'172 Landing Performance'!B58</f>
        <v>515</v>
      </c>
      <c r="J7" s="135">
        <f ca="1">'172 Landing Performance'!R23</f>
        <v>1159</v>
      </c>
      <c r="K7" s="280"/>
      <c r="L7" s="279"/>
      <c r="M7" s="279"/>
      <c r="N7" s="279"/>
      <c r="O7" s="279"/>
      <c r="P7" s="279"/>
      <c r="Q7" s="279"/>
      <c r="R7" s="279"/>
    </row>
    <row r="8" spans="1:18" ht="20.100000000000001" customHeight="1" thickBot="1">
      <c r="A8" s="79">
        <v>2550</v>
      </c>
      <c r="B8" s="99">
        <f ca="1">'172 Gnd Roll All WT'!B19</f>
        <v>1010.5</v>
      </c>
      <c r="C8" s="99">
        <f ca="1">'172 50ft All WT'!B19</f>
        <v>1809.3</v>
      </c>
      <c r="D8" s="70">
        <v>55</v>
      </c>
      <c r="E8" s="70">
        <v>73</v>
      </c>
      <c r="F8" s="70">
        <v>57</v>
      </c>
      <c r="G8" s="71">
        <v>68</v>
      </c>
      <c r="H8" s="98">
        <v>62</v>
      </c>
      <c r="I8" s="97">
        <f ca="1">'172 Landing Performance'!A58</f>
        <v>633</v>
      </c>
      <c r="J8" s="135">
        <f ca="1">'172 Landing Performance'!Q23</f>
        <v>1424</v>
      </c>
      <c r="K8" s="280"/>
      <c r="L8" s="279"/>
      <c r="M8" s="279"/>
      <c r="N8" s="279"/>
      <c r="O8" s="279"/>
      <c r="P8" s="279"/>
      <c r="Q8" s="279"/>
      <c r="R8" s="279"/>
    </row>
    <row r="9" spans="1:18" ht="20.100000000000001" customHeight="1" thickBot="1">
      <c r="L9" s="279"/>
      <c r="M9" s="279"/>
      <c r="N9" s="279"/>
      <c r="O9" s="279"/>
      <c r="P9" s="279"/>
      <c r="Q9" s="279"/>
      <c r="R9" s="279"/>
    </row>
    <row r="10" spans="1:18" ht="20.100000000000001" customHeight="1">
      <c r="A10" s="11" t="s">
        <v>127</v>
      </c>
      <c r="B10" s="61">
        <f>'172'!D7</f>
        <v>2345</v>
      </c>
      <c r="C10" s="62">
        <f t="shared" ref="C10:J10" si="0">B10</f>
        <v>2345</v>
      </c>
      <c r="D10" s="62">
        <f t="shared" si="0"/>
        <v>2345</v>
      </c>
      <c r="E10" s="62">
        <f t="shared" si="0"/>
        <v>2345</v>
      </c>
      <c r="F10" s="62">
        <f t="shared" si="0"/>
        <v>2345</v>
      </c>
      <c r="G10" s="62">
        <f t="shared" si="0"/>
        <v>2345</v>
      </c>
      <c r="H10" s="62">
        <f t="shared" si="0"/>
        <v>2345</v>
      </c>
      <c r="I10" s="62">
        <f t="shared" si="0"/>
        <v>2345</v>
      </c>
      <c r="J10" s="62">
        <f t="shared" si="0"/>
        <v>2345</v>
      </c>
      <c r="L10" s="279"/>
      <c r="M10" s="279"/>
      <c r="N10" s="279"/>
      <c r="O10" s="279"/>
      <c r="P10" s="279"/>
      <c r="Q10" s="279"/>
      <c r="R10" s="279"/>
    </row>
    <row r="11" spans="1:18" ht="20.100000000000001" customHeight="1" thickBot="1">
      <c r="A11" s="10" t="s">
        <v>128</v>
      </c>
      <c r="B11" s="12">
        <f t="shared" ref="B11:J11" ca="1" si="1">B32</f>
        <v>1011</v>
      </c>
      <c r="C11" s="13">
        <f t="shared" ca="1" si="1"/>
        <v>1810</v>
      </c>
      <c r="D11" s="12">
        <f t="shared" ca="1" si="1"/>
        <v>55</v>
      </c>
      <c r="E11" s="13">
        <f t="shared" ca="1" si="1"/>
        <v>73</v>
      </c>
      <c r="F11" s="12">
        <f t="shared" ca="1" si="1"/>
        <v>57</v>
      </c>
      <c r="G11" s="13">
        <f t="shared" ca="1" si="1"/>
        <v>66</v>
      </c>
      <c r="H11" s="13">
        <f t="shared" ca="1" si="1"/>
        <v>61</v>
      </c>
      <c r="I11" s="13">
        <f t="shared" ca="1" si="1"/>
        <v>537</v>
      </c>
      <c r="J11" s="13">
        <f t="shared" ca="1" si="1"/>
        <v>1207</v>
      </c>
      <c r="L11" s="279"/>
      <c r="M11" s="279"/>
      <c r="N11" s="279"/>
      <c r="O11" s="279"/>
      <c r="P11" s="279"/>
      <c r="Q11" s="279"/>
      <c r="R11" s="279"/>
    </row>
    <row r="12" spans="1:18" ht="20.100000000000001" customHeight="1">
      <c r="L12" s="279"/>
      <c r="M12" s="279"/>
      <c r="N12" s="279"/>
      <c r="O12" s="279"/>
      <c r="P12" s="279"/>
      <c r="Q12" s="279"/>
      <c r="R12" s="279"/>
    </row>
    <row r="13" spans="1:18" ht="28.9">
      <c r="A13" s="2" t="s">
        <v>129</v>
      </c>
      <c r="B13">
        <f>ROW(B5)</f>
        <v>5</v>
      </c>
      <c r="C13">
        <f>ROW(B5)</f>
        <v>5</v>
      </c>
      <c r="D13">
        <f>ROW(B5)</f>
        <v>5</v>
      </c>
      <c r="E13">
        <f>ROW(B5)</f>
        <v>5</v>
      </c>
      <c r="F13">
        <f>ROW(B5)</f>
        <v>5</v>
      </c>
      <c r="G13">
        <f>ROW(B5)</f>
        <v>5</v>
      </c>
      <c r="H13">
        <f>ROW(B5)</f>
        <v>5</v>
      </c>
      <c r="I13">
        <f>ROW(B5)</f>
        <v>5</v>
      </c>
      <c r="J13">
        <f>ROW(C5)</f>
        <v>5</v>
      </c>
      <c r="L13" s="279"/>
      <c r="M13" s="279"/>
      <c r="N13" s="279"/>
      <c r="O13" s="279"/>
      <c r="P13" s="279"/>
      <c r="Q13" s="279"/>
      <c r="R13" s="279"/>
    </row>
    <row r="14" spans="1:18" ht="14.45">
      <c r="L14" s="279"/>
      <c r="M14" s="279"/>
      <c r="N14" s="279"/>
      <c r="O14" s="279"/>
      <c r="P14" s="279"/>
      <c r="Q14" s="279"/>
      <c r="R14" s="279"/>
    </row>
    <row r="15" spans="1:18" ht="14.45">
      <c r="A15" t="s">
        <v>130</v>
      </c>
      <c r="B15">
        <f>(((MATCH(B24,A5:A8,0))+B13)-1)</f>
        <v>7</v>
      </c>
      <c r="C15">
        <f>(((MATCH(B24,A5:A8,0))+B13)-1)</f>
        <v>7</v>
      </c>
      <c r="D15">
        <f>(((MATCH(B24,A5:A8,0))+B13)-1)</f>
        <v>7</v>
      </c>
      <c r="E15">
        <f>(((MATCH(B24,A5:A8,0))+B13)-1)</f>
        <v>7</v>
      </c>
      <c r="F15">
        <f>(((MATCH(B24,A5:A8,0))+B13)-1)</f>
        <v>7</v>
      </c>
      <c r="G15">
        <f>(((MATCH(B24,A5:A8,0))+B13)-1)</f>
        <v>7</v>
      </c>
      <c r="H15">
        <f>(((MATCH(B24,A5:A8,0))+B13)-1)</f>
        <v>7</v>
      </c>
      <c r="I15">
        <f>(((MATCH(B24,A5:A8,0))+B13)-1)</f>
        <v>7</v>
      </c>
      <c r="J15">
        <f>(((MATCH(B24,A5:A8,0))+B13)-1)</f>
        <v>7</v>
      </c>
      <c r="L15" s="279"/>
      <c r="M15" s="279"/>
      <c r="N15" s="279"/>
      <c r="O15" s="279"/>
      <c r="P15" s="279"/>
      <c r="Q15" s="279"/>
      <c r="R15" s="279"/>
    </row>
    <row r="16" spans="1:18" ht="14.45">
      <c r="A16" t="s">
        <v>131</v>
      </c>
      <c r="B16">
        <f t="shared" ref="B16:I16" si="2">B15+1</f>
        <v>8</v>
      </c>
      <c r="C16">
        <f t="shared" si="2"/>
        <v>8</v>
      </c>
      <c r="D16">
        <f t="shared" si="2"/>
        <v>8</v>
      </c>
      <c r="E16">
        <f t="shared" si="2"/>
        <v>8</v>
      </c>
      <c r="F16">
        <f t="shared" si="2"/>
        <v>8</v>
      </c>
      <c r="G16">
        <f t="shared" si="2"/>
        <v>8</v>
      </c>
      <c r="H16">
        <f t="shared" si="2"/>
        <v>8</v>
      </c>
      <c r="I16">
        <f t="shared" si="2"/>
        <v>8</v>
      </c>
      <c r="J16">
        <f t="shared" ref="J16" si="3">J15+1</f>
        <v>8</v>
      </c>
    </row>
    <row r="17" spans="1:10" ht="14.45"/>
    <row r="18" spans="1:10" ht="20.100000000000001" customHeight="1">
      <c r="A18" t="s">
        <v>132</v>
      </c>
      <c r="B18">
        <f>COLUMN(B5)</f>
        <v>2</v>
      </c>
      <c r="C18">
        <f t="shared" ref="C18:I18" si="4">COLUMN(C5)</f>
        <v>3</v>
      </c>
      <c r="D18">
        <f t="shared" si="4"/>
        <v>4</v>
      </c>
      <c r="E18">
        <f t="shared" si="4"/>
        <v>5</v>
      </c>
      <c r="F18">
        <f t="shared" si="4"/>
        <v>6</v>
      </c>
      <c r="G18">
        <f t="shared" si="4"/>
        <v>7</v>
      </c>
      <c r="H18">
        <f t="shared" si="4"/>
        <v>8</v>
      </c>
      <c r="I18">
        <f t="shared" si="4"/>
        <v>9</v>
      </c>
      <c r="J18">
        <f t="shared" ref="J18" si="5">COLUMN(J5)</f>
        <v>10</v>
      </c>
    </row>
    <row r="19" spans="1:10" ht="20.100000000000001" customHeight="1">
      <c r="A19" t="s">
        <v>133</v>
      </c>
      <c r="B19">
        <f>COLUMN(A5)</f>
        <v>1</v>
      </c>
      <c r="C19">
        <f>COLUMN(A5)</f>
        <v>1</v>
      </c>
      <c r="D19">
        <f>COLUMN(A5)</f>
        <v>1</v>
      </c>
      <c r="E19">
        <f>COLUMN(A5)</f>
        <v>1</v>
      </c>
      <c r="F19">
        <f>COLUMN(A5)</f>
        <v>1</v>
      </c>
      <c r="G19">
        <f>COLUMN(A5)</f>
        <v>1</v>
      </c>
      <c r="H19">
        <f>COLUMN(A5)</f>
        <v>1</v>
      </c>
      <c r="I19">
        <f>COLUMN(A5)</f>
        <v>1</v>
      </c>
      <c r="J19">
        <f>COLUMN(A5)</f>
        <v>1</v>
      </c>
    </row>
    <row r="21" spans="1:10" ht="20.100000000000001" customHeight="1">
      <c r="A21" t="s">
        <v>134</v>
      </c>
      <c r="B21" s="1" cm="1">
        <f t="array" aca="1" ref="B21" ca="1">INDIRECT(ADDRESS(B15,B18))</f>
        <v>1010.5</v>
      </c>
      <c r="C21" s="1" cm="1">
        <f t="array" aca="1" ref="C21" ca="1">INDIRECT(ADDRESS(C15,C18))</f>
        <v>1809.3</v>
      </c>
      <c r="D21" s="1" cm="1">
        <f t="array" aca="1" ref="D21" ca="1">INDIRECT(ADDRESS(D15,D18))</f>
        <v>54</v>
      </c>
      <c r="E21" s="1" cm="1">
        <f t="array" aca="1" ref="E21" ca="1">INDIRECT(ADDRESS(E15,E18))</f>
        <v>73</v>
      </c>
      <c r="F21" s="1" cm="1">
        <f t="array" aca="1" ref="F21" ca="1">INDIRECT(ADDRESS(F15,F18))</f>
        <v>57</v>
      </c>
      <c r="G21" s="1" cm="1">
        <f t="array" aca="1" ref="G21" ca="1">INDIRECT(ADDRESS(G15,G18))</f>
        <v>65</v>
      </c>
      <c r="H21" s="1" cm="1">
        <f t="array" aca="1" ref="H21" ca="1">INDIRECT(ADDRESS(H15,H18))</f>
        <v>60</v>
      </c>
      <c r="I21" s="1" cm="1">
        <f t="array" aca="1" ref="I21" ca="1">INDIRECT(ADDRESS(I15,I18))</f>
        <v>515</v>
      </c>
      <c r="J21" s="1" cm="1">
        <f t="array" aca="1" ref="J21" ca="1">INDIRECT(ADDRESS(J15,J18))</f>
        <v>1159</v>
      </c>
    </row>
    <row r="22" spans="1:10" ht="20.100000000000001" customHeight="1">
      <c r="A22" t="s">
        <v>135</v>
      </c>
      <c r="B22" s="1" cm="1">
        <f t="array" aca="1" ref="B22" ca="1">INDIRECT(ADDRESS(B16,B18))</f>
        <v>1010.5</v>
      </c>
      <c r="C22" s="1" cm="1">
        <f t="array" aca="1" ref="C22" ca="1">INDIRECT(ADDRESS(C16,C18))</f>
        <v>1809.3</v>
      </c>
      <c r="D22" s="1" cm="1">
        <f t="array" aca="1" ref="D22" ca="1">INDIRECT(ADDRESS(D16,D18))</f>
        <v>55</v>
      </c>
      <c r="E22" s="1" cm="1">
        <f t="array" aca="1" ref="E22" ca="1">INDIRECT(ADDRESS(E16,E18))</f>
        <v>73</v>
      </c>
      <c r="F22" s="1" cm="1">
        <f t="array" aca="1" ref="F22" ca="1">INDIRECT(ADDRESS(F16,F18))</f>
        <v>57</v>
      </c>
      <c r="G22" s="1" cm="1">
        <f t="array" aca="1" ref="G22" ca="1">INDIRECT(ADDRESS(G16,G18))</f>
        <v>68</v>
      </c>
      <c r="H22" s="1" cm="1">
        <f t="array" aca="1" ref="H22" ca="1">INDIRECT(ADDRESS(H16,H18))</f>
        <v>62</v>
      </c>
      <c r="I22" s="1" cm="1">
        <f t="array" aca="1" ref="I22" ca="1">INDIRECT(ADDRESS(I16,I18))</f>
        <v>633</v>
      </c>
      <c r="J22" s="1" cm="1">
        <f t="array" aca="1" ref="J22" ca="1">INDIRECT(ADDRESS(J16,J18))</f>
        <v>1424</v>
      </c>
    </row>
    <row r="24" spans="1:10" ht="20.100000000000001" customHeight="1">
      <c r="A24" t="s">
        <v>134</v>
      </c>
      <c r="B24">
        <f>VLOOKUP(B10,A5:A8,1)</f>
        <v>2300</v>
      </c>
      <c r="C24">
        <f>VLOOKUP(B10,A5:A8,1)</f>
        <v>2300</v>
      </c>
      <c r="D24">
        <f>VLOOKUP(D10,A5:A8,1)</f>
        <v>2300</v>
      </c>
      <c r="E24">
        <f>VLOOKUP(D10,A5:A8,1)</f>
        <v>2300</v>
      </c>
      <c r="F24">
        <f>VLOOKUP(B10,A5:A8,1)</f>
        <v>2300</v>
      </c>
      <c r="G24">
        <f>VLOOKUP(B10,A5:A8,1)</f>
        <v>2300</v>
      </c>
      <c r="H24">
        <f>VLOOKUP(B10,A5:A8,1)</f>
        <v>2300</v>
      </c>
      <c r="I24">
        <f>VLOOKUP(B10,A5:A8,1)</f>
        <v>2300</v>
      </c>
      <c r="J24">
        <f>VLOOKUP(B10,A5:A8,1)</f>
        <v>2300</v>
      </c>
    </row>
    <row r="25" spans="1:10" ht="20.100000000000001" customHeight="1">
      <c r="A25" t="s">
        <v>135</v>
      </c>
      <c r="B25" cm="1">
        <f t="array" aca="1" ref="B25" ca="1">INDIRECT(ADDRESS(B16,B19))</f>
        <v>2550</v>
      </c>
      <c r="C25" cm="1">
        <f t="array" aca="1" ref="C25" ca="1">INDIRECT(ADDRESS(B16,B19))</f>
        <v>2550</v>
      </c>
      <c r="D25" cm="1">
        <f t="array" aca="1" ref="D25" ca="1">INDIRECT(ADDRESS(D16,D19))</f>
        <v>2550</v>
      </c>
      <c r="E25" cm="1">
        <f t="array" aca="1" ref="E25" ca="1">INDIRECT(ADDRESS(D16,D19))</f>
        <v>2550</v>
      </c>
      <c r="F25" cm="1">
        <f t="array" aca="1" ref="F25" ca="1">INDIRECT(ADDRESS(F16,F19))</f>
        <v>2550</v>
      </c>
      <c r="G25" cm="1">
        <f t="array" aca="1" ref="G25" ca="1">INDIRECT(ADDRESS(F16,F19))</f>
        <v>2550</v>
      </c>
      <c r="H25" cm="1">
        <f t="array" aca="1" ref="H25" ca="1">INDIRECT(ADDRESS(G16,G19))</f>
        <v>2550</v>
      </c>
      <c r="I25" cm="1">
        <f t="array" aca="1" ref="I25" ca="1">INDIRECT(ADDRESS(H16,H19))</f>
        <v>2550</v>
      </c>
      <c r="J25" cm="1">
        <f t="array" aca="1" ref="J25" ca="1">INDIRECT(ADDRESS(I16,I19))</f>
        <v>2550</v>
      </c>
    </row>
    <row r="27" spans="1:10" ht="20.100000000000001" customHeight="1">
      <c r="A27" t="s">
        <v>136</v>
      </c>
      <c r="B27">
        <f t="shared" ref="B27:I27" ca="1" si="6">B25-B24</f>
        <v>250</v>
      </c>
      <c r="C27">
        <f t="shared" ca="1" si="6"/>
        <v>250</v>
      </c>
      <c r="D27">
        <f t="shared" ca="1" si="6"/>
        <v>250</v>
      </c>
      <c r="E27">
        <f t="shared" ca="1" si="6"/>
        <v>250</v>
      </c>
      <c r="F27">
        <f t="shared" ca="1" si="6"/>
        <v>250</v>
      </c>
      <c r="G27">
        <f t="shared" ca="1" si="6"/>
        <v>250</v>
      </c>
      <c r="H27">
        <f t="shared" ca="1" si="6"/>
        <v>250</v>
      </c>
      <c r="I27">
        <f t="shared" ca="1" si="6"/>
        <v>250</v>
      </c>
      <c r="J27">
        <f t="shared" ref="J27" ca="1" si="7">J25-J24</f>
        <v>250</v>
      </c>
    </row>
    <row r="29" spans="1:10" ht="20.100000000000001" customHeight="1">
      <c r="A29" t="s">
        <v>137</v>
      </c>
      <c r="B29">
        <f t="shared" ref="B29:I29" si="8">B10-B24</f>
        <v>45</v>
      </c>
      <c r="C29">
        <f t="shared" si="8"/>
        <v>45</v>
      </c>
      <c r="D29">
        <f t="shared" si="8"/>
        <v>45</v>
      </c>
      <c r="E29">
        <f t="shared" si="8"/>
        <v>45</v>
      </c>
      <c r="F29">
        <f t="shared" si="8"/>
        <v>45</v>
      </c>
      <c r="G29">
        <f t="shared" si="8"/>
        <v>45</v>
      </c>
      <c r="H29">
        <f t="shared" si="8"/>
        <v>45</v>
      </c>
      <c r="I29">
        <f t="shared" si="8"/>
        <v>45</v>
      </c>
      <c r="J29">
        <f t="shared" ref="J29" si="9">J10-J24</f>
        <v>45</v>
      </c>
    </row>
    <row r="31" spans="1:10" ht="20.100000000000001" customHeight="1">
      <c r="A31" s="7" t="s">
        <v>138</v>
      </c>
      <c r="B31" s="25">
        <f t="shared" ref="B31:I31" ca="1" si="10">((((B22-B21)/B27)*B29)+B21)</f>
        <v>1010.5</v>
      </c>
      <c r="C31" s="7">
        <f t="shared" ca="1" si="10"/>
        <v>1809.3</v>
      </c>
      <c r="D31" s="25">
        <f t="shared" ca="1" si="10"/>
        <v>54.18</v>
      </c>
      <c r="E31" s="25">
        <f t="shared" ca="1" si="10"/>
        <v>73</v>
      </c>
      <c r="F31" s="25">
        <f t="shared" ca="1" si="10"/>
        <v>57</v>
      </c>
      <c r="G31" s="25">
        <f t="shared" ca="1" si="10"/>
        <v>65.540000000000006</v>
      </c>
      <c r="H31" s="25">
        <f t="shared" ca="1" si="10"/>
        <v>60.36</v>
      </c>
      <c r="I31" s="25">
        <f t="shared" ca="1" si="10"/>
        <v>536.24</v>
      </c>
      <c r="J31" s="25">
        <f t="shared" ref="J31" ca="1" si="11">((((J22-J21)/J27)*J29)+J21)</f>
        <v>1206.7</v>
      </c>
    </row>
    <row r="32" spans="1:10" ht="20.100000000000001" customHeight="1">
      <c r="A32" t="s">
        <v>139</v>
      </c>
      <c r="B32">
        <f t="shared" ref="B32:I32" ca="1" si="12">ROUNDUP(B31,0)</f>
        <v>1011</v>
      </c>
      <c r="C32">
        <f t="shared" ca="1" si="12"/>
        <v>1810</v>
      </c>
      <c r="D32">
        <f t="shared" ca="1" si="12"/>
        <v>55</v>
      </c>
      <c r="E32">
        <f t="shared" ca="1" si="12"/>
        <v>73</v>
      </c>
      <c r="F32">
        <f t="shared" ca="1" si="12"/>
        <v>57</v>
      </c>
      <c r="G32">
        <f t="shared" ca="1" si="12"/>
        <v>66</v>
      </c>
      <c r="H32">
        <f t="shared" ca="1" si="12"/>
        <v>61</v>
      </c>
      <c r="I32">
        <f t="shared" ca="1" si="12"/>
        <v>537</v>
      </c>
      <c r="J32">
        <f t="shared" ref="J32" ca="1" si="13">ROUNDUP(J31,0)</f>
        <v>1207</v>
      </c>
    </row>
  </sheetData>
  <protectedRanges>
    <protectedRange sqref="A5:A8" name="POH WT"/>
  </protectedRanges>
  <mergeCells count="3">
    <mergeCell ref="L4:R15"/>
    <mergeCell ref="K4:K8"/>
    <mergeCell ref="A1:I2"/>
  </mergeCells>
  <pageMargins left="0.7" right="0.7" top="0.75" bottom="0.75" header="0.3" footer="0.3"/>
  <pageSetup orientation="portrait" horizontalDpi="4294967295" verticalDpi="4294967295" r:id="rId1"/>
  <ignoredErrors>
    <ignoredError sqref="E25 C25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7555-D85A-434B-AA57-C62337C0621F}">
  <sheetPr>
    <tabColor theme="5" tint="0.79998168889431442"/>
  </sheetPr>
  <dimension ref="A1:AH51"/>
  <sheetViews>
    <sheetView zoomScale="87" zoomScaleNormal="70" workbookViewId="0">
      <selection activeCell="C23" sqref="C23"/>
    </sheetView>
  </sheetViews>
  <sheetFormatPr defaultRowHeight="14.45"/>
  <cols>
    <col min="1" max="1" width="37.28515625" bestFit="1" customWidth="1"/>
    <col min="2" max="2" width="9.28515625" bestFit="1" customWidth="1"/>
    <col min="3" max="3" width="13.42578125" bestFit="1" customWidth="1"/>
    <col min="4" max="7" width="7.42578125" bestFit="1" customWidth="1"/>
    <col min="8" max="8" width="4.85546875" bestFit="1" customWidth="1"/>
    <col min="10" max="10" width="37.28515625" bestFit="1" customWidth="1"/>
    <col min="11" max="11" width="9.28515625" bestFit="1" customWidth="1"/>
    <col min="12" max="12" width="13.42578125" bestFit="1" customWidth="1"/>
    <col min="13" max="16" width="7.42578125" bestFit="1" customWidth="1"/>
    <col min="19" max="19" width="37.28515625" bestFit="1" customWidth="1"/>
    <col min="20" max="20" width="8.85546875" bestFit="1" customWidth="1"/>
    <col min="21" max="21" width="13.42578125" bestFit="1" customWidth="1"/>
    <col min="22" max="25" width="7.42578125" bestFit="1" customWidth="1"/>
    <col min="28" max="28" width="37.28515625" bestFit="1" customWidth="1"/>
    <col min="29" max="29" width="9.28515625" bestFit="1" customWidth="1"/>
    <col min="30" max="30" width="13.42578125" bestFit="1" customWidth="1"/>
    <col min="31" max="34" width="7.42578125" bestFit="1" customWidth="1"/>
  </cols>
  <sheetData>
    <row r="1" spans="1:34">
      <c r="A1" s="282">
        <v>2550</v>
      </c>
      <c r="B1" s="282"/>
      <c r="C1" s="282"/>
      <c r="D1" s="282"/>
      <c r="E1" s="282"/>
      <c r="F1" s="282"/>
      <c r="G1" s="282"/>
      <c r="J1" s="282">
        <v>2300</v>
      </c>
      <c r="K1" s="282"/>
      <c r="L1" s="282"/>
      <c r="M1" s="282"/>
      <c r="N1" s="282"/>
      <c r="O1" s="282"/>
      <c r="P1" s="282"/>
      <c r="S1" s="282">
        <v>2100</v>
      </c>
      <c r="T1" s="282"/>
      <c r="U1" s="282"/>
      <c r="V1" s="282"/>
      <c r="W1" s="282"/>
      <c r="X1" s="282"/>
      <c r="Y1" s="282"/>
      <c r="AB1" s="282">
        <v>1900</v>
      </c>
      <c r="AC1" s="282"/>
      <c r="AD1" s="282"/>
      <c r="AE1" s="282"/>
      <c r="AF1" s="282"/>
      <c r="AG1" s="282"/>
      <c r="AH1" s="282"/>
    </row>
    <row r="2" spans="1:34">
      <c r="A2" s="109" t="s">
        <v>117</v>
      </c>
      <c r="J2" s="109" t="s">
        <v>117</v>
      </c>
      <c r="S2" s="109" t="s">
        <v>117</v>
      </c>
      <c r="AB2" s="109" t="s">
        <v>117</v>
      </c>
    </row>
    <row r="3" spans="1:34">
      <c r="C3" s="3" t="s">
        <v>140</v>
      </c>
      <c r="D3" s="3"/>
      <c r="E3" s="3"/>
      <c r="F3" s="3"/>
      <c r="G3" s="3"/>
      <c r="L3" s="3" t="s">
        <v>140</v>
      </c>
      <c r="M3" s="3"/>
      <c r="N3" s="3"/>
      <c r="O3" s="3"/>
      <c r="P3" s="3"/>
      <c r="U3" s="3" t="s">
        <v>140</v>
      </c>
      <c r="V3" s="3"/>
      <c r="W3" s="3"/>
      <c r="X3" s="3"/>
      <c r="Y3" s="3"/>
      <c r="AD3" s="3" t="s">
        <v>140</v>
      </c>
      <c r="AE3" s="3"/>
      <c r="AF3" s="3"/>
      <c r="AG3" s="3"/>
      <c r="AH3" s="3"/>
    </row>
    <row r="4" spans="1:34" ht="14.45" customHeight="1">
      <c r="C4" s="3">
        <v>0</v>
      </c>
      <c r="D4" s="3">
        <v>10</v>
      </c>
      <c r="E4" s="3">
        <v>20</v>
      </c>
      <c r="F4" s="3">
        <v>30</v>
      </c>
      <c r="G4" s="3">
        <v>40</v>
      </c>
      <c r="L4" s="3">
        <v>0</v>
      </c>
      <c r="M4" s="3">
        <v>10</v>
      </c>
      <c r="N4" s="3">
        <v>20</v>
      </c>
      <c r="O4" s="3">
        <v>30</v>
      </c>
      <c r="P4" s="3">
        <v>40</v>
      </c>
      <c r="U4" s="3">
        <v>0</v>
      </c>
      <c r="V4" s="3">
        <v>10</v>
      </c>
      <c r="W4" s="3">
        <v>20</v>
      </c>
      <c r="X4" s="3">
        <v>30</v>
      </c>
      <c r="Y4" s="3">
        <v>40</v>
      </c>
      <c r="AD4" s="3">
        <v>0</v>
      </c>
      <c r="AE4" s="3">
        <v>10</v>
      </c>
      <c r="AF4" s="3">
        <v>20</v>
      </c>
      <c r="AG4" s="3">
        <v>30</v>
      </c>
      <c r="AH4" s="3">
        <v>40</v>
      </c>
    </row>
    <row r="5" spans="1:34" ht="14.45" customHeight="1">
      <c r="A5" s="6" t="s">
        <v>141</v>
      </c>
      <c r="B5" s="4">
        <v>0</v>
      </c>
      <c r="C5" s="96">
        <v>720</v>
      </c>
      <c r="D5" s="96">
        <v>775</v>
      </c>
      <c r="E5" s="96">
        <v>835</v>
      </c>
      <c r="F5" s="96">
        <v>895</v>
      </c>
      <c r="G5" s="96">
        <v>960</v>
      </c>
      <c r="J5" s="6" t="s">
        <v>141</v>
      </c>
      <c r="K5" s="4">
        <v>0</v>
      </c>
      <c r="L5" s="96">
        <v>720</v>
      </c>
      <c r="M5" s="96">
        <v>775</v>
      </c>
      <c r="N5" s="96">
        <v>835</v>
      </c>
      <c r="O5" s="96">
        <v>895</v>
      </c>
      <c r="P5" s="96">
        <v>960</v>
      </c>
      <c r="S5" s="6" t="s">
        <v>141</v>
      </c>
      <c r="T5" s="4">
        <v>0</v>
      </c>
      <c r="U5" s="96">
        <v>585</v>
      </c>
      <c r="V5" s="96">
        <v>630</v>
      </c>
      <c r="W5" s="96">
        <v>680</v>
      </c>
      <c r="X5" s="96">
        <v>725</v>
      </c>
      <c r="Y5" s="96">
        <v>780</v>
      </c>
      <c r="AB5" s="6" t="s">
        <v>141</v>
      </c>
      <c r="AC5" s="4">
        <v>0</v>
      </c>
      <c r="AD5" s="96">
        <v>470</v>
      </c>
      <c r="AE5" s="96">
        <v>505</v>
      </c>
      <c r="AF5" s="96">
        <v>540</v>
      </c>
      <c r="AG5" s="96">
        <v>580</v>
      </c>
      <c r="AH5" s="96">
        <v>620</v>
      </c>
    </row>
    <row r="6" spans="1:34">
      <c r="A6" s="5"/>
      <c r="B6" s="4">
        <v>1000</v>
      </c>
      <c r="C6" s="96">
        <v>790</v>
      </c>
      <c r="D6" s="96">
        <v>850</v>
      </c>
      <c r="E6" s="96">
        <v>915</v>
      </c>
      <c r="F6" s="96">
        <v>980</v>
      </c>
      <c r="G6" s="96">
        <v>1050</v>
      </c>
      <c r="J6" s="5"/>
      <c r="K6" s="4">
        <v>1000</v>
      </c>
      <c r="L6" s="96">
        <v>790</v>
      </c>
      <c r="M6" s="96">
        <v>850</v>
      </c>
      <c r="N6" s="96">
        <v>915</v>
      </c>
      <c r="O6" s="96">
        <v>980</v>
      </c>
      <c r="P6" s="96">
        <v>1050</v>
      </c>
      <c r="S6" s="5"/>
      <c r="T6" s="4">
        <v>1000</v>
      </c>
      <c r="U6" s="96">
        <v>640</v>
      </c>
      <c r="V6" s="96">
        <v>690</v>
      </c>
      <c r="W6" s="96">
        <v>740</v>
      </c>
      <c r="X6" s="96">
        <v>795</v>
      </c>
      <c r="Y6" s="96">
        <v>850</v>
      </c>
      <c r="AB6" s="5"/>
      <c r="AC6" s="4">
        <v>1000</v>
      </c>
      <c r="AD6" s="96">
        <v>515</v>
      </c>
      <c r="AE6" s="96">
        <v>550</v>
      </c>
      <c r="AF6" s="96">
        <v>590</v>
      </c>
      <c r="AG6" s="96">
        <v>635</v>
      </c>
      <c r="AH6" s="96">
        <v>680</v>
      </c>
    </row>
    <row r="7" spans="1:34">
      <c r="A7" s="5"/>
      <c r="B7" s="4">
        <v>2000</v>
      </c>
      <c r="C7" s="96">
        <v>865</v>
      </c>
      <c r="D7" s="96">
        <v>930</v>
      </c>
      <c r="E7" s="96">
        <v>1000</v>
      </c>
      <c r="F7" s="96">
        <v>1075</v>
      </c>
      <c r="G7" s="96">
        <v>1155</v>
      </c>
      <c r="J7" s="5"/>
      <c r="K7" s="4">
        <v>2000</v>
      </c>
      <c r="L7" s="96">
        <v>865</v>
      </c>
      <c r="M7" s="96">
        <v>930</v>
      </c>
      <c r="N7" s="96">
        <v>1000</v>
      </c>
      <c r="O7" s="96">
        <v>1075</v>
      </c>
      <c r="P7" s="96">
        <v>1155</v>
      </c>
      <c r="S7" s="5"/>
      <c r="T7" s="4">
        <v>2000</v>
      </c>
      <c r="U7" s="96">
        <v>700</v>
      </c>
      <c r="V7" s="96">
        <v>755</v>
      </c>
      <c r="W7" s="96">
        <v>810</v>
      </c>
      <c r="X7" s="96">
        <v>870</v>
      </c>
      <c r="Y7" s="96">
        <v>935</v>
      </c>
      <c r="AB7" s="5"/>
      <c r="AC7" s="4">
        <v>2000</v>
      </c>
      <c r="AD7" s="96">
        <v>560</v>
      </c>
      <c r="AE7" s="96">
        <v>605</v>
      </c>
      <c r="AF7" s="96">
        <v>645</v>
      </c>
      <c r="AG7" s="96">
        <v>695</v>
      </c>
      <c r="AH7" s="96">
        <v>745</v>
      </c>
    </row>
    <row r="8" spans="1:34">
      <c r="A8" s="5"/>
      <c r="B8" s="4">
        <v>3000</v>
      </c>
      <c r="C8" s="96">
        <v>950</v>
      </c>
      <c r="D8" s="96">
        <v>1025</v>
      </c>
      <c r="E8" s="96">
        <v>1100</v>
      </c>
      <c r="F8" s="96">
        <v>1185</v>
      </c>
      <c r="G8" s="96">
        <v>1270</v>
      </c>
      <c r="J8" s="5"/>
      <c r="K8" s="4">
        <v>3000</v>
      </c>
      <c r="L8" s="96">
        <v>950</v>
      </c>
      <c r="M8" s="96">
        <v>1025</v>
      </c>
      <c r="N8" s="96">
        <v>1100</v>
      </c>
      <c r="O8" s="96">
        <v>1185</v>
      </c>
      <c r="P8" s="96">
        <v>1270</v>
      </c>
      <c r="S8" s="5"/>
      <c r="T8" s="4">
        <v>3000</v>
      </c>
      <c r="U8" s="96">
        <v>770</v>
      </c>
      <c r="V8" s="96">
        <v>830</v>
      </c>
      <c r="W8" s="96">
        <v>890</v>
      </c>
      <c r="X8" s="96">
        <v>955</v>
      </c>
      <c r="Y8" s="96">
        <v>1025</v>
      </c>
      <c r="AB8" s="5"/>
      <c r="AC8" s="4">
        <v>3000</v>
      </c>
      <c r="AD8" s="96">
        <v>615</v>
      </c>
      <c r="AE8" s="96">
        <v>660</v>
      </c>
      <c r="AF8" s="96">
        <v>710</v>
      </c>
      <c r="AG8" s="96">
        <v>760</v>
      </c>
      <c r="AH8" s="96">
        <v>815</v>
      </c>
    </row>
    <row r="9" spans="1:34">
      <c r="A9" s="5"/>
      <c r="B9" s="4">
        <v>4000</v>
      </c>
      <c r="C9" s="96">
        <v>1045</v>
      </c>
      <c r="D9" s="96">
        <v>1125</v>
      </c>
      <c r="E9" s="96">
        <v>1210</v>
      </c>
      <c r="F9" s="96">
        <v>1300</v>
      </c>
      <c r="G9" s="96">
        <v>1400</v>
      </c>
      <c r="J9" s="5"/>
      <c r="K9" s="4">
        <v>4000</v>
      </c>
      <c r="L9" s="96">
        <v>1045</v>
      </c>
      <c r="M9" s="96">
        <v>1125</v>
      </c>
      <c r="N9" s="96">
        <v>1210</v>
      </c>
      <c r="O9" s="96">
        <v>1300</v>
      </c>
      <c r="P9" s="96">
        <v>1400</v>
      </c>
      <c r="S9" s="5"/>
      <c r="T9" s="4">
        <v>4000</v>
      </c>
      <c r="U9" s="96">
        <v>845</v>
      </c>
      <c r="V9" s="96">
        <v>910</v>
      </c>
      <c r="W9" s="96">
        <v>980</v>
      </c>
      <c r="X9" s="96">
        <v>1050</v>
      </c>
      <c r="Y9" s="96">
        <v>1130</v>
      </c>
      <c r="AB9" s="5"/>
      <c r="AC9" s="4">
        <v>4000</v>
      </c>
      <c r="AD9" s="96">
        <v>670</v>
      </c>
      <c r="AE9" s="96">
        <v>725</v>
      </c>
      <c r="AF9" s="96">
        <v>780</v>
      </c>
      <c r="AG9" s="96">
        <v>835</v>
      </c>
      <c r="AH9" s="96">
        <v>895</v>
      </c>
    </row>
    <row r="10" spans="1:34">
      <c r="A10" s="5"/>
      <c r="B10" s="4">
        <v>5000</v>
      </c>
      <c r="C10" s="96">
        <v>1150</v>
      </c>
      <c r="D10" s="96">
        <v>1240</v>
      </c>
      <c r="E10" s="96">
        <v>1335</v>
      </c>
      <c r="F10" s="96">
        <v>1435</v>
      </c>
      <c r="G10" s="96">
        <v>1540</v>
      </c>
      <c r="J10" s="5"/>
      <c r="K10" s="4">
        <v>5000</v>
      </c>
      <c r="L10" s="96">
        <v>1150</v>
      </c>
      <c r="M10" s="96">
        <v>1240</v>
      </c>
      <c r="N10" s="96">
        <v>1335</v>
      </c>
      <c r="O10" s="96">
        <v>1435</v>
      </c>
      <c r="P10" s="96">
        <v>1540</v>
      </c>
      <c r="S10" s="5"/>
      <c r="T10" s="4">
        <v>5000</v>
      </c>
      <c r="U10" s="96">
        <v>930</v>
      </c>
      <c r="V10" s="96">
        <v>1000</v>
      </c>
      <c r="W10" s="96">
        <v>1075</v>
      </c>
      <c r="X10" s="96">
        <v>1155</v>
      </c>
      <c r="Y10" s="96">
        <v>1240</v>
      </c>
      <c r="AB10" s="5"/>
      <c r="AC10" s="4">
        <v>5000</v>
      </c>
      <c r="AD10" s="96">
        <v>740</v>
      </c>
      <c r="AE10" s="96">
        <v>795</v>
      </c>
      <c r="AF10" s="96">
        <v>855</v>
      </c>
      <c r="AG10" s="96">
        <v>920</v>
      </c>
      <c r="AH10" s="96">
        <v>985</v>
      </c>
    </row>
    <row r="11" spans="1:34">
      <c r="A11" s="5"/>
      <c r="B11" s="4">
        <v>6000</v>
      </c>
      <c r="C11" s="96">
        <v>1265</v>
      </c>
      <c r="D11" s="96">
        <v>1365</v>
      </c>
      <c r="E11" s="96">
        <v>1475</v>
      </c>
      <c r="F11" s="96">
        <v>1585</v>
      </c>
      <c r="G11" s="96">
        <v>1705</v>
      </c>
      <c r="J11" s="5"/>
      <c r="K11" s="4">
        <v>6000</v>
      </c>
      <c r="L11" s="96">
        <v>1265</v>
      </c>
      <c r="M11" s="96">
        <v>1365</v>
      </c>
      <c r="N11" s="96">
        <v>1475</v>
      </c>
      <c r="O11" s="96">
        <v>1585</v>
      </c>
      <c r="P11" s="96">
        <v>1705</v>
      </c>
      <c r="S11" s="5"/>
      <c r="T11" s="4">
        <v>6000</v>
      </c>
      <c r="U11" s="96">
        <v>1025</v>
      </c>
      <c r="V11" s="96">
        <v>1100</v>
      </c>
      <c r="W11" s="96">
        <v>1185</v>
      </c>
      <c r="X11" s="96">
        <v>1275</v>
      </c>
      <c r="Y11" s="96">
        <v>1370</v>
      </c>
      <c r="AB11" s="5"/>
      <c r="AC11" s="4">
        <v>6000</v>
      </c>
      <c r="AD11" s="96">
        <v>810</v>
      </c>
      <c r="AE11" s="96">
        <v>875</v>
      </c>
      <c r="AF11" s="96">
        <v>940</v>
      </c>
      <c r="AG11" s="96">
        <v>1010</v>
      </c>
      <c r="AH11" s="96">
        <v>1085</v>
      </c>
    </row>
    <row r="12" spans="1:34">
      <c r="A12" s="5"/>
      <c r="B12" s="4">
        <v>7000</v>
      </c>
      <c r="C12" s="96">
        <v>1400</v>
      </c>
      <c r="D12" s="96">
        <v>1510</v>
      </c>
      <c r="E12" s="96">
        <v>1630</v>
      </c>
      <c r="F12" s="96">
        <v>1755</v>
      </c>
      <c r="G12" s="96">
        <v>1890</v>
      </c>
      <c r="J12" s="5"/>
      <c r="K12" s="4">
        <v>7000</v>
      </c>
      <c r="L12" s="96">
        <v>1400</v>
      </c>
      <c r="M12" s="96">
        <v>1510</v>
      </c>
      <c r="N12" s="96">
        <v>1630</v>
      </c>
      <c r="O12" s="96">
        <v>1755</v>
      </c>
      <c r="P12" s="96">
        <v>1890</v>
      </c>
      <c r="S12" s="5"/>
      <c r="T12" s="4">
        <v>7000</v>
      </c>
      <c r="U12" s="96">
        <v>1130</v>
      </c>
      <c r="V12" s="96">
        <v>1215</v>
      </c>
      <c r="W12" s="96">
        <v>1310</v>
      </c>
      <c r="X12" s="96">
        <v>1410</v>
      </c>
      <c r="Y12" s="96">
        <v>1515</v>
      </c>
      <c r="AB12" s="5"/>
      <c r="AC12" s="4">
        <v>7000</v>
      </c>
      <c r="AD12" s="96">
        <v>895</v>
      </c>
      <c r="AE12" s="96">
        <v>965</v>
      </c>
      <c r="AF12" s="96">
        <v>1035</v>
      </c>
      <c r="AG12" s="96">
        <v>1115</v>
      </c>
      <c r="AH12" s="96">
        <v>1195</v>
      </c>
    </row>
    <row r="13" spans="1:34">
      <c r="A13" s="5"/>
      <c r="B13" s="4">
        <v>8000</v>
      </c>
      <c r="C13" s="96">
        <v>1550</v>
      </c>
      <c r="D13" s="96">
        <v>1675</v>
      </c>
      <c r="E13" s="96">
        <v>1805</v>
      </c>
      <c r="F13" s="96">
        <v>1945</v>
      </c>
      <c r="G13" s="96">
        <v>2095</v>
      </c>
      <c r="J13" s="5"/>
      <c r="K13" s="4">
        <v>8000</v>
      </c>
      <c r="L13" s="96">
        <v>1550</v>
      </c>
      <c r="M13" s="96">
        <v>1675</v>
      </c>
      <c r="N13" s="96">
        <v>1805</v>
      </c>
      <c r="O13" s="96">
        <v>1945</v>
      </c>
      <c r="P13" s="96">
        <v>2095</v>
      </c>
      <c r="S13" s="5"/>
      <c r="T13" s="4">
        <v>8000</v>
      </c>
      <c r="U13" s="96">
        <v>1245</v>
      </c>
      <c r="V13" s="96">
        <v>1345</v>
      </c>
      <c r="W13" s="96">
        <v>1450</v>
      </c>
      <c r="X13" s="96">
        <v>1560</v>
      </c>
      <c r="Y13" s="96">
        <v>1680</v>
      </c>
      <c r="AB13" s="5"/>
      <c r="AC13" s="4">
        <v>8000</v>
      </c>
      <c r="AD13" s="96">
        <v>958</v>
      </c>
      <c r="AE13" s="96">
        <v>1065</v>
      </c>
      <c r="AF13" s="96">
        <v>1145</v>
      </c>
      <c r="AG13" s="96">
        <v>1230</v>
      </c>
      <c r="AH13" s="96">
        <v>1320</v>
      </c>
    </row>
    <row r="14" spans="1:34" ht="15" thickBot="1"/>
    <row r="15" spans="1:34">
      <c r="A15" s="283" t="s">
        <v>142</v>
      </c>
      <c r="B15" s="284"/>
      <c r="J15" s="283" t="s">
        <v>142</v>
      </c>
      <c r="K15" s="284"/>
      <c r="S15" s="283" t="s">
        <v>142</v>
      </c>
      <c r="T15" s="284"/>
      <c r="AB15" s="283" t="s">
        <v>142</v>
      </c>
      <c r="AC15" s="284"/>
    </row>
    <row r="16" spans="1:34">
      <c r="A16" s="110" t="s">
        <v>141</v>
      </c>
      <c r="B16" s="111" t="s">
        <v>143</v>
      </c>
      <c r="J16" s="110" t="s">
        <v>141</v>
      </c>
      <c r="K16" s="111" t="s">
        <v>143</v>
      </c>
      <c r="S16" s="110" t="s">
        <v>141</v>
      </c>
      <c r="T16" s="111" t="s">
        <v>143</v>
      </c>
      <c r="AB16" s="110" t="s">
        <v>141</v>
      </c>
      <c r="AC16" s="111" t="s">
        <v>143</v>
      </c>
    </row>
    <row r="17" spans="1:31">
      <c r="A17" s="110">
        <f>'172'!$B$7</f>
        <v>2175.0000000000027</v>
      </c>
      <c r="B17" s="111">
        <f>'172'!$C$7</f>
        <v>19</v>
      </c>
      <c r="J17" s="110">
        <f>'172'!$B$7</f>
        <v>2175.0000000000027</v>
      </c>
      <c r="K17" s="111">
        <f>'172'!$C$7</f>
        <v>19</v>
      </c>
      <c r="S17" s="110">
        <f>'172'!$B$7</f>
        <v>2175.0000000000027</v>
      </c>
      <c r="T17" s="111">
        <f>'172'!$C$7</f>
        <v>19</v>
      </c>
      <c r="AB17" s="110">
        <f>'172'!$B$7</f>
        <v>2175.0000000000027</v>
      </c>
      <c r="AC17" s="111">
        <f>'172'!$C$7</f>
        <v>19</v>
      </c>
    </row>
    <row r="18" spans="1:31">
      <c r="A18" s="9"/>
      <c r="B18" s="112"/>
      <c r="J18" s="9"/>
      <c r="K18" s="112"/>
      <c r="S18" s="9"/>
      <c r="T18" s="112"/>
      <c r="AB18" s="9"/>
      <c r="AC18" s="112"/>
    </row>
    <row r="19" spans="1:31" ht="15" thickBot="1">
      <c r="A19" s="10" t="s">
        <v>117</v>
      </c>
      <c r="B19" s="113">
        <f ca="1">B51</f>
        <v>1010.5</v>
      </c>
      <c r="J19" s="10" t="s">
        <v>117</v>
      </c>
      <c r="K19" s="113">
        <f ca="1">K51</f>
        <v>1010.5</v>
      </c>
      <c r="S19" s="10" t="s">
        <v>117</v>
      </c>
      <c r="T19" s="113">
        <f ca="1">T51</f>
        <v>818.5</v>
      </c>
      <c r="AB19" s="10" t="s">
        <v>117</v>
      </c>
      <c r="AC19" s="113">
        <f ca="1">AC51</f>
        <v>652.20000000000005</v>
      </c>
    </row>
    <row r="22" spans="1:31">
      <c r="A22" t="s">
        <v>145</v>
      </c>
      <c r="B22">
        <f>VLOOKUP(A17,B5:B13,1)</f>
        <v>2000</v>
      </c>
      <c r="J22" t="s">
        <v>145</v>
      </c>
      <c r="K22">
        <f>VLOOKUP(J17,K5:K13,1)</f>
        <v>2000</v>
      </c>
      <c r="S22" t="s">
        <v>145</v>
      </c>
      <c r="T22">
        <f>VLOOKUP(S17,T5:T13,1)</f>
        <v>2000</v>
      </c>
      <c r="AB22" t="s">
        <v>145</v>
      </c>
      <c r="AC22">
        <f>VLOOKUP(AB17,AC5:AC13,1)</f>
        <v>2000</v>
      </c>
    </row>
    <row r="23" spans="1:31">
      <c r="A23" t="s">
        <v>146</v>
      </c>
      <c r="B23" cm="1">
        <f t="array" ref="B23">INDEX(B5:B13,MATCH(A17,B5:B13,1)+1)</f>
        <v>3000</v>
      </c>
      <c r="J23" t="s">
        <v>146</v>
      </c>
      <c r="K23" cm="1">
        <f t="array" ref="K23">INDEX(K5:K13,MATCH(J17,K5:K13,1)+1)</f>
        <v>3000</v>
      </c>
      <c r="S23" t="s">
        <v>146</v>
      </c>
      <c r="T23" cm="1">
        <f t="array" ref="T23">INDEX(T5:T13,MATCH(S17,T5:T13,1)+1)</f>
        <v>3000</v>
      </c>
      <c r="AB23" t="s">
        <v>146</v>
      </c>
      <c r="AC23" cm="1">
        <f t="array" ref="AC23">INDEX(AC5:AC13,MATCH(AB17,AC5:AC13,1)+1)</f>
        <v>3000</v>
      </c>
    </row>
    <row r="25" spans="1:31" ht="28.9">
      <c r="A25" s="2" t="s">
        <v>147</v>
      </c>
      <c r="B25">
        <f>ROW(B5)</f>
        <v>5</v>
      </c>
      <c r="J25" s="2" t="s">
        <v>147</v>
      </c>
      <c r="K25">
        <f>ROW(K5)</f>
        <v>5</v>
      </c>
      <c r="S25" s="2" t="s">
        <v>147</v>
      </c>
      <c r="T25">
        <f>ROW(T5)</f>
        <v>5</v>
      </c>
      <c r="AB25" s="2" t="s">
        <v>147</v>
      </c>
      <c r="AC25">
        <f>ROW(AC5)</f>
        <v>5</v>
      </c>
    </row>
    <row r="26" spans="1:31" ht="28.9">
      <c r="A26" s="2" t="s">
        <v>148</v>
      </c>
      <c r="B26">
        <f>COLUMN(C4)</f>
        <v>3</v>
      </c>
      <c r="J26" s="2" t="s">
        <v>148</v>
      </c>
      <c r="K26">
        <f>COLUMN(L4)</f>
        <v>12</v>
      </c>
      <c r="S26" s="2" t="s">
        <v>148</v>
      </c>
      <c r="T26">
        <f>COLUMN(U4)</f>
        <v>21</v>
      </c>
      <c r="AB26" s="2" t="s">
        <v>148</v>
      </c>
      <c r="AC26">
        <f>COLUMN(AD4)</f>
        <v>30</v>
      </c>
    </row>
    <row r="28" spans="1:31">
      <c r="A28" t="s">
        <v>149</v>
      </c>
      <c r="B28">
        <f>(((MATCH(B22,B5:B13,0))+B25)-1)</f>
        <v>7</v>
      </c>
      <c r="D28" s="114"/>
      <c r="J28" t="s">
        <v>149</v>
      </c>
      <c r="K28">
        <f>(((MATCH(K22,K5:K13,0))+K25)-1)</f>
        <v>7</v>
      </c>
      <c r="M28" s="114"/>
      <c r="S28" t="s">
        <v>149</v>
      </c>
      <c r="T28">
        <f>(((MATCH(T22,T5:T13,0))+T25)-1)</f>
        <v>7</v>
      </c>
      <c r="V28" s="114"/>
      <c r="AB28" t="s">
        <v>149</v>
      </c>
      <c r="AC28">
        <f>(((MATCH(AC22,AC5:AC13,0))+AC25)-1)</f>
        <v>7</v>
      </c>
      <c r="AE28" s="114"/>
    </row>
    <row r="29" spans="1:31">
      <c r="A29" t="s">
        <v>150</v>
      </c>
      <c r="B29">
        <f>B28+1</f>
        <v>8</v>
      </c>
      <c r="J29" t="s">
        <v>150</v>
      </c>
      <c r="K29">
        <f>K28+1</f>
        <v>8</v>
      </c>
      <c r="S29" t="s">
        <v>150</v>
      </c>
      <c r="T29">
        <f>T28+1</f>
        <v>8</v>
      </c>
      <c r="AB29" t="s">
        <v>150</v>
      </c>
      <c r="AC29">
        <f>AC28+1</f>
        <v>8</v>
      </c>
    </row>
    <row r="31" spans="1:31">
      <c r="A31" t="s">
        <v>151</v>
      </c>
      <c r="B31">
        <f>HLOOKUP(B17,C4:G4,1)</f>
        <v>10</v>
      </c>
      <c r="J31" t="s">
        <v>151</v>
      </c>
      <c r="K31">
        <f>HLOOKUP(K17,L4:P4,1)</f>
        <v>10</v>
      </c>
      <c r="S31" t="s">
        <v>151</v>
      </c>
      <c r="T31">
        <f>HLOOKUP(T17,U4:Y4,1)</f>
        <v>10</v>
      </c>
      <c r="AB31" t="s">
        <v>151</v>
      </c>
      <c r="AC31">
        <f>HLOOKUP(AC17,AD4:AH4,1)</f>
        <v>10</v>
      </c>
    </row>
    <row r="32" spans="1:31">
      <c r="A32" t="s">
        <v>152</v>
      </c>
      <c r="B32" cm="1">
        <f t="array" ref="B32">IF(B17&gt;=MAX(C4:G4),MAX(C4:G4),INDEX(C4:G4,MATCH(B17,C4:G4,1)+1))</f>
        <v>20</v>
      </c>
      <c r="J32" t="s">
        <v>152</v>
      </c>
      <c r="K32" cm="1">
        <f t="array" ref="K32">IF(K17&gt;=MAX(L4:P4),MAX(L4:P4),INDEX(L4:P4,MATCH(K17,L4:P4,1)+1))</f>
        <v>20</v>
      </c>
      <c r="S32" t="s">
        <v>152</v>
      </c>
      <c r="T32" cm="1">
        <f t="array" ref="T32">IF(T17&gt;=MAX(U4:Y4),MAX(U4:Y4),INDEX(U4:Y4,MATCH(T17,U4:Y4,1)+1))</f>
        <v>20</v>
      </c>
      <c r="AB32" t="s">
        <v>152</v>
      </c>
      <c r="AC32" cm="1">
        <f t="array" ref="AC32">IF(AC17&gt;=MAX(AD4:AH4),MAX(AD4:AH4),INDEX(AD4:AH4,MATCH(AC17,AD4:AH4,1)+1))</f>
        <v>20</v>
      </c>
    </row>
    <row r="34" spans="1:29">
      <c r="A34" t="s">
        <v>153</v>
      </c>
      <c r="B34">
        <f>(((MATCH(B31,C4:G4,0))+B26)-1)</f>
        <v>4</v>
      </c>
      <c r="J34" t="s">
        <v>153</v>
      </c>
      <c r="K34">
        <f>(((MATCH(K31,L4:P4,0))+K26)-1)</f>
        <v>13</v>
      </c>
      <c r="S34" t="s">
        <v>153</v>
      </c>
      <c r="T34">
        <f>(((MATCH(T31,U4:Y4,0))+T26)-1)</f>
        <v>22</v>
      </c>
      <c r="AB34" t="s">
        <v>153</v>
      </c>
      <c r="AC34">
        <f>(((MATCH(AC31,AD4:AH4,0))+AC26)-1)</f>
        <v>31</v>
      </c>
    </row>
    <row r="35" spans="1:29">
      <c r="A35" t="s">
        <v>154</v>
      </c>
      <c r="B35">
        <f>((((MATCH(B31,C4:G4,0))+B26)-1)+1)</f>
        <v>5</v>
      </c>
      <c r="J35" t="s">
        <v>154</v>
      </c>
      <c r="K35">
        <f>((((MATCH(K31,L4:P4,0))+K26)-1)+1)</f>
        <v>14</v>
      </c>
      <c r="S35" t="s">
        <v>154</v>
      </c>
      <c r="T35">
        <f>((((MATCH(T31,U4:Y4,0))+T26)-1)+1)</f>
        <v>23</v>
      </c>
      <c r="AB35" t="s">
        <v>154</v>
      </c>
      <c r="AC35">
        <f>((((MATCH(AC31,AD4:AH4,0))+AC26)-1)+1)</f>
        <v>32</v>
      </c>
    </row>
    <row r="37" spans="1:29">
      <c r="A37" t="s">
        <v>155</v>
      </c>
      <c r="B37" s="115" cm="1">
        <f t="array" aca="1" ref="B37" ca="1">INDIRECT(ADDRESS(B28,B34))</f>
        <v>930</v>
      </c>
      <c r="J37" t="s">
        <v>155</v>
      </c>
      <c r="K37" s="115" cm="1">
        <f t="array" aca="1" ref="K37" ca="1">INDIRECT(ADDRESS(K28,K34))</f>
        <v>930</v>
      </c>
      <c r="S37" t="s">
        <v>155</v>
      </c>
      <c r="T37" s="115" cm="1">
        <f t="array" aca="1" ref="T37" ca="1">INDIRECT(ADDRESS(T28,T34))</f>
        <v>755</v>
      </c>
      <c r="AB37" t="s">
        <v>155</v>
      </c>
      <c r="AC37" s="115" cm="1">
        <f t="array" aca="1" ref="AC37" ca="1">INDIRECT(ADDRESS(AC28,AC34))</f>
        <v>605</v>
      </c>
    </row>
    <row r="38" spans="1:29">
      <c r="A38" t="s">
        <v>156</v>
      </c>
      <c r="B38" s="115" cm="1">
        <f t="array" aca="1" ref="B38" ca="1">INDIRECT(ADDRESS(B29,B34))</f>
        <v>1025</v>
      </c>
      <c r="J38" t="s">
        <v>156</v>
      </c>
      <c r="K38" s="115" cm="1">
        <f t="array" aca="1" ref="K38" ca="1">INDIRECT(ADDRESS(K29,K34))</f>
        <v>1025</v>
      </c>
      <c r="S38" t="s">
        <v>156</v>
      </c>
      <c r="T38" s="115" cm="1">
        <f t="array" aca="1" ref="T38" ca="1">INDIRECT(ADDRESS(T29,T34))</f>
        <v>830</v>
      </c>
      <c r="AB38" t="s">
        <v>156</v>
      </c>
      <c r="AC38" s="115" cm="1">
        <f t="array" aca="1" ref="AC38" ca="1">INDIRECT(ADDRESS(AC29,AC34))</f>
        <v>660</v>
      </c>
    </row>
    <row r="39" spans="1:29">
      <c r="A39" t="s">
        <v>157</v>
      </c>
      <c r="B39" s="115" cm="1">
        <f t="array" aca="1" ref="B39" ca="1">INDIRECT(ADDRESS(B28,B35))</f>
        <v>1000</v>
      </c>
      <c r="J39" t="s">
        <v>157</v>
      </c>
      <c r="K39" s="115" cm="1">
        <f t="array" aca="1" ref="K39" ca="1">INDIRECT(ADDRESS(K28,K35))</f>
        <v>1000</v>
      </c>
      <c r="S39" t="s">
        <v>157</v>
      </c>
      <c r="T39" s="115" cm="1">
        <f t="array" aca="1" ref="T39" ca="1">INDIRECT(ADDRESS(T28,T35))</f>
        <v>810</v>
      </c>
      <c r="AB39" t="s">
        <v>157</v>
      </c>
      <c r="AC39" s="115" cm="1">
        <f t="array" aca="1" ref="AC39" ca="1">INDIRECT(ADDRESS(AC28,AC35))</f>
        <v>645</v>
      </c>
    </row>
    <row r="40" spans="1:29">
      <c r="A40" t="s">
        <v>158</v>
      </c>
      <c r="B40" s="115" cm="1">
        <f t="array" aca="1" ref="B40" ca="1">INDIRECT(ADDRESS(B29,B35))</f>
        <v>1100</v>
      </c>
      <c r="J40" t="s">
        <v>158</v>
      </c>
      <c r="K40" s="115" cm="1">
        <f t="array" aca="1" ref="K40" ca="1">INDIRECT(ADDRESS(K29,K35))</f>
        <v>1100</v>
      </c>
      <c r="S40" t="s">
        <v>158</v>
      </c>
      <c r="T40" s="115" cm="1">
        <f t="array" aca="1" ref="T40" ca="1">INDIRECT(ADDRESS(T29,T35))</f>
        <v>890</v>
      </c>
      <c r="AB40" t="s">
        <v>158</v>
      </c>
      <c r="AC40" s="115" cm="1">
        <f t="array" aca="1" ref="AC40" ca="1">INDIRECT(ADDRESS(AC29,AC35))</f>
        <v>710</v>
      </c>
    </row>
    <row r="42" spans="1:29">
      <c r="A42" t="s">
        <v>159</v>
      </c>
      <c r="B42" s="1">
        <f>(A17-B22)</f>
        <v>175.00000000000273</v>
      </c>
      <c r="J42" t="s">
        <v>159</v>
      </c>
      <c r="K42" s="1">
        <f>(J17-K22)</f>
        <v>175.00000000000273</v>
      </c>
      <c r="S42" t="s">
        <v>159</v>
      </c>
      <c r="T42" s="1">
        <f>(S17-T22)</f>
        <v>175.00000000000273</v>
      </c>
      <c r="AB42" t="s">
        <v>159</v>
      </c>
      <c r="AC42" s="1">
        <f>(AB17-AC22)</f>
        <v>175.00000000000273</v>
      </c>
    </row>
    <row r="44" spans="1:29">
      <c r="A44" t="s">
        <v>160</v>
      </c>
      <c r="B44" s="115">
        <f ca="1">((((B38-B37)/1000)*B42)+B37)</f>
        <v>946.62500000000023</v>
      </c>
      <c r="J44" t="s">
        <v>160</v>
      </c>
      <c r="K44" s="115">
        <f ca="1">((((K38-K37)/1000)*K42)+K37)</f>
        <v>946.62500000000023</v>
      </c>
      <c r="S44" t="s">
        <v>160</v>
      </c>
      <c r="T44" s="115">
        <f ca="1">((((T38-T37)/1000)*T42)+T37)</f>
        <v>768.12500000000023</v>
      </c>
      <c r="AB44" t="s">
        <v>160</v>
      </c>
      <c r="AC44" s="115">
        <f ca="1">((((AC38-AC37)/1000)*AC42)+AC37)</f>
        <v>614.62500000000011</v>
      </c>
    </row>
    <row r="45" spans="1:29">
      <c r="A45" t="s">
        <v>161</v>
      </c>
      <c r="B45" s="115">
        <f ca="1">((((B40-B39)/1000)*B42)+B39)</f>
        <v>1017.5000000000002</v>
      </c>
      <c r="J45" t="s">
        <v>161</v>
      </c>
      <c r="K45" s="115">
        <f ca="1">((((K40-K39)/1000)*K42)+K39)</f>
        <v>1017.5000000000002</v>
      </c>
      <c r="S45" t="s">
        <v>161</v>
      </c>
      <c r="T45" s="115">
        <f ca="1">((((T40-T39)/1000)*T42)+T39)</f>
        <v>824.00000000000023</v>
      </c>
      <c r="AB45" t="s">
        <v>161</v>
      </c>
      <c r="AC45" s="115">
        <f ca="1">((((AC40-AC39)/1000)*AC42)+AC39)</f>
        <v>656.37500000000023</v>
      </c>
    </row>
    <row r="47" spans="1:29">
      <c r="A47" t="s">
        <v>162</v>
      </c>
      <c r="B47">
        <f>B17-B31</f>
        <v>9</v>
      </c>
      <c r="J47" t="s">
        <v>162</v>
      </c>
      <c r="K47">
        <f>K17-K31</f>
        <v>9</v>
      </c>
      <c r="S47" t="s">
        <v>162</v>
      </c>
      <c r="T47">
        <f>T17-T31</f>
        <v>9</v>
      </c>
      <c r="AB47" t="s">
        <v>162</v>
      </c>
      <c r="AC47">
        <f>AC17-AC31</f>
        <v>9</v>
      </c>
    </row>
    <row r="49" spans="1:29">
      <c r="A49" t="s">
        <v>163</v>
      </c>
      <c r="B49" s="116">
        <f ca="1">((((B45-B44)/10)*B47)+B44)</f>
        <v>1010.4125000000003</v>
      </c>
      <c r="J49" t="s">
        <v>163</v>
      </c>
      <c r="K49" s="116">
        <f ca="1">((((K45-K44)/10)*K47)+K44)</f>
        <v>1010.4125000000003</v>
      </c>
      <c r="S49" t="s">
        <v>163</v>
      </c>
      <c r="T49" s="116">
        <f ca="1">((((T45-T44)/10)*T47)+T44)</f>
        <v>818.41250000000025</v>
      </c>
      <c r="AB49" t="s">
        <v>163</v>
      </c>
      <c r="AC49" s="116">
        <f ca="1">((((AC45-AC44)/10)*AC47)+AC44)</f>
        <v>652.20000000000027</v>
      </c>
    </row>
    <row r="51" spans="1:29">
      <c r="A51" s="7" t="s">
        <v>164</v>
      </c>
      <c r="B51" s="8">
        <f ca="1">ROUNDUP(B49,1)</f>
        <v>1010.5</v>
      </c>
      <c r="J51" s="7" t="s">
        <v>164</v>
      </c>
      <c r="K51" s="8">
        <f ca="1">ROUNDUP(K49,1)</f>
        <v>1010.5</v>
      </c>
      <c r="S51" s="7" t="s">
        <v>164</v>
      </c>
      <c r="T51" s="8">
        <f ca="1">ROUNDUP(T49,1)</f>
        <v>818.5</v>
      </c>
      <c r="AB51" s="7" t="s">
        <v>164</v>
      </c>
      <c r="AC51" s="8">
        <f ca="1">ROUNDUP(AC49,1)</f>
        <v>652.20000000000005</v>
      </c>
    </row>
  </sheetData>
  <protectedRanges>
    <protectedRange sqref="A1 J1 S1 AB1" name="WT and POH values"/>
    <protectedRange sqref="C5:G13" name="WT and POH values_1"/>
    <protectedRange sqref="L5:P13" name="WT and POH values_1_1"/>
    <protectedRange sqref="U5:Y13" name="WT and POH Values_2"/>
    <protectedRange sqref="AD5:AH13" name="WT and POH Values_3"/>
  </protectedRanges>
  <mergeCells count="8">
    <mergeCell ref="AB1:AH1"/>
    <mergeCell ref="AB15:AC15"/>
    <mergeCell ref="A15:B15"/>
    <mergeCell ref="A1:G1"/>
    <mergeCell ref="J1:P1"/>
    <mergeCell ref="J15:K15"/>
    <mergeCell ref="S1:Y1"/>
    <mergeCell ref="S15:T15"/>
  </mergeCells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B54A-FE7F-4FD4-89FF-CC7370E01FE3}">
  <sheetPr>
    <tabColor theme="5" tint="0.79998168889431442"/>
  </sheetPr>
  <dimension ref="A1:AH51"/>
  <sheetViews>
    <sheetView topLeftCell="A8" zoomScale="93" zoomScaleNormal="70" workbookViewId="0">
      <selection activeCell="B22" sqref="B22"/>
    </sheetView>
  </sheetViews>
  <sheetFormatPr defaultRowHeight="14.45"/>
  <cols>
    <col min="1" max="1" width="37.28515625" bestFit="1" customWidth="1"/>
    <col min="2" max="2" width="10.140625" bestFit="1" customWidth="1"/>
    <col min="3" max="3" width="13.42578125" bestFit="1" customWidth="1"/>
    <col min="4" max="7" width="7.42578125" bestFit="1" customWidth="1"/>
    <col min="8" max="8" width="4.85546875" bestFit="1" customWidth="1"/>
    <col min="10" max="10" width="37.28515625" bestFit="1" customWidth="1"/>
    <col min="11" max="11" width="10.140625" bestFit="1" customWidth="1"/>
    <col min="12" max="12" width="13.42578125" bestFit="1" customWidth="1"/>
    <col min="13" max="16" width="7.42578125" bestFit="1" customWidth="1"/>
    <col min="19" max="19" width="37.28515625" bestFit="1" customWidth="1"/>
    <col min="20" max="20" width="10.140625" bestFit="1" customWidth="1"/>
    <col min="21" max="21" width="13.42578125" bestFit="1" customWidth="1"/>
    <col min="22" max="25" width="7.42578125" bestFit="1" customWidth="1"/>
    <col min="28" max="28" width="37.28515625" bestFit="1" customWidth="1"/>
    <col min="29" max="29" width="10.140625" bestFit="1" customWidth="1"/>
    <col min="30" max="30" width="13.42578125" bestFit="1" customWidth="1"/>
    <col min="31" max="34" width="7.42578125" bestFit="1" customWidth="1"/>
  </cols>
  <sheetData>
    <row r="1" spans="1:34">
      <c r="A1" s="282">
        <v>2550</v>
      </c>
      <c r="B1" s="282"/>
      <c r="C1" s="282"/>
      <c r="D1" s="282"/>
      <c r="E1" s="282"/>
      <c r="F1" s="282"/>
      <c r="G1" s="282"/>
      <c r="J1" s="282">
        <v>2300</v>
      </c>
      <c r="K1" s="282"/>
      <c r="L1" s="282"/>
      <c r="M1" s="282"/>
      <c r="N1" s="282"/>
      <c r="O1" s="282"/>
      <c r="P1" s="282"/>
      <c r="S1" s="282">
        <v>2100</v>
      </c>
      <c r="T1" s="282"/>
      <c r="U1" s="282"/>
      <c r="V1" s="282"/>
      <c r="W1" s="282"/>
      <c r="X1" s="282"/>
      <c r="Y1" s="282"/>
      <c r="AB1" s="282">
        <v>1900</v>
      </c>
      <c r="AC1" s="282"/>
      <c r="AD1" s="282"/>
      <c r="AE1" s="282"/>
      <c r="AF1" s="282"/>
      <c r="AG1" s="282"/>
      <c r="AH1" s="282"/>
    </row>
    <row r="2" spans="1:34">
      <c r="A2" s="109" t="s">
        <v>165</v>
      </c>
      <c r="J2" s="109" t="s">
        <v>165</v>
      </c>
      <c r="S2" s="109" t="s">
        <v>165</v>
      </c>
      <c r="AB2" s="109" t="s">
        <v>165</v>
      </c>
    </row>
    <row r="3" spans="1:34">
      <c r="C3" s="3" t="s">
        <v>140</v>
      </c>
      <c r="D3" s="3"/>
      <c r="E3" s="3"/>
      <c r="F3" s="3"/>
      <c r="G3" s="3"/>
      <c r="L3" s="3" t="s">
        <v>140</v>
      </c>
      <c r="M3" s="3"/>
      <c r="N3" s="3"/>
      <c r="O3" s="3"/>
      <c r="P3" s="3"/>
      <c r="U3" s="3" t="s">
        <v>140</v>
      </c>
      <c r="V3" s="3"/>
      <c r="W3" s="3"/>
      <c r="X3" s="3"/>
      <c r="Y3" s="3"/>
      <c r="AD3" s="3" t="s">
        <v>140</v>
      </c>
      <c r="AE3" s="3"/>
      <c r="AF3" s="3"/>
      <c r="AG3" s="3"/>
      <c r="AH3" s="3"/>
    </row>
    <row r="4" spans="1:34" ht="14.45" customHeight="1">
      <c r="C4" s="3">
        <v>0</v>
      </c>
      <c r="D4" s="3">
        <v>10</v>
      </c>
      <c r="E4" s="3">
        <v>20</v>
      </c>
      <c r="F4" s="3">
        <v>30</v>
      </c>
      <c r="G4" s="3">
        <v>40</v>
      </c>
      <c r="L4" s="3">
        <v>0</v>
      </c>
      <c r="M4" s="3">
        <v>10</v>
      </c>
      <c r="N4" s="3">
        <v>20</v>
      </c>
      <c r="O4" s="3">
        <v>30</v>
      </c>
      <c r="P4" s="3">
        <v>40</v>
      </c>
      <c r="U4" s="3">
        <v>0</v>
      </c>
      <c r="V4" s="3">
        <v>10</v>
      </c>
      <c r="W4" s="3">
        <v>20</v>
      </c>
      <c r="X4" s="3">
        <v>30</v>
      </c>
      <c r="Y4" s="3">
        <v>40</v>
      </c>
      <c r="AD4" s="3">
        <v>0</v>
      </c>
      <c r="AE4" s="3">
        <v>10</v>
      </c>
      <c r="AF4" s="3">
        <v>20</v>
      </c>
      <c r="AG4" s="3">
        <v>30</v>
      </c>
      <c r="AH4" s="3">
        <v>40</v>
      </c>
    </row>
    <row r="5" spans="1:34" ht="14.45" customHeight="1">
      <c r="A5" s="6" t="s">
        <v>141</v>
      </c>
      <c r="B5" s="4">
        <v>0</v>
      </c>
      <c r="C5" s="96">
        <v>1300</v>
      </c>
      <c r="D5" s="96">
        <v>1390</v>
      </c>
      <c r="E5" s="96">
        <v>1490</v>
      </c>
      <c r="F5" s="96">
        <v>1590</v>
      </c>
      <c r="G5" s="96">
        <v>1700</v>
      </c>
      <c r="J5" s="6" t="s">
        <v>141</v>
      </c>
      <c r="K5" s="4">
        <v>0</v>
      </c>
      <c r="L5" s="96">
        <v>1300</v>
      </c>
      <c r="M5" s="96">
        <v>1390</v>
      </c>
      <c r="N5" s="96">
        <v>1490</v>
      </c>
      <c r="O5" s="96">
        <v>1590</v>
      </c>
      <c r="P5" s="96">
        <v>1700</v>
      </c>
      <c r="S5" s="6" t="s">
        <v>141</v>
      </c>
      <c r="T5" s="4">
        <v>0</v>
      </c>
      <c r="U5" s="96">
        <v>1070</v>
      </c>
      <c r="V5" s="96">
        <v>1140</v>
      </c>
      <c r="W5" s="96">
        <v>1220</v>
      </c>
      <c r="X5" s="96">
        <v>1300</v>
      </c>
      <c r="Y5" s="96">
        <v>1390</v>
      </c>
      <c r="AB5" s="6" t="s">
        <v>141</v>
      </c>
      <c r="AC5" s="4">
        <v>0</v>
      </c>
      <c r="AD5" s="96">
        <v>865</v>
      </c>
      <c r="AE5" s="96">
        <v>920</v>
      </c>
      <c r="AF5" s="96">
        <v>985</v>
      </c>
      <c r="AG5" s="96">
        <v>1045</v>
      </c>
      <c r="AH5" s="96">
        <v>1115</v>
      </c>
    </row>
    <row r="6" spans="1:34">
      <c r="A6" s="5"/>
      <c r="B6" s="4">
        <v>1000</v>
      </c>
      <c r="C6" s="96">
        <v>1420</v>
      </c>
      <c r="D6" s="96">
        <v>1525</v>
      </c>
      <c r="E6" s="96">
        <v>1630</v>
      </c>
      <c r="F6" s="96">
        <v>1745</v>
      </c>
      <c r="G6" s="96">
        <v>1865</v>
      </c>
      <c r="J6" s="5"/>
      <c r="K6" s="4">
        <v>1000</v>
      </c>
      <c r="L6" s="96">
        <v>1420</v>
      </c>
      <c r="M6" s="96">
        <v>1525</v>
      </c>
      <c r="N6" s="96">
        <v>1630</v>
      </c>
      <c r="O6" s="96">
        <v>1745</v>
      </c>
      <c r="P6" s="96">
        <v>1865</v>
      </c>
      <c r="S6" s="5"/>
      <c r="T6" s="4">
        <v>1000</v>
      </c>
      <c r="U6" s="96">
        <v>1165</v>
      </c>
      <c r="V6" s="96">
        <v>1245</v>
      </c>
      <c r="W6" s="96">
        <v>1330</v>
      </c>
      <c r="X6" s="96">
        <v>1420</v>
      </c>
      <c r="Y6" s="96">
        <v>1520</v>
      </c>
      <c r="AB6" s="5"/>
      <c r="AC6" s="4">
        <v>1000</v>
      </c>
      <c r="AD6" s="96">
        <v>940</v>
      </c>
      <c r="AE6" s="96">
        <v>1005</v>
      </c>
      <c r="AF6" s="96">
        <v>1070</v>
      </c>
      <c r="AG6" s="96">
        <v>1140</v>
      </c>
      <c r="AH6" s="96">
        <v>1215</v>
      </c>
    </row>
    <row r="7" spans="1:34">
      <c r="A7" s="5"/>
      <c r="B7" s="4">
        <v>2000</v>
      </c>
      <c r="C7" s="96">
        <v>1555</v>
      </c>
      <c r="D7" s="96">
        <v>1670</v>
      </c>
      <c r="E7" s="96">
        <v>1790</v>
      </c>
      <c r="F7" s="96">
        <v>1915</v>
      </c>
      <c r="G7" s="96">
        <v>2055</v>
      </c>
      <c r="J7" s="5"/>
      <c r="K7" s="4">
        <v>2000</v>
      </c>
      <c r="L7" s="96">
        <v>1555</v>
      </c>
      <c r="M7" s="96">
        <v>1670</v>
      </c>
      <c r="N7" s="96">
        <v>1790</v>
      </c>
      <c r="O7" s="96">
        <v>1915</v>
      </c>
      <c r="P7" s="96">
        <v>2055</v>
      </c>
      <c r="S7" s="5"/>
      <c r="T7" s="4">
        <v>2000</v>
      </c>
      <c r="U7" s="96">
        <v>1270</v>
      </c>
      <c r="V7" s="96">
        <v>1360</v>
      </c>
      <c r="W7" s="96">
        <v>1455</v>
      </c>
      <c r="X7" s="96">
        <v>1555</v>
      </c>
      <c r="Y7" s="96">
        <v>1665</v>
      </c>
      <c r="AB7" s="5"/>
      <c r="AC7" s="4">
        <v>2000</v>
      </c>
      <c r="AD7" s="96">
        <v>1025</v>
      </c>
      <c r="AE7" s="96">
        <v>1095</v>
      </c>
      <c r="AF7" s="96">
        <v>1170</v>
      </c>
      <c r="AG7" s="96">
        <v>1245</v>
      </c>
      <c r="AH7" s="96">
        <v>1330</v>
      </c>
    </row>
    <row r="8" spans="1:34">
      <c r="A8" s="5"/>
      <c r="B8" s="4">
        <v>3000</v>
      </c>
      <c r="C8" s="96">
        <v>1710</v>
      </c>
      <c r="D8" s="96">
        <v>1835</v>
      </c>
      <c r="E8" s="96">
        <v>1970</v>
      </c>
      <c r="F8" s="96">
        <v>2115</v>
      </c>
      <c r="G8" s="96">
        <v>2265</v>
      </c>
      <c r="J8" s="5"/>
      <c r="K8" s="4">
        <v>3000</v>
      </c>
      <c r="L8" s="96">
        <v>1710</v>
      </c>
      <c r="M8" s="96">
        <v>1835</v>
      </c>
      <c r="N8" s="96">
        <v>1970</v>
      </c>
      <c r="O8" s="96">
        <v>2115</v>
      </c>
      <c r="P8" s="96">
        <v>2265</v>
      </c>
      <c r="S8" s="5"/>
      <c r="T8" s="4">
        <v>3000</v>
      </c>
      <c r="U8" s="96">
        <v>1390</v>
      </c>
      <c r="V8" s="96">
        <v>1490</v>
      </c>
      <c r="W8" s="96">
        <v>1595</v>
      </c>
      <c r="X8" s="96">
        <v>1710</v>
      </c>
      <c r="Y8" s="96">
        <v>1830</v>
      </c>
      <c r="AB8" s="5"/>
      <c r="AC8" s="4">
        <v>3000</v>
      </c>
      <c r="AD8" s="96">
        <v>1115</v>
      </c>
      <c r="AE8" s="96">
        <v>1195</v>
      </c>
      <c r="AF8" s="96">
        <v>1275</v>
      </c>
      <c r="AG8" s="96">
        <v>1365</v>
      </c>
      <c r="AH8" s="96">
        <v>1455</v>
      </c>
    </row>
    <row r="9" spans="1:34">
      <c r="A9" s="5"/>
      <c r="B9" s="4">
        <v>4000</v>
      </c>
      <c r="C9" s="96">
        <v>1880</v>
      </c>
      <c r="D9" s="96">
        <v>2025</v>
      </c>
      <c r="E9" s="96">
        <v>2175</v>
      </c>
      <c r="F9" s="96">
        <v>2335</v>
      </c>
      <c r="G9" s="96">
        <v>2510</v>
      </c>
      <c r="J9" s="5"/>
      <c r="K9" s="4">
        <v>4000</v>
      </c>
      <c r="L9" s="96">
        <v>1880</v>
      </c>
      <c r="M9" s="96">
        <v>2025</v>
      </c>
      <c r="N9" s="96">
        <v>2175</v>
      </c>
      <c r="O9" s="96">
        <v>2335</v>
      </c>
      <c r="P9" s="96">
        <v>2510</v>
      </c>
      <c r="S9" s="5"/>
      <c r="T9" s="4">
        <v>4000</v>
      </c>
      <c r="U9" s="96">
        <v>1525</v>
      </c>
      <c r="V9" s="96">
        <v>1640</v>
      </c>
      <c r="W9" s="96">
        <v>1755</v>
      </c>
      <c r="X9" s="96">
        <v>1880</v>
      </c>
      <c r="Y9" s="96">
        <v>2015</v>
      </c>
      <c r="AB9" s="5"/>
      <c r="AC9" s="4">
        <v>4000</v>
      </c>
      <c r="AD9" s="96">
        <v>1220</v>
      </c>
      <c r="AE9" s="96">
        <v>1305</v>
      </c>
      <c r="AF9" s="96">
        <v>1400</v>
      </c>
      <c r="AG9" s="96">
        <v>1495</v>
      </c>
      <c r="AH9" s="96">
        <v>1595</v>
      </c>
    </row>
    <row r="10" spans="1:34">
      <c r="A10" s="5"/>
      <c r="B10" s="4">
        <v>5000</v>
      </c>
      <c r="C10" s="96">
        <v>2075</v>
      </c>
      <c r="D10" s="96">
        <v>2240</v>
      </c>
      <c r="E10" s="96">
        <v>2410</v>
      </c>
      <c r="F10" s="96">
        <v>2595</v>
      </c>
      <c r="G10" s="96">
        <v>2795</v>
      </c>
      <c r="J10" s="5"/>
      <c r="K10" s="4">
        <v>5000</v>
      </c>
      <c r="L10" s="96">
        <v>2075</v>
      </c>
      <c r="M10" s="96">
        <v>2240</v>
      </c>
      <c r="N10" s="96">
        <v>2410</v>
      </c>
      <c r="O10" s="96">
        <v>2595</v>
      </c>
      <c r="P10" s="96">
        <v>2795</v>
      </c>
      <c r="S10" s="5"/>
      <c r="T10" s="4">
        <v>5000</v>
      </c>
      <c r="U10" s="96">
        <v>1680</v>
      </c>
      <c r="V10" s="96">
        <v>1805</v>
      </c>
      <c r="W10" s="96">
        <v>1936</v>
      </c>
      <c r="X10" s="96">
        <v>2075</v>
      </c>
      <c r="Y10" s="96">
        <v>2230</v>
      </c>
      <c r="AB10" s="5"/>
      <c r="AC10" s="4">
        <v>5000</v>
      </c>
      <c r="AD10" s="96">
        <v>1340</v>
      </c>
      <c r="AE10" s="96">
        <v>1435</v>
      </c>
      <c r="AF10" s="96">
        <v>1535</v>
      </c>
      <c r="AG10" s="96">
        <v>1640</v>
      </c>
      <c r="AH10" s="96">
        <v>1755</v>
      </c>
    </row>
    <row r="11" spans="1:34">
      <c r="A11" s="5"/>
      <c r="B11" s="4">
        <v>6000</v>
      </c>
      <c r="C11" s="96">
        <v>2305</v>
      </c>
      <c r="D11" s="96">
        <v>2485</v>
      </c>
      <c r="E11" s="96">
        <v>2680</v>
      </c>
      <c r="F11" s="96">
        <v>2895</v>
      </c>
      <c r="G11" s="96">
        <v>3125</v>
      </c>
      <c r="J11" s="5"/>
      <c r="K11" s="4">
        <v>6000</v>
      </c>
      <c r="L11" s="96">
        <v>2305</v>
      </c>
      <c r="M11" s="96">
        <v>2485</v>
      </c>
      <c r="N11" s="96">
        <v>2680</v>
      </c>
      <c r="O11" s="96">
        <v>2895</v>
      </c>
      <c r="P11" s="96">
        <v>3125</v>
      </c>
      <c r="S11" s="5"/>
      <c r="T11" s="4">
        <v>6000</v>
      </c>
      <c r="U11" s="96">
        <v>1850</v>
      </c>
      <c r="V11" s="96">
        <v>1990</v>
      </c>
      <c r="W11" s="96">
        <v>2140</v>
      </c>
      <c r="X11" s="96">
        <v>2300</v>
      </c>
      <c r="Y11" s="96">
        <v>2475</v>
      </c>
      <c r="AB11" s="5"/>
      <c r="AC11" s="4">
        <v>6000</v>
      </c>
      <c r="AD11" s="96">
        <v>1470</v>
      </c>
      <c r="AE11" s="96">
        <v>1575</v>
      </c>
      <c r="AF11" s="96">
        <v>1690</v>
      </c>
      <c r="AG11" s="96">
        <v>1810</v>
      </c>
      <c r="AH11" s="96">
        <v>1940</v>
      </c>
    </row>
    <row r="12" spans="1:34">
      <c r="A12" s="5"/>
      <c r="B12" s="4">
        <v>7000</v>
      </c>
      <c r="C12" s="96">
        <v>2565</v>
      </c>
      <c r="D12" s="96">
        <v>2770</v>
      </c>
      <c r="E12" s="96">
        <v>3000</v>
      </c>
      <c r="F12" s="96">
        <v>3245</v>
      </c>
      <c r="G12" s="96">
        <v>3515</v>
      </c>
      <c r="J12" s="5"/>
      <c r="K12" s="4">
        <v>7000</v>
      </c>
      <c r="L12" s="96">
        <v>2565</v>
      </c>
      <c r="M12" s="96">
        <v>2770</v>
      </c>
      <c r="N12" s="96">
        <v>3000</v>
      </c>
      <c r="O12" s="96">
        <v>3245</v>
      </c>
      <c r="P12" s="96">
        <v>3515</v>
      </c>
      <c r="S12" s="5"/>
      <c r="T12" s="4">
        <v>7000</v>
      </c>
      <c r="U12" s="96">
        <v>2050</v>
      </c>
      <c r="V12" s="96">
        <v>2210</v>
      </c>
      <c r="W12" s="96">
        <v>2380</v>
      </c>
      <c r="X12" s="96">
        <v>2560</v>
      </c>
      <c r="Y12" s="96">
        <v>2755</v>
      </c>
      <c r="AB12" s="5"/>
      <c r="AC12" s="4">
        <v>7000</v>
      </c>
      <c r="AD12" s="96">
        <v>1620</v>
      </c>
      <c r="AE12" s="96">
        <v>1740</v>
      </c>
      <c r="AF12" s="96">
        <v>1865</v>
      </c>
      <c r="AG12" s="96">
        <v>2000</v>
      </c>
      <c r="AH12" s="96">
        <v>2145</v>
      </c>
    </row>
    <row r="13" spans="1:34">
      <c r="A13" s="5"/>
      <c r="B13" s="4">
        <v>8000</v>
      </c>
      <c r="C13" s="96">
        <v>2870</v>
      </c>
      <c r="D13" s="96">
        <v>3110</v>
      </c>
      <c r="E13" s="96">
        <v>3375</v>
      </c>
      <c r="F13" s="96">
        <v>3670</v>
      </c>
      <c r="G13" s="96">
        <v>3990</v>
      </c>
      <c r="J13" s="5"/>
      <c r="K13" s="4">
        <v>8000</v>
      </c>
      <c r="L13" s="96">
        <v>2870</v>
      </c>
      <c r="M13" s="96">
        <v>3110</v>
      </c>
      <c r="N13" s="96">
        <v>3375</v>
      </c>
      <c r="O13" s="96">
        <v>3670</v>
      </c>
      <c r="P13" s="96">
        <v>3990</v>
      </c>
      <c r="S13" s="5"/>
      <c r="T13" s="4">
        <v>8000</v>
      </c>
      <c r="U13" s="96">
        <v>2275</v>
      </c>
      <c r="V13" s="96">
        <v>2460</v>
      </c>
      <c r="W13" s="96">
        <v>2655</v>
      </c>
      <c r="X13" s="96">
        <v>2865</v>
      </c>
      <c r="Y13" s="96">
        <v>3090</v>
      </c>
      <c r="AB13" s="5"/>
      <c r="AC13" s="4">
        <v>8000</v>
      </c>
      <c r="AD13" s="96">
        <v>1790</v>
      </c>
      <c r="AE13" s="96">
        <v>1925</v>
      </c>
      <c r="AF13" s="96">
        <v>2065</v>
      </c>
      <c r="AG13" s="96">
        <v>2220</v>
      </c>
      <c r="AH13" s="96">
        <v>2385</v>
      </c>
    </row>
    <row r="14" spans="1:34" ht="15" thickBot="1"/>
    <row r="15" spans="1:34">
      <c r="A15" s="283" t="s">
        <v>142</v>
      </c>
      <c r="B15" s="284"/>
      <c r="J15" s="283" t="s">
        <v>142</v>
      </c>
      <c r="K15" s="284"/>
      <c r="S15" s="283" t="s">
        <v>142</v>
      </c>
      <c r="T15" s="284"/>
      <c r="AB15" s="283" t="s">
        <v>142</v>
      </c>
      <c r="AC15" s="284"/>
    </row>
    <row r="16" spans="1:34">
      <c r="A16" s="110" t="s">
        <v>141</v>
      </c>
      <c r="B16" s="111" t="s">
        <v>143</v>
      </c>
      <c r="J16" s="110" t="s">
        <v>141</v>
      </c>
      <c r="K16" s="111" t="s">
        <v>143</v>
      </c>
      <c r="S16" s="110" t="s">
        <v>141</v>
      </c>
      <c r="T16" s="111" t="s">
        <v>143</v>
      </c>
      <c r="AB16" s="110" t="s">
        <v>141</v>
      </c>
      <c r="AC16" s="111" t="s">
        <v>143</v>
      </c>
    </row>
    <row r="17" spans="1:31">
      <c r="A17" s="110">
        <f>'172'!$B$7</f>
        <v>2175.0000000000027</v>
      </c>
      <c r="B17" s="111">
        <f>'172'!$C$7</f>
        <v>19</v>
      </c>
      <c r="J17" s="110">
        <f>'172'!$B$7</f>
        <v>2175.0000000000027</v>
      </c>
      <c r="K17" s="111">
        <f>'172'!$C$7</f>
        <v>19</v>
      </c>
      <c r="S17" s="110">
        <f>'172'!$B$7</f>
        <v>2175.0000000000027</v>
      </c>
      <c r="T17" s="111">
        <f>'172'!$C$7</f>
        <v>19</v>
      </c>
      <c r="AB17" s="110">
        <f>'172'!$B$7</f>
        <v>2175.0000000000027</v>
      </c>
      <c r="AC17" s="111">
        <f>'172'!$C$7</f>
        <v>19</v>
      </c>
    </row>
    <row r="18" spans="1:31">
      <c r="A18" s="9"/>
      <c r="B18" s="112"/>
      <c r="J18" s="9"/>
      <c r="K18" s="112"/>
      <c r="S18" s="9"/>
      <c r="T18" s="112"/>
      <c r="AB18" s="9"/>
      <c r="AC18" s="112"/>
    </row>
    <row r="19" spans="1:31" ht="15" thickBot="1">
      <c r="A19" s="10" t="s">
        <v>165</v>
      </c>
      <c r="B19" s="113">
        <f ca="1">B51</f>
        <v>1809.3</v>
      </c>
      <c r="J19" s="10" t="s">
        <v>165</v>
      </c>
      <c r="K19" s="113">
        <f ca="1">K51</f>
        <v>1809.3</v>
      </c>
      <c r="S19" s="10" t="s">
        <v>165</v>
      </c>
      <c r="T19" s="113">
        <f ca="1">T51</f>
        <v>1469.8999999999999</v>
      </c>
      <c r="AB19" s="10" t="s">
        <v>165</v>
      </c>
      <c r="AC19" s="113">
        <f ca="1">AC51</f>
        <v>1180.8</v>
      </c>
    </row>
    <row r="22" spans="1:31">
      <c r="A22" t="s">
        <v>145</v>
      </c>
      <c r="B22">
        <f>VLOOKUP(A17,B5:B13,1)</f>
        <v>2000</v>
      </c>
      <c r="J22" t="s">
        <v>145</v>
      </c>
      <c r="K22">
        <f>VLOOKUP(J17,K5:K13,1)</f>
        <v>2000</v>
      </c>
      <c r="S22" t="s">
        <v>145</v>
      </c>
      <c r="T22">
        <f>VLOOKUP(S17,T5:T13,1)</f>
        <v>2000</v>
      </c>
      <c r="AB22" t="s">
        <v>145</v>
      </c>
      <c r="AC22">
        <f>VLOOKUP(AB17,AC5:AC13,1)</f>
        <v>2000</v>
      </c>
    </row>
    <row r="23" spans="1:31">
      <c r="A23" t="s">
        <v>146</v>
      </c>
      <c r="B23" cm="1">
        <f t="array" ref="B23">INDEX(B5:B13,MATCH(A17,B5:B13,1)+1)</f>
        <v>3000</v>
      </c>
      <c r="J23" t="s">
        <v>146</v>
      </c>
      <c r="K23" cm="1">
        <f t="array" ref="K23">INDEX(K5:K13,MATCH(J17,K5:K13,1)+1)</f>
        <v>3000</v>
      </c>
      <c r="S23" t="s">
        <v>146</v>
      </c>
      <c r="T23" cm="1">
        <f t="array" ref="T23">INDEX(T5:T13,MATCH(S17,T5:T13,1)+1)</f>
        <v>3000</v>
      </c>
      <c r="AB23" t="s">
        <v>146</v>
      </c>
      <c r="AC23" cm="1">
        <f t="array" ref="AC23">INDEX(AC5:AC13,MATCH(AB17,AC5:AC13,1)+1)</f>
        <v>3000</v>
      </c>
    </row>
    <row r="25" spans="1:31" ht="28.9">
      <c r="A25" s="2" t="s">
        <v>147</v>
      </c>
      <c r="B25">
        <f>ROW(B5)</f>
        <v>5</v>
      </c>
      <c r="J25" s="2" t="s">
        <v>147</v>
      </c>
      <c r="K25">
        <f>ROW(K5)</f>
        <v>5</v>
      </c>
      <c r="S25" s="2" t="s">
        <v>147</v>
      </c>
      <c r="T25">
        <f>ROW(T5)</f>
        <v>5</v>
      </c>
      <c r="AB25" s="2" t="s">
        <v>147</v>
      </c>
      <c r="AC25">
        <f>ROW(AC5)</f>
        <v>5</v>
      </c>
    </row>
    <row r="26" spans="1:31" ht="28.9">
      <c r="A26" s="2" t="s">
        <v>148</v>
      </c>
      <c r="B26">
        <f>COLUMN(C4)</f>
        <v>3</v>
      </c>
      <c r="J26" s="2" t="s">
        <v>148</v>
      </c>
      <c r="K26">
        <f>COLUMN(L4)</f>
        <v>12</v>
      </c>
      <c r="S26" s="2" t="s">
        <v>148</v>
      </c>
      <c r="T26">
        <f>COLUMN(U4)</f>
        <v>21</v>
      </c>
      <c r="AB26" s="2" t="s">
        <v>148</v>
      </c>
      <c r="AC26">
        <f>COLUMN(AD4)</f>
        <v>30</v>
      </c>
    </row>
    <row r="28" spans="1:31">
      <c r="A28" t="s">
        <v>149</v>
      </c>
      <c r="B28">
        <f>(((MATCH(B22,B5:B13,0))+B25)-1)</f>
        <v>7</v>
      </c>
      <c r="D28" s="114"/>
      <c r="J28" t="s">
        <v>149</v>
      </c>
      <c r="K28">
        <f>(((MATCH(K22,K5:K13,0))+K25)-1)</f>
        <v>7</v>
      </c>
      <c r="M28" s="114"/>
      <c r="S28" t="s">
        <v>149</v>
      </c>
      <c r="T28">
        <f>(((MATCH(T22,T5:T13,0))+T25)-1)</f>
        <v>7</v>
      </c>
      <c r="V28" s="114"/>
      <c r="AB28" t="s">
        <v>149</v>
      </c>
      <c r="AC28">
        <f>(((MATCH(AC22,AC5:AC13,0))+AC25)-1)</f>
        <v>7</v>
      </c>
      <c r="AE28" s="114"/>
    </row>
    <row r="29" spans="1:31">
      <c r="A29" t="s">
        <v>150</v>
      </c>
      <c r="B29">
        <f>B28+1</f>
        <v>8</v>
      </c>
      <c r="J29" t="s">
        <v>150</v>
      </c>
      <c r="K29">
        <f>K28+1</f>
        <v>8</v>
      </c>
      <c r="S29" t="s">
        <v>150</v>
      </c>
      <c r="T29">
        <f>T28+1</f>
        <v>8</v>
      </c>
      <c r="AB29" t="s">
        <v>150</v>
      </c>
      <c r="AC29">
        <f>AC28+1</f>
        <v>8</v>
      </c>
    </row>
    <row r="31" spans="1:31">
      <c r="A31" t="s">
        <v>151</v>
      </c>
      <c r="B31">
        <f>HLOOKUP(B17,C4:G4,1)</f>
        <v>10</v>
      </c>
      <c r="J31" t="s">
        <v>151</v>
      </c>
      <c r="K31">
        <f>HLOOKUP(K17,L4:P4,1)</f>
        <v>10</v>
      </c>
      <c r="S31" t="s">
        <v>151</v>
      </c>
      <c r="T31">
        <f>HLOOKUP(T17,U4:Y4,1)</f>
        <v>10</v>
      </c>
      <c r="AB31" t="s">
        <v>151</v>
      </c>
      <c r="AC31">
        <f>HLOOKUP(AC17,AD4:AH4,1)</f>
        <v>10</v>
      </c>
    </row>
    <row r="32" spans="1:31">
      <c r="A32" t="s">
        <v>152</v>
      </c>
      <c r="B32" cm="1">
        <f t="array" ref="B32">IF(B17&gt;=MAX(C4:G4),MAX(C4:G4),INDEX(C4:G4,MATCH(B17,C4:G4,1)+1))</f>
        <v>20</v>
      </c>
      <c r="J32" t="s">
        <v>152</v>
      </c>
      <c r="K32" cm="1">
        <f t="array" ref="K32">IF(K17&gt;=MAX(L4:P4),MAX(L4:P4),INDEX(L4:P4,MATCH(K17,L4:P4,1)+1))</f>
        <v>20</v>
      </c>
      <c r="S32" t="s">
        <v>152</v>
      </c>
      <c r="T32" cm="1">
        <f t="array" ref="T32">IF(T17&gt;=MAX(U4:Y4),MAX(U4:Y4),INDEX(U4:Y4,MATCH(T17,U4:Y4,1)+1))</f>
        <v>20</v>
      </c>
      <c r="AB32" t="s">
        <v>152</v>
      </c>
      <c r="AC32" cm="1">
        <f t="array" ref="AC32">IF(AC17&gt;=MAX(AD4:AH4),MAX(AD4:AH4),INDEX(AD4:AH4,MATCH(AC17,AD4:AH4,1)+1))</f>
        <v>20</v>
      </c>
    </row>
    <row r="34" spans="1:29">
      <c r="A34" t="s">
        <v>153</v>
      </c>
      <c r="B34">
        <f>(((MATCH(B31,C4:G4,0))+B26)-1)</f>
        <v>4</v>
      </c>
      <c r="J34" t="s">
        <v>153</v>
      </c>
      <c r="K34">
        <f>(((MATCH(K31,L4:P4,0))+K26)-1)</f>
        <v>13</v>
      </c>
      <c r="S34" t="s">
        <v>153</v>
      </c>
      <c r="T34">
        <f>(((MATCH(T31,U4:Y4,0))+T26)-1)</f>
        <v>22</v>
      </c>
      <c r="AB34" t="s">
        <v>153</v>
      </c>
      <c r="AC34">
        <f>(((MATCH(AC31,AD4:AH4,0))+AC26)-1)</f>
        <v>31</v>
      </c>
    </row>
    <row r="35" spans="1:29">
      <c r="A35" t="s">
        <v>154</v>
      </c>
      <c r="B35">
        <f>((((MATCH(B31,C4:G4,0))+B26)-1)+1)</f>
        <v>5</v>
      </c>
      <c r="J35" t="s">
        <v>154</v>
      </c>
      <c r="K35">
        <f>((((MATCH(K31,L4:P4,0))+K26)-1)+1)</f>
        <v>14</v>
      </c>
      <c r="S35" t="s">
        <v>154</v>
      </c>
      <c r="T35">
        <f>((((MATCH(T31,U4:Y4,0))+T26)-1)+1)</f>
        <v>23</v>
      </c>
      <c r="AB35" t="s">
        <v>154</v>
      </c>
      <c r="AC35">
        <f>((((MATCH(AC31,AD4:AH4,0))+AC26)-1)+1)</f>
        <v>32</v>
      </c>
    </row>
    <row r="37" spans="1:29">
      <c r="A37" t="s">
        <v>155</v>
      </c>
      <c r="B37" s="115" cm="1">
        <f t="array" aca="1" ref="B37" ca="1">INDIRECT(ADDRESS(B28,B34))</f>
        <v>1670</v>
      </c>
      <c r="J37" t="s">
        <v>155</v>
      </c>
      <c r="K37" s="115" cm="1">
        <f t="array" aca="1" ref="K37" ca="1">INDIRECT(ADDRESS(K28,K34))</f>
        <v>1670</v>
      </c>
      <c r="S37" t="s">
        <v>155</v>
      </c>
      <c r="T37" s="115" cm="1">
        <f t="array" aca="1" ref="T37" ca="1">INDIRECT(ADDRESS(T28,T34))</f>
        <v>1360</v>
      </c>
      <c r="AB37" t="s">
        <v>155</v>
      </c>
      <c r="AC37" s="115" cm="1">
        <f t="array" aca="1" ref="AC37" ca="1">INDIRECT(ADDRESS(AC28,AC34))</f>
        <v>1095</v>
      </c>
    </row>
    <row r="38" spans="1:29">
      <c r="A38" t="s">
        <v>156</v>
      </c>
      <c r="B38" s="115" cm="1">
        <f t="array" aca="1" ref="B38" ca="1">INDIRECT(ADDRESS(B29,B34))</f>
        <v>1835</v>
      </c>
      <c r="J38" t="s">
        <v>156</v>
      </c>
      <c r="K38" s="115" cm="1">
        <f t="array" aca="1" ref="K38" ca="1">INDIRECT(ADDRESS(K29,K34))</f>
        <v>1835</v>
      </c>
      <c r="S38" t="s">
        <v>156</v>
      </c>
      <c r="T38" s="115" cm="1">
        <f t="array" aca="1" ref="T38" ca="1">INDIRECT(ADDRESS(T29,T34))</f>
        <v>1490</v>
      </c>
      <c r="AB38" t="s">
        <v>156</v>
      </c>
      <c r="AC38" s="115" cm="1">
        <f t="array" aca="1" ref="AC38" ca="1">INDIRECT(ADDRESS(AC29,AC34))</f>
        <v>1195</v>
      </c>
    </row>
    <row r="39" spans="1:29">
      <c r="A39" t="s">
        <v>157</v>
      </c>
      <c r="B39" s="115" cm="1">
        <f t="array" aca="1" ref="B39" ca="1">INDIRECT(ADDRESS(B28,B35))</f>
        <v>1790</v>
      </c>
      <c r="J39" t="s">
        <v>157</v>
      </c>
      <c r="K39" s="115" cm="1">
        <f t="array" aca="1" ref="K39" ca="1">INDIRECT(ADDRESS(K28,K35))</f>
        <v>1790</v>
      </c>
      <c r="S39" t="s">
        <v>157</v>
      </c>
      <c r="T39" s="115" cm="1">
        <f t="array" aca="1" ref="T39" ca="1">INDIRECT(ADDRESS(T28,T35))</f>
        <v>1455</v>
      </c>
      <c r="AB39" t="s">
        <v>157</v>
      </c>
      <c r="AC39" s="115" cm="1">
        <f t="array" aca="1" ref="AC39" ca="1">INDIRECT(ADDRESS(AC28,AC35))</f>
        <v>1170</v>
      </c>
    </row>
    <row r="40" spans="1:29">
      <c r="A40" t="s">
        <v>158</v>
      </c>
      <c r="B40" s="115" cm="1">
        <f t="array" aca="1" ref="B40" ca="1">INDIRECT(ADDRESS(B29,B35))</f>
        <v>1970</v>
      </c>
      <c r="J40" t="s">
        <v>158</v>
      </c>
      <c r="K40" s="115" cm="1">
        <f t="array" aca="1" ref="K40" ca="1">INDIRECT(ADDRESS(K29,K35))</f>
        <v>1970</v>
      </c>
      <c r="S40" t="s">
        <v>158</v>
      </c>
      <c r="T40" s="115" cm="1">
        <f t="array" aca="1" ref="T40" ca="1">INDIRECT(ADDRESS(T29,T35))</f>
        <v>1595</v>
      </c>
      <c r="AB40" t="s">
        <v>158</v>
      </c>
      <c r="AC40" s="115" cm="1">
        <f t="array" aca="1" ref="AC40" ca="1">INDIRECT(ADDRESS(AC29,AC35))</f>
        <v>1275</v>
      </c>
    </row>
    <row r="42" spans="1:29">
      <c r="A42" t="s">
        <v>159</v>
      </c>
      <c r="B42" s="1">
        <f>(A17-B22)</f>
        <v>175.00000000000273</v>
      </c>
      <c r="J42" t="s">
        <v>159</v>
      </c>
      <c r="K42" s="1">
        <f>(J17-K22)</f>
        <v>175.00000000000273</v>
      </c>
      <c r="S42" t="s">
        <v>159</v>
      </c>
      <c r="T42" s="1">
        <f>(S17-T22)</f>
        <v>175.00000000000273</v>
      </c>
      <c r="AB42" t="s">
        <v>159</v>
      </c>
      <c r="AC42" s="1">
        <f>(AB17-AC22)</f>
        <v>175.00000000000273</v>
      </c>
    </row>
    <row r="44" spans="1:29">
      <c r="A44" t="s">
        <v>160</v>
      </c>
      <c r="B44" s="115">
        <f ca="1">((((B38-B37)/1000)*B42)+B37)</f>
        <v>1698.8750000000005</v>
      </c>
      <c r="J44" t="s">
        <v>160</v>
      </c>
      <c r="K44" s="115">
        <f ca="1">((((K38-K37)/1000)*K42)+K37)</f>
        <v>1698.8750000000005</v>
      </c>
      <c r="S44" t="s">
        <v>160</v>
      </c>
      <c r="T44" s="115">
        <f ca="1">((((T38-T37)/1000)*T42)+T37)</f>
        <v>1382.7500000000005</v>
      </c>
      <c r="AB44" t="s">
        <v>160</v>
      </c>
      <c r="AC44" s="115">
        <f ca="1">((((AC38-AC37)/1000)*AC42)+AC37)</f>
        <v>1112.5000000000002</v>
      </c>
    </row>
    <row r="45" spans="1:29">
      <c r="A45" t="s">
        <v>161</v>
      </c>
      <c r="B45" s="115">
        <f ca="1">((((B40-B39)/1000)*B42)+B39)</f>
        <v>1821.5000000000005</v>
      </c>
      <c r="J45" t="s">
        <v>161</v>
      </c>
      <c r="K45" s="115">
        <f ca="1">((((K40-K39)/1000)*K42)+K39)</f>
        <v>1821.5000000000005</v>
      </c>
      <c r="S45" t="s">
        <v>161</v>
      </c>
      <c r="T45" s="115">
        <f ca="1">((((T40-T39)/1000)*T42)+T39)</f>
        <v>1479.5000000000005</v>
      </c>
      <c r="AB45" t="s">
        <v>161</v>
      </c>
      <c r="AC45" s="115">
        <f ca="1">((((AC40-AC39)/1000)*AC42)+AC39)</f>
        <v>1188.3750000000002</v>
      </c>
    </row>
    <row r="47" spans="1:29">
      <c r="A47" t="s">
        <v>162</v>
      </c>
      <c r="B47">
        <f>B17-B31</f>
        <v>9</v>
      </c>
      <c r="J47" t="s">
        <v>162</v>
      </c>
      <c r="K47">
        <f>K17-K31</f>
        <v>9</v>
      </c>
      <c r="S47" t="s">
        <v>162</v>
      </c>
      <c r="T47">
        <f>T17-T31</f>
        <v>9</v>
      </c>
      <c r="AB47" t="s">
        <v>162</v>
      </c>
      <c r="AC47">
        <f>AC17-AC31</f>
        <v>9</v>
      </c>
    </row>
    <row r="49" spans="1:29">
      <c r="A49" t="s">
        <v>163</v>
      </c>
      <c r="B49" s="116">
        <f ca="1">((((B45-B44)/10)*B47)+B44)</f>
        <v>1809.2375000000004</v>
      </c>
      <c r="J49" t="s">
        <v>163</v>
      </c>
      <c r="K49" s="116">
        <f ca="1">((((K45-K44)/10)*K47)+K44)</f>
        <v>1809.2375000000004</v>
      </c>
      <c r="S49" t="s">
        <v>163</v>
      </c>
      <c r="T49" s="116">
        <f ca="1">((((T45-T44)/10)*T47)+T44)</f>
        <v>1469.8250000000005</v>
      </c>
      <c r="AB49" t="s">
        <v>163</v>
      </c>
      <c r="AC49" s="116">
        <f ca="1">((((AC45-AC44)/10)*AC47)+AC44)</f>
        <v>1180.7875000000001</v>
      </c>
    </row>
    <row r="51" spans="1:29">
      <c r="A51" s="7" t="s">
        <v>164</v>
      </c>
      <c r="B51" s="8">
        <f ca="1">ROUNDUP(B49,1)</f>
        <v>1809.3</v>
      </c>
      <c r="J51" s="7" t="s">
        <v>164</v>
      </c>
      <c r="K51" s="8">
        <f ca="1">ROUNDUP(K49,1)</f>
        <v>1809.3</v>
      </c>
      <c r="S51" s="7" t="s">
        <v>164</v>
      </c>
      <c r="T51" s="8">
        <f ca="1">ROUNDUP(T49,1)</f>
        <v>1469.8999999999999</v>
      </c>
      <c r="AB51" s="7" t="s">
        <v>164</v>
      </c>
      <c r="AC51" s="8">
        <f ca="1">ROUNDUP(AC49,1)</f>
        <v>1180.8</v>
      </c>
    </row>
  </sheetData>
  <protectedRanges>
    <protectedRange sqref="A1 J1 S1 AB1" name="WT and POH values"/>
    <protectedRange sqref="AD5:AH13" name="WT and POH Values_7"/>
    <protectedRange sqref="U5:Y13" name="WT and POH Values_6"/>
    <protectedRange sqref="L5:P13" name="WT and POH Values_1_2"/>
    <protectedRange sqref="C5:G13" name="WT and POH Values_4"/>
  </protectedRanges>
  <mergeCells count="8">
    <mergeCell ref="A1:G1"/>
    <mergeCell ref="J1:P1"/>
    <mergeCell ref="S1:Y1"/>
    <mergeCell ref="AB1:AH1"/>
    <mergeCell ref="A15:B15"/>
    <mergeCell ref="J15:K15"/>
    <mergeCell ref="S15:T15"/>
    <mergeCell ref="AB15:AC15"/>
  </mergeCells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0D34-B6FC-4053-AE27-B81162CB3CAF}">
  <sheetPr>
    <tabColor theme="5" tint="0.79998168889431442"/>
  </sheetPr>
  <dimension ref="A1:V76"/>
  <sheetViews>
    <sheetView topLeftCell="B10" zoomScale="70" zoomScaleNormal="70" workbookViewId="0">
      <selection activeCell="Q23" sqref="Q23"/>
    </sheetView>
  </sheetViews>
  <sheetFormatPr defaultRowHeight="20.100000000000001" customHeight="1"/>
  <cols>
    <col min="1" max="1" width="38.85546875" bestFit="1" customWidth="1"/>
    <col min="2" max="12" width="15.5703125" customWidth="1"/>
    <col min="13" max="13" width="38.85546875" bestFit="1" customWidth="1"/>
    <col min="14" max="16" width="15.5703125" customWidth="1"/>
    <col min="17" max="20" width="8.5703125" bestFit="1" customWidth="1"/>
    <col min="21" max="21" width="9.7109375" bestFit="1" customWidth="1"/>
  </cols>
  <sheetData>
    <row r="1" spans="1:22" ht="20.100000000000001" customHeight="1">
      <c r="A1" s="289" t="s">
        <v>217</v>
      </c>
      <c r="B1" s="290"/>
      <c r="C1" s="290"/>
      <c r="D1" s="290"/>
      <c r="E1" s="290"/>
      <c r="F1" s="290"/>
      <c r="G1" s="290"/>
      <c r="M1" s="289" t="s">
        <v>218</v>
      </c>
      <c r="N1" s="290"/>
      <c r="O1" s="290"/>
      <c r="P1" s="290"/>
      <c r="Q1" s="290"/>
      <c r="R1" s="290"/>
      <c r="S1" s="290"/>
    </row>
    <row r="2" spans="1:22" ht="20.100000000000001" customHeight="1">
      <c r="A2" s="290"/>
      <c r="B2" s="290"/>
      <c r="C2" s="290"/>
      <c r="D2" s="290"/>
      <c r="E2" s="290"/>
      <c r="F2" s="290"/>
      <c r="G2" s="290"/>
      <c r="M2" s="290"/>
      <c r="N2" s="290"/>
      <c r="O2" s="290"/>
      <c r="P2" s="290"/>
      <c r="Q2" s="290"/>
      <c r="R2" s="290"/>
      <c r="S2" s="290"/>
    </row>
    <row r="3" spans="1:22" ht="20.100000000000001" customHeight="1">
      <c r="C3" s="3" t="s">
        <v>140</v>
      </c>
      <c r="D3" s="3"/>
      <c r="E3" s="3"/>
      <c r="F3" s="3"/>
      <c r="G3" s="3"/>
      <c r="O3" s="3" t="s">
        <v>140</v>
      </c>
      <c r="P3" s="3"/>
      <c r="Q3" s="3"/>
      <c r="R3" s="3"/>
      <c r="S3" s="3"/>
    </row>
    <row r="4" spans="1:22" ht="20.100000000000001" customHeight="1">
      <c r="C4" s="3">
        <v>0</v>
      </c>
      <c r="D4" s="3">
        <v>10</v>
      </c>
      <c r="E4" s="3">
        <v>20</v>
      </c>
      <c r="F4" s="3">
        <v>30</v>
      </c>
      <c r="G4" s="3">
        <v>40</v>
      </c>
      <c r="O4" s="3">
        <v>0</v>
      </c>
      <c r="P4" s="3">
        <v>10</v>
      </c>
      <c r="Q4" s="3">
        <v>20</v>
      </c>
      <c r="R4" s="3">
        <v>30</v>
      </c>
      <c r="S4" s="3">
        <v>40</v>
      </c>
    </row>
    <row r="5" spans="1:22" ht="20.100000000000001" customHeight="1">
      <c r="A5" s="6" t="s">
        <v>141</v>
      </c>
      <c r="B5" s="4">
        <v>0</v>
      </c>
      <c r="C5" s="96">
        <v>545</v>
      </c>
      <c r="D5" s="96">
        <v>565</v>
      </c>
      <c r="E5" s="96">
        <v>585</v>
      </c>
      <c r="F5" s="96">
        <v>605</v>
      </c>
      <c r="G5" s="96">
        <v>625</v>
      </c>
      <c r="I5" s="108" t="s">
        <v>167</v>
      </c>
      <c r="J5" s="295" t="s">
        <v>168</v>
      </c>
      <c r="M5" s="6" t="s">
        <v>141</v>
      </c>
      <c r="N5" s="4">
        <v>0</v>
      </c>
      <c r="O5" s="96">
        <v>1290</v>
      </c>
      <c r="P5" s="96">
        <v>1320</v>
      </c>
      <c r="Q5" s="96">
        <v>1350</v>
      </c>
      <c r="R5" s="96">
        <v>1380</v>
      </c>
      <c r="S5" s="96">
        <v>1415</v>
      </c>
      <c r="U5" s="108" t="s">
        <v>167</v>
      </c>
      <c r="V5" s="295" t="s">
        <v>168</v>
      </c>
    </row>
    <row r="6" spans="1:22" ht="20.100000000000001" customHeight="1">
      <c r="A6" s="5"/>
      <c r="B6" s="4">
        <v>1000</v>
      </c>
      <c r="C6" s="96">
        <v>565</v>
      </c>
      <c r="D6" s="96">
        <v>585</v>
      </c>
      <c r="E6" s="96">
        <v>605</v>
      </c>
      <c r="F6" s="96">
        <v>625</v>
      </c>
      <c r="G6" s="96">
        <v>650</v>
      </c>
      <c r="I6" s="108"/>
      <c r="J6" s="295"/>
      <c r="M6" s="5"/>
      <c r="N6" s="4">
        <v>1000</v>
      </c>
      <c r="O6" s="96">
        <v>1320</v>
      </c>
      <c r="P6" s="96">
        <v>1350</v>
      </c>
      <c r="Q6" s="96">
        <v>1385</v>
      </c>
      <c r="R6" s="96">
        <v>1420</v>
      </c>
      <c r="S6" s="96">
        <v>1450</v>
      </c>
      <c r="U6" s="108"/>
      <c r="V6" s="295"/>
    </row>
    <row r="7" spans="1:22" ht="20.100000000000001" customHeight="1">
      <c r="A7" s="5"/>
      <c r="B7" s="4">
        <v>2000</v>
      </c>
      <c r="C7" s="96">
        <v>585</v>
      </c>
      <c r="D7" s="96">
        <v>610</v>
      </c>
      <c r="E7" s="96">
        <v>630</v>
      </c>
      <c r="F7" s="96">
        <v>650</v>
      </c>
      <c r="G7" s="96">
        <v>670</v>
      </c>
      <c r="I7" s="108"/>
      <c r="J7" s="295"/>
      <c r="M7" s="5"/>
      <c r="N7" s="4">
        <v>2000</v>
      </c>
      <c r="O7" s="96">
        <v>1355</v>
      </c>
      <c r="P7" s="96">
        <v>1385</v>
      </c>
      <c r="Q7" s="96">
        <v>1420</v>
      </c>
      <c r="R7" s="96">
        <v>1455</v>
      </c>
      <c r="S7" s="96">
        <v>1490</v>
      </c>
      <c r="U7" s="108"/>
      <c r="V7" s="295"/>
    </row>
    <row r="8" spans="1:22" ht="20.100000000000001" customHeight="1">
      <c r="A8" s="5"/>
      <c r="B8" s="4">
        <v>3000</v>
      </c>
      <c r="C8" s="96">
        <v>610</v>
      </c>
      <c r="D8" s="96">
        <v>630</v>
      </c>
      <c r="E8" s="96">
        <v>655</v>
      </c>
      <c r="F8" s="96">
        <v>675</v>
      </c>
      <c r="G8" s="96">
        <v>685</v>
      </c>
      <c r="I8" s="108"/>
      <c r="J8" s="295"/>
      <c r="M8" s="5"/>
      <c r="N8" s="4">
        <v>3000</v>
      </c>
      <c r="O8" s="96">
        <v>1385</v>
      </c>
      <c r="P8" s="96">
        <v>1425</v>
      </c>
      <c r="Q8" s="96">
        <v>1460</v>
      </c>
      <c r="R8" s="96">
        <v>1495</v>
      </c>
      <c r="S8" s="96">
        <v>1530</v>
      </c>
      <c r="U8" s="108"/>
      <c r="V8" s="295"/>
    </row>
    <row r="9" spans="1:22" ht="20.100000000000001" customHeight="1">
      <c r="A9" s="5"/>
      <c r="B9" s="4">
        <v>4000</v>
      </c>
      <c r="C9" s="96">
        <v>630</v>
      </c>
      <c r="D9" s="96">
        <v>655</v>
      </c>
      <c r="E9" s="96">
        <v>675</v>
      </c>
      <c r="F9" s="96">
        <v>700</v>
      </c>
      <c r="G9" s="96">
        <v>725</v>
      </c>
      <c r="I9" s="108"/>
      <c r="J9" s="295"/>
      <c r="M9" s="5"/>
      <c r="N9" s="4">
        <v>4000</v>
      </c>
      <c r="O9" s="96">
        <v>1425</v>
      </c>
      <c r="P9" s="96">
        <v>1460</v>
      </c>
      <c r="Q9" s="96">
        <v>1495</v>
      </c>
      <c r="R9" s="96">
        <v>1535</v>
      </c>
      <c r="S9" s="96">
        <v>1570</v>
      </c>
      <c r="U9" s="108"/>
      <c r="V9" s="295"/>
    </row>
    <row r="10" spans="1:22" ht="20.100000000000001" customHeight="1">
      <c r="A10" s="5"/>
      <c r="B10" s="4">
        <v>5000</v>
      </c>
      <c r="C10" s="96">
        <v>655</v>
      </c>
      <c r="D10" s="96">
        <v>680</v>
      </c>
      <c r="E10" s="96">
        <v>705</v>
      </c>
      <c r="F10" s="96">
        <v>725</v>
      </c>
      <c r="G10" s="96">
        <v>750</v>
      </c>
      <c r="I10" s="108"/>
      <c r="J10" s="295"/>
      <c r="M10" s="5"/>
      <c r="N10" s="4">
        <v>5000</v>
      </c>
      <c r="O10" s="96">
        <v>1460</v>
      </c>
      <c r="P10" s="96">
        <v>1500</v>
      </c>
      <c r="Q10" s="96">
        <v>1535</v>
      </c>
      <c r="R10" s="96">
        <v>1575</v>
      </c>
      <c r="S10" s="96">
        <v>1615</v>
      </c>
      <c r="U10" s="108"/>
      <c r="V10" s="295"/>
    </row>
    <row r="11" spans="1:22" ht="20.100000000000001" customHeight="1">
      <c r="A11" s="5"/>
      <c r="B11" s="4">
        <v>6000</v>
      </c>
      <c r="C11" s="96">
        <v>680</v>
      </c>
      <c r="D11" s="96">
        <v>705</v>
      </c>
      <c r="E11" s="96">
        <v>730</v>
      </c>
      <c r="F11" s="96">
        <v>755</v>
      </c>
      <c r="G11" s="96">
        <v>780</v>
      </c>
      <c r="I11" s="108"/>
      <c r="J11" s="295"/>
      <c r="M11" s="5"/>
      <c r="N11" s="4">
        <v>6000</v>
      </c>
      <c r="O11" s="96">
        <v>1500</v>
      </c>
      <c r="P11" s="96">
        <v>1540</v>
      </c>
      <c r="Q11" s="96">
        <v>1580</v>
      </c>
      <c r="R11" s="96">
        <v>1620</v>
      </c>
      <c r="S11" s="96">
        <v>1660</v>
      </c>
      <c r="U11" s="108"/>
      <c r="V11" s="295"/>
    </row>
    <row r="12" spans="1:22" ht="20.100000000000001" customHeight="1">
      <c r="A12" s="5"/>
      <c r="B12" s="4">
        <v>7000</v>
      </c>
      <c r="C12" s="96">
        <v>705</v>
      </c>
      <c r="D12" s="96">
        <v>730</v>
      </c>
      <c r="E12" s="96">
        <v>760</v>
      </c>
      <c r="F12" s="96">
        <v>785</v>
      </c>
      <c r="G12" s="96">
        <v>810</v>
      </c>
      <c r="I12" s="108"/>
      <c r="J12" s="295"/>
      <c r="M12" s="5"/>
      <c r="N12" s="4">
        <v>7000</v>
      </c>
      <c r="O12" s="96">
        <v>1545</v>
      </c>
      <c r="P12" s="96">
        <v>1585</v>
      </c>
      <c r="Q12" s="96">
        <v>1625</v>
      </c>
      <c r="R12" s="96">
        <v>1665</v>
      </c>
      <c r="S12" s="96">
        <v>1705</v>
      </c>
      <c r="U12" s="108"/>
      <c r="V12" s="295"/>
    </row>
    <row r="13" spans="1:22" ht="20.100000000000001" customHeight="1">
      <c r="A13" s="5"/>
      <c r="B13" s="4">
        <v>8000</v>
      </c>
      <c r="C13" s="96">
        <v>735</v>
      </c>
      <c r="D13" s="96">
        <v>760</v>
      </c>
      <c r="E13" s="96">
        <v>790</v>
      </c>
      <c r="F13" s="96">
        <v>815</v>
      </c>
      <c r="G13" s="96">
        <v>840</v>
      </c>
      <c r="I13" s="108"/>
      <c r="J13" s="295"/>
      <c r="M13" s="5"/>
      <c r="N13" s="4">
        <v>8000</v>
      </c>
      <c r="O13" s="96">
        <v>1585</v>
      </c>
      <c r="P13" s="96">
        <v>1630</v>
      </c>
      <c r="Q13" s="96">
        <v>1670</v>
      </c>
      <c r="R13" s="96">
        <v>1715</v>
      </c>
      <c r="S13" s="96">
        <v>1755</v>
      </c>
      <c r="U13" s="108"/>
      <c r="V13" s="295"/>
    </row>
    <row r="14" spans="1:22" ht="20.100000000000001" customHeight="1" thickBot="1"/>
    <row r="15" spans="1:22" ht="20.100000000000001" customHeight="1">
      <c r="A15" s="117" t="s">
        <v>142</v>
      </c>
      <c r="B15" s="118"/>
      <c r="M15" s="117" t="s">
        <v>142</v>
      </c>
      <c r="N15" s="118"/>
    </row>
    <row r="16" spans="1:22" ht="20.100000000000001" customHeight="1">
      <c r="A16" s="119" t="s">
        <v>141</v>
      </c>
      <c r="B16" s="120" t="s">
        <v>143</v>
      </c>
      <c r="M16" s="119" t="s">
        <v>141</v>
      </c>
      <c r="N16" s="120" t="s">
        <v>143</v>
      </c>
    </row>
    <row r="17" spans="1:21" ht="20.100000000000001" customHeight="1">
      <c r="A17" s="119">
        <f>'172'!$B$7</f>
        <v>2175.0000000000027</v>
      </c>
      <c r="B17" s="120">
        <f>'172'!$C$7</f>
        <v>19</v>
      </c>
      <c r="M17" s="119">
        <f>'172'!$B$7</f>
        <v>2175.0000000000027</v>
      </c>
      <c r="N17" s="120">
        <f>'172'!$C$7</f>
        <v>19</v>
      </c>
    </row>
    <row r="18" spans="1:21" ht="20.100000000000001" customHeight="1">
      <c r="A18" s="121"/>
      <c r="B18" s="122"/>
      <c r="M18" s="121"/>
      <c r="N18" s="122"/>
    </row>
    <row r="19" spans="1:21" ht="20.100000000000001" customHeight="1" thickBot="1">
      <c r="A19" s="123" t="s">
        <v>219</v>
      </c>
      <c r="B19" s="124">
        <f ca="1">B51</f>
        <v>632.30000000000007</v>
      </c>
      <c r="M19" s="123" t="s">
        <v>220</v>
      </c>
      <c r="N19" s="124">
        <f ca="1">N51</f>
        <v>1423.5</v>
      </c>
    </row>
    <row r="20" spans="1:21" ht="20.100000000000001" customHeight="1">
      <c r="A20" s="2"/>
      <c r="B20" s="2"/>
      <c r="M20" s="2"/>
      <c r="N20" s="2"/>
      <c r="Q20" s="291" t="s">
        <v>169</v>
      </c>
      <c r="R20" s="292"/>
      <c r="S20" s="292"/>
      <c r="T20" s="292"/>
      <c r="U20" s="293"/>
    </row>
    <row r="21" spans="1:21" ht="20.100000000000001" customHeight="1">
      <c r="A21" s="2"/>
      <c r="B21" s="2"/>
      <c r="M21" s="2"/>
      <c r="N21" s="2"/>
      <c r="Q21" s="15">
        <v>2550</v>
      </c>
      <c r="R21" s="14">
        <v>2300</v>
      </c>
      <c r="S21" s="14">
        <v>2100</v>
      </c>
      <c r="T21" s="47">
        <v>1900</v>
      </c>
      <c r="U21" s="55" t="s">
        <v>116</v>
      </c>
    </row>
    <row r="22" spans="1:21" ht="20.100000000000001" customHeight="1">
      <c r="A22" s="2" t="s">
        <v>145</v>
      </c>
      <c r="B22" s="2">
        <f>VLOOKUP(A17,B5:B13,1)</f>
        <v>2000</v>
      </c>
      <c r="M22" s="2" t="s">
        <v>145</v>
      </c>
      <c r="N22" s="2">
        <f>VLOOKUP(M17,N5:N13,1)</f>
        <v>2000</v>
      </c>
      <c r="Q22" s="50">
        <f ca="1">N19</f>
        <v>1423.5</v>
      </c>
      <c r="R22" s="19">
        <f ca="1">(Q22*((R21/Q21)^2))</f>
        <v>1158.0645905420993</v>
      </c>
      <c r="S22" s="19">
        <f ca="1">(R22*((S21/R21)^2))</f>
        <v>965.41868512110716</v>
      </c>
      <c r="T22" s="19">
        <f ca="1">(S22*((T21/S21)^2))</f>
        <v>790.28604382929643</v>
      </c>
      <c r="U22" s="55"/>
    </row>
    <row r="23" spans="1:21" ht="20.100000000000001" customHeight="1" thickBot="1">
      <c r="A23" s="2" t="s">
        <v>146</v>
      </c>
      <c r="B23" cm="1">
        <f t="array" ref="B23">IF(A17&gt;=MAX(B5:B13),MAX(B5:B13),INDEX(B5:B13,MATCH(A17,B5:B13,1)+1))</f>
        <v>3000</v>
      </c>
      <c r="M23" s="2" t="s">
        <v>146</v>
      </c>
      <c r="N23" cm="1">
        <f t="array" ref="N23">IF(M17&gt;=MAX(N5:N13),MAX(N5:N13),INDEX(N5:N13,MATCH(M17,N5:N13,1)+1))</f>
        <v>3000</v>
      </c>
      <c r="Q23" s="89">
        <f ca="1">ROUNDUP(Q22,0)</f>
        <v>1424</v>
      </c>
      <c r="R23" s="89">
        <f t="shared" ref="R23:T23" ca="1" si="0">ROUNDUP(R22,0)</f>
        <v>1159</v>
      </c>
      <c r="S23" s="89">
        <f t="shared" ca="1" si="0"/>
        <v>966</v>
      </c>
      <c r="T23" s="89">
        <f t="shared" ca="1" si="0"/>
        <v>791</v>
      </c>
      <c r="U23" s="93" t="s">
        <v>20</v>
      </c>
    </row>
    <row r="24" spans="1:21" ht="20.100000000000001" customHeight="1">
      <c r="A24" s="2"/>
      <c r="B24" s="2"/>
      <c r="M24" s="2"/>
      <c r="N24" s="2"/>
    </row>
    <row r="25" spans="1:21" ht="20.100000000000001" customHeight="1">
      <c r="A25" s="2" t="s">
        <v>147</v>
      </c>
      <c r="B25" s="2">
        <f>ROW(B5)</f>
        <v>5</v>
      </c>
      <c r="M25" s="2" t="s">
        <v>147</v>
      </c>
      <c r="N25" s="2">
        <f>ROW(N5)</f>
        <v>5</v>
      </c>
    </row>
    <row r="26" spans="1:21" ht="20.100000000000001" customHeight="1">
      <c r="A26" s="2" t="s">
        <v>148</v>
      </c>
      <c r="B26" s="2">
        <f>COLUMN(C4)</f>
        <v>3</v>
      </c>
      <c r="M26" s="2" t="s">
        <v>148</v>
      </c>
      <c r="N26" s="2">
        <f>COLUMN(O4)</f>
        <v>15</v>
      </c>
    </row>
    <row r="27" spans="1:21" ht="20.100000000000001" customHeight="1">
      <c r="A27" s="2"/>
      <c r="B27" s="2"/>
      <c r="M27" s="2"/>
      <c r="N27" s="2"/>
    </row>
    <row r="28" spans="1:21" ht="20.100000000000001" customHeight="1">
      <c r="A28" s="2" t="s">
        <v>149</v>
      </c>
      <c r="B28" s="2">
        <f>(((MATCH(B22,B5:B13,0))+B25)-1)</f>
        <v>7</v>
      </c>
      <c r="M28" s="2" t="s">
        <v>149</v>
      </c>
      <c r="N28" s="2">
        <f>(((MATCH(N22,N5:N13,0))+N25)-1)</f>
        <v>7</v>
      </c>
    </row>
    <row r="29" spans="1:21" ht="20.100000000000001" customHeight="1">
      <c r="A29" s="2" t="s">
        <v>150</v>
      </c>
      <c r="B29" s="2">
        <f>B28+1</f>
        <v>8</v>
      </c>
      <c r="M29" s="2" t="s">
        <v>150</v>
      </c>
      <c r="N29" s="2">
        <f>N28+1</f>
        <v>8</v>
      </c>
    </row>
    <row r="30" spans="1:21" ht="20.100000000000001" customHeight="1">
      <c r="A30" s="2"/>
      <c r="B30" s="2"/>
      <c r="M30" s="2"/>
      <c r="N30" s="2"/>
    </row>
    <row r="31" spans="1:21" ht="20.100000000000001" customHeight="1">
      <c r="A31" s="2" t="s">
        <v>151</v>
      </c>
      <c r="B31" s="2">
        <f>HLOOKUP(B17,C4:G4,1)</f>
        <v>10</v>
      </c>
      <c r="M31" s="2" t="s">
        <v>151</v>
      </c>
      <c r="N31" s="2">
        <f>HLOOKUP(N17,O4:S4,1)</f>
        <v>10</v>
      </c>
    </row>
    <row r="32" spans="1:21" ht="20.100000000000001" customHeight="1">
      <c r="A32" s="2" t="s">
        <v>152</v>
      </c>
      <c r="B32" s="2" cm="1">
        <f t="array" ref="B32">IF(B17&gt;=MAX(C4:G4),MAX(C4:G4),INDEX(C4:G4,MATCH(B17,C4:G4,1)+1))</f>
        <v>20</v>
      </c>
      <c r="M32" s="2" t="s">
        <v>152</v>
      </c>
      <c r="N32" s="2" cm="1">
        <f t="array" ref="N32">IF(N17&gt;=MAX(O4:S4),MAX(O4:S4),INDEX(O4:S4,MATCH(N17,O4:S4,1)+1))</f>
        <v>20</v>
      </c>
    </row>
    <row r="33" spans="1:14" ht="20.100000000000001" customHeight="1">
      <c r="A33" s="2"/>
      <c r="B33" s="2"/>
      <c r="M33" s="2"/>
      <c r="N33" s="2"/>
    </row>
    <row r="34" spans="1:14" ht="20.100000000000001" customHeight="1">
      <c r="A34" s="2" t="s">
        <v>153</v>
      </c>
      <c r="B34" s="2">
        <f>(((MATCH(B31,C4:G4,0))+B26)-1)</f>
        <v>4</v>
      </c>
      <c r="M34" s="2" t="s">
        <v>153</v>
      </c>
      <c r="N34" s="2">
        <f>(((MATCH(N31,O4:S4,0))+N26)-1)</f>
        <v>16</v>
      </c>
    </row>
    <row r="35" spans="1:14" ht="20.100000000000001" customHeight="1">
      <c r="A35" s="2" t="s">
        <v>154</v>
      </c>
      <c r="B35" s="2">
        <f>((((MATCH(B31,C4:G4,0))+B26)-1)+1)</f>
        <v>5</v>
      </c>
      <c r="M35" s="2" t="s">
        <v>154</v>
      </c>
      <c r="N35" s="2">
        <f>((((MATCH(N31,O4:S4,0))+N26)-1)+1)</f>
        <v>17</v>
      </c>
    </row>
    <row r="36" spans="1:14" ht="20.100000000000001" customHeight="1">
      <c r="A36" s="2"/>
      <c r="B36" s="2"/>
      <c r="M36" s="2"/>
      <c r="N36" s="2"/>
    </row>
    <row r="37" spans="1:14" ht="20.100000000000001" customHeight="1">
      <c r="A37" s="2" t="s">
        <v>155</v>
      </c>
      <c r="B37" s="125" cm="1">
        <f t="array" aca="1" ref="B37" ca="1">INDIRECT(ADDRESS(B28,B34))</f>
        <v>610</v>
      </c>
      <c r="M37" s="2" t="s">
        <v>155</v>
      </c>
      <c r="N37" s="125" cm="1">
        <f t="array" aca="1" ref="N37" ca="1">INDIRECT(ADDRESS(N28,N34))</f>
        <v>1385</v>
      </c>
    </row>
    <row r="38" spans="1:14" ht="20.100000000000001" customHeight="1">
      <c r="A38" s="2" t="s">
        <v>156</v>
      </c>
      <c r="B38" s="125" cm="1">
        <f t="array" aca="1" ref="B38" ca="1">INDIRECT(ADDRESS(B29,B34))</f>
        <v>630</v>
      </c>
      <c r="M38" s="2" t="s">
        <v>156</v>
      </c>
      <c r="N38" s="125" cm="1">
        <f t="array" aca="1" ref="N38" ca="1">INDIRECT(ADDRESS(N29,N34))</f>
        <v>1425</v>
      </c>
    </row>
    <row r="39" spans="1:14" ht="20.100000000000001" customHeight="1">
      <c r="A39" s="2" t="s">
        <v>157</v>
      </c>
      <c r="B39" s="125" cm="1">
        <f t="array" aca="1" ref="B39" ca="1">INDIRECT(ADDRESS(B28,B35))</f>
        <v>630</v>
      </c>
      <c r="M39" s="2" t="s">
        <v>157</v>
      </c>
      <c r="N39" s="125" cm="1">
        <f t="array" aca="1" ref="N39" ca="1">INDIRECT(ADDRESS(N28,N35))</f>
        <v>1420</v>
      </c>
    </row>
    <row r="40" spans="1:14" ht="20.100000000000001" customHeight="1">
      <c r="A40" s="2" t="s">
        <v>158</v>
      </c>
      <c r="B40" s="125" cm="1">
        <f t="array" aca="1" ref="B40" ca="1">INDIRECT(ADDRESS(B29,B35))</f>
        <v>655</v>
      </c>
      <c r="M40" s="2" t="s">
        <v>158</v>
      </c>
      <c r="N40" s="125" cm="1">
        <f t="array" aca="1" ref="N40" ca="1">INDIRECT(ADDRESS(N29,N35))</f>
        <v>1460</v>
      </c>
    </row>
    <row r="41" spans="1:14" ht="20.100000000000001" customHeight="1">
      <c r="A41" s="2"/>
      <c r="B41" s="2"/>
      <c r="M41" s="2"/>
      <c r="N41" s="2"/>
    </row>
    <row r="42" spans="1:14" ht="20.100000000000001" customHeight="1">
      <c r="A42" s="2" t="s">
        <v>159</v>
      </c>
      <c r="B42" s="126">
        <f>(A17-B22)</f>
        <v>175.00000000000273</v>
      </c>
      <c r="M42" s="2" t="s">
        <v>159</v>
      </c>
      <c r="N42" s="126">
        <f>(M17-N22)</f>
        <v>175.00000000000273</v>
      </c>
    </row>
    <row r="43" spans="1:14" ht="20.100000000000001" customHeight="1">
      <c r="A43" s="2"/>
      <c r="B43" s="2"/>
      <c r="M43" s="2"/>
      <c r="N43" s="2"/>
    </row>
    <row r="44" spans="1:14" ht="20.100000000000001" customHeight="1">
      <c r="A44" s="2" t="s">
        <v>160</v>
      </c>
      <c r="B44" s="125">
        <f ca="1">((((B38-B37)/1000)*B42)+B37)</f>
        <v>613.5</v>
      </c>
      <c r="M44" s="2" t="s">
        <v>160</v>
      </c>
      <c r="N44" s="125">
        <f ca="1">((((N38-N37)/1000)*N42)+N37)</f>
        <v>1392</v>
      </c>
    </row>
    <row r="45" spans="1:14" ht="20.100000000000001" customHeight="1">
      <c r="A45" s="2" t="s">
        <v>161</v>
      </c>
      <c r="B45" s="125">
        <f ca="1">((((B40-B39)/1000)*B42)+B39)</f>
        <v>634.37500000000011</v>
      </c>
      <c r="M45" s="2" t="s">
        <v>161</v>
      </c>
      <c r="N45" s="125">
        <f ca="1">((((N40-N39)/1000)*N42)+N39)</f>
        <v>1427</v>
      </c>
    </row>
    <row r="46" spans="1:14" ht="20.100000000000001" customHeight="1">
      <c r="A46" s="2"/>
      <c r="B46" s="2"/>
      <c r="M46" s="2"/>
      <c r="N46" s="2"/>
    </row>
    <row r="47" spans="1:14" ht="20.100000000000001" customHeight="1">
      <c r="A47" s="2" t="s">
        <v>162</v>
      </c>
      <c r="B47" s="2">
        <f>B17-B31</f>
        <v>9</v>
      </c>
      <c r="M47" s="2" t="s">
        <v>162</v>
      </c>
      <c r="N47" s="2">
        <f>N17-N31</f>
        <v>9</v>
      </c>
    </row>
    <row r="48" spans="1:14" ht="20.100000000000001" customHeight="1">
      <c r="A48" s="2"/>
      <c r="B48" s="2"/>
      <c r="M48" s="2"/>
      <c r="N48" s="2"/>
    </row>
    <row r="49" spans="1:14" ht="20.100000000000001" customHeight="1">
      <c r="A49" s="2" t="s">
        <v>163</v>
      </c>
      <c r="B49" s="127">
        <f ca="1">((((B45-B44)/10)*B47)+B44)</f>
        <v>632.28750000000014</v>
      </c>
      <c r="M49" s="2" t="s">
        <v>163</v>
      </c>
      <c r="N49" s="127">
        <f ca="1">((((N45-N44)/10)*N47)+N44)</f>
        <v>1423.5</v>
      </c>
    </row>
    <row r="50" spans="1:14" ht="20.100000000000001" customHeight="1">
      <c r="A50" s="2"/>
      <c r="B50" s="2"/>
      <c r="M50" s="2"/>
      <c r="N50" s="2"/>
    </row>
    <row r="51" spans="1:14" ht="20.100000000000001" customHeight="1">
      <c r="A51" s="128" t="s">
        <v>164</v>
      </c>
      <c r="B51" s="129">
        <f ca="1">ROUNDUP(B49,1)</f>
        <v>632.30000000000007</v>
      </c>
      <c r="M51" s="128" t="s">
        <v>164</v>
      </c>
      <c r="N51" s="129">
        <f ca="1">ROUNDUP(N49,1)</f>
        <v>1423.5</v>
      </c>
    </row>
    <row r="52" spans="1:14" ht="20.100000000000001" customHeight="1">
      <c r="A52" s="2"/>
      <c r="B52" s="2"/>
    </row>
    <row r="54" spans="1:14" ht="20.100000000000001" customHeight="1" thickBot="1"/>
    <row r="55" spans="1:14" ht="20.100000000000001" customHeight="1">
      <c r="A55" s="291" t="s">
        <v>169</v>
      </c>
      <c r="B55" s="292"/>
      <c r="C55" s="292"/>
      <c r="D55" s="292"/>
      <c r="E55" s="293"/>
      <c r="F55" s="80"/>
      <c r="G55" s="107" t="s">
        <v>167</v>
      </c>
      <c r="H55" s="279" t="s">
        <v>170</v>
      </c>
      <c r="I55" s="279"/>
      <c r="J55" s="279"/>
      <c r="K55" s="279"/>
      <c r="L55" s="279"/>
      <c r="M55" s="279"/>
      <c r="N55" s="279"/>
    </row>
    <row r="56" spans="1:14" ht="20.100000000000001" customHeight="1">
      <c r="A56" s="15">
        <v>2550</v>
      </c>
      <c r="B56" s="14">
        <v>2300</v>
      </c>
      <c r="C56" s="14">
        <v>2100</v>
      </c>
      <c r="D56" s="47">
        <v>1900</v>
      </c>
      <c r="E56" s="55" t="s">
        <v>116</v>
      </c>
      <c r="F56" s="80"/>
      <c r="G56" s="107"/>
      <c r="H56" s="279"/>
      <c r="I56" s="279"/>
      <c r="J56" s="279"/>
      <c r="K56" s="279"/>
      <c r="L56" s="279"/>
      <c r="M56" s="279"/>
      <c r="N56" s="279"/>
    </row>
    <row r="57" spans="1:14" ht="20.100000000000001" customHeight="1">
      <c r="A57" s="50">
        <f ca="1">B19</f>
        <v>632.30000000000007</v>
      </c>
      <c r="B57" s="19">
        <f ca="1">(A57*((B56/A56)^2))</f>
        <v>514.39707804690511</v>
      </c>
      <c r="C57" s="19">
        <f ca="1">(B57*((C56/B56)^2))</f>
        <v>428.82629757785463</v>
      </c>
      <c r="D57" s="19">
        <f ca="1">(C57*((D56/C56)^2))</f>
        <v>351.03467896962707</v>
      </c>
      <c r="E57" s="55"/>
      <c r="F57" s="80"/>
      <c r="G57" s="107"/>
      <c r="H57" s="279"/>
      <c r="I57" s="279"/>
      <c r="J57" s="279"/>
      <c r="K57" s="279"/>
      <c r="L57" s="279"/>
      <c r="M57" s="279"/>
      <c r="N57" s="279"/>
    </row>
    <row r="58" spans="1:14" ht="20.100000000000001" customHeight="1" thickBot="1">
      <c r="A58" s="89">
        <f ca="1">ROUNDUP(A57,0)</f>
        <v>633</v>
      </c>
      <c r="B58" s="89">
        <f t="shared" ref="B58:D58" ca="1" si="1">ROUNDUP(B57,0)</f>
        <v>515</v>
      </c>
      <c r="C58" s="89">
        <f t="shared" ca="1" si="1"/>
        <v>429</v>
      </c>
      <c r="D58" s="89">
        <f t="shared" ca="1" si="1"/>
        <v>352</v>
      </c>
      <c r="E58" s="93" t="s">
        <v>20</v>
      </c>
      <c r="F58" s="80"/>
      <c r="G58" s="107"/>
      <c r="H58" s="279"/>
      <c r="I58" s="279"/>
      <c r="J58" s="279"/>
      <c r="K58" s="279"/>
      <c r="L58" s="279"/>
      <c r="M58" s="279"/>
      <c r="N58" s="279"/>
    </row>
    <row r="59" spans="1:14" ht="20.100000000000001" customHeight="1">
      <c r="H59" s="279"/>
      <c r="I59" s="279"/>
      <c r="J59" s="279"/>
      <c r="K59" s="279"/>
      <c r="L59" s="279"/>
      <c r="M59" s="279"/>
      <c r="N59" s="279"/>
    </row>
    <row r="60" spans="1:14" ht="20.100000000000001" customHeight="1" thickBot="1">
      <c r="H60" s="48"/>
      <c r="I60" s="48"/>
      <c r="J60" s="48"/>
      <c r="K60" s="48"/>
      <c r="L60" s="48"/>
    </row>
    <row r="61" spans="1:14" ht="20.100000000000001" customHeight="1">
      <c r="A61" s="20">
        <v>2550</v>
      </c>
      <c r="B61" s="21">
        <v>2300</v>
      </c>
      <c r="C61" s="21">
        <v>2100</v>
      </c>
      <c r="D61" s="21">
        <v>1900</v>
      </c>
      <c r="E61" s="22" t="s">
        <v>116</v>
      </c>
      <c r="H61" s="48"/>
      <c r="I61" s="108" t="s">
        <v>167</v>
      </c>
      <c r="J61" s="279" t="s">
        <v>171</v>
      </c>
      <c r="K61" s="279"/>
      <c r="L61" s="279"/>
      <c r="M61" s="279"/>
      <c r="N61" s="279"/>
    </row>
    <row r="62" spans="1:14" ht="20.100000000000001" customHeight="1">
      <c r="A62" s="15">
        <v>62</v>
      </c>
      <c r="B62" s="94" t="s">
        <v>221</v>
      </c>
      <c r="C62" s="14" t="e">
        <f>C76</f>
        <v>#VALUE!</v>
      </c>
      <c r="D62" s="14" t="e">
        <f>D76</f>
        <v>#VALUE!</v>
      </c>
      <c r="E62" s="23" t="s">
        <v>172</v>
      </c>
      <c r="H62" s="48"/>
      <c r="I62" s="108"/>
      <c r="J62" s="279"/>
      <c r="K62" s="279"/>
      <c r="L62" s="279"/>
      <c r="M62" s="279"/>
      <c r="N62" s="279"/>
    </row>
    <row r="63" spans="1:14" ht="20.100000000000001" customHeight="1">
      <c r="A63" s="86">
        <f>ROUNDUP(A62,0)</f>
        <v>62</v>
      </c>
      <c r="B63" s="87" t="e">
        <f>ROUNDUP(B62,0)</f>
        <v>#VALUE!</v>
      </c>
      <c r="C63" s="87" t="e">
        <f>ROUNDUP(C62,0)</f>
        <v>#VALUE!</v>
      </c>
      <c r="D63" s="87" t="e">
        <f>ROUNDUP(D62,0)</f>
        <v>#VALUE!</v>
      </c>
      <c r="E63" s="88" t="s">
        <v>173</v>
      </c>
      <c r="H63" s="48"/>
      <c r="I63" s="108"/>
      <c r="J63" s="279"/>
      <c r="K63" s="279"/>
      <c r="L63" s="279"/>
      <c r="M63" s="279"/>
      <c r="N63" s="279"/>
    </row>
    <row r="64" spans="1:14" ht="20.100000000000001" customHeight="1" thickBot="1">
      <c r="A64" s="16" t="e">
        <f>(B64*(SQRT(A61/B61)))</f>
        <v>#VALUE!</v>
      </c>
      <c r="B64" s="53" t="e">
        <f>(((D68-C68)/10*(B62-C67))+C68)</f>
        <v>#VALUE!</v>
      </c>
      <c r="C64" s="17" t="e">
        <f>(B64*(SQRT(C61/B61)))</f>
        <v>#VALUE!</v>
      </c>
      <c r="D64" s="17" t="e">
        <f>(B64*(SQRT(D61/B61)))</f>
        <v>#VALUE!</v>
      </c>
      <c r="E64" s="24" t="s">
        <v>174</v>
      </c>
      <c r="I64" s="108"/>
      <c r="J64" s="105"/>
      <c r="K64" s="105"/>
      <c r="L64" s="105"/>
      <c r="M64" s="105"/>
    </row>
    <row r="66" spans="1:17" ht="20.100000000000001" customHeight="1">
      <c r="A66" s="130" t="s">
        <v>175</v>
      </c>
      <c r="B66" s="131"/>
      <c r="C66" s="131"/>
      <c r="D66" s="131"/>
      <c r="E66" s="131"/>
      <c r="F66" s="131"/>
      <c r="G66" s="132"/>
      <c r="I66" s="107" t="s">
        <v>167</v>
      </c>
      <c r="J66" s="295" t="s">
        <v>176</v>
      </c>
      <c r="K66" s="295"/>
      <c r="L66" s="295"/>
      <c r="M66" s="295"/>
      <c r="N66" s="295"/>
      <c r="O66" s="295"/>
      <c r="P66" s="295"/>
      <c r="Q66" s="295"/>
    </row>
    <row r="67" spans="1:17" ht="20.100000000000001" customHeight="1">
      <c r="A67" s="81" t="s">
        <v>172</v>
      </c>
      <c r="B67">
        <v>40</v>
      </c>
      <c r="C67">
        <v>50</v>
      </c>
      <c r="D67">
        <v>60</v>
      </c>
      <c r="E67">
        <v>70</v>
      </c>
      <c r="F67">
        <v>80</v>
      </c>
      <c r="G67" s="82">
        <v>85</v>
      </c>
      <c r="I67" s="107"/>
      <c r="J67" s="295"/>
      <c r="K67" s="295"/>
      <c r="L67" s="295"/>
      <c r="M67" s="295"/>
      <c r="N67" s="295"/>
      <c r="O67" s="295"/>
      <c r="P67" s="295"/>
      <c r="Q67" s="295"/>
    </row>
    <row r="68" spans="1:17" ht="20.100000000000001" customHeight="1">
      <c r="A68" s="83" t="s">
        <v>174</v>
      </c>
      <c r="B68" s="84">
        <v>47</v>
      </c>
      <c r="C68" s="84">
        <v>54</v>
      </c>
      <c r="D68" s="84">
        <v>62</v>
      </c>
      <c r="E68" s="84">
        <v>71</v>
      </c>
      <c r="F68" s="84">
        <v>81</v>
      </c>
      <c r="G68" s="85">
        <v>86</v>
      </c>
      <c r="I68" s="107"/>
      <c r="J68" s="295"/>
      <c r="K68" s="295"/>
      <c r="L68" s="295"/>
      <c r="M68" s="295"/>
      <c r="N68" s="295"/>
      <c r="O68" s="295"/>
      <c r="P68" s="295"/>
      <c r="Q68" s="295"/>
    </row>
    <row r="70" spans="1:17" ht="20.100000000000001" customHeight="1">
      <c r="A70" s="51" t="s">
        <v>116</v>
      </c>
      <c r="B70" s="14">
        <v>1900</v>
      </c>
      <c r="C70" s="14">
        <v>2100</v>
      </c>
      <c r="D70" s="14">
        <v>2300</v>
      </c>
      <c r="E70" s="14">
        <v>2550</v>
      </c>
      <c r="I70" s="107" t="s">
        <v>167</v>
      </c>
      <c r="J70" s="294" t="s">
        <v>177</v>
      </c>
      <c r="K70" s="294"/>
      <c r="L70" s="294"/>
      <c r="M70" s="294"/>
      <c r="N70" s="294"/>
    </row>
    <row r="71" spans="1:17" ht="20.100000000000001" customHeight="1">
      <c r="A71" s="14" t="s">
        <v>178</v>
      </c>
      <c r="B71" s="14">
        <f>C68-B68</f>
        <v>7</v>
      </c>
      <c r="C71" s="14">
        <f>D68-C68</f>
        <v>8</v>
      </c>
      <c r="D71" s="14">
        <f>C68-B68</f>
        <v>7</v>
      </c>
      <c r="E71" s="14">
        <f>D68-C68</f>
        <v>8</v>
      </c>
      <c r="I71" s="107"/>
      <c r="J71" s="294"/>
      <c r="K71" s="294"/>
      <c r="L71" s="294"/>
      <c r="M71" s="294"/>
      <c r="N71" s="294"/>
    </row>
    <row r="72" spans="1:17" ht="20.100000000000001" customHeight="1">
      <c r="A72" s="14" t="s">
        <v>179</v>
      </c>
      <c r="B72" s="14">
        <f>C67-B67</f>
        <v>10</v>
      </c>
      <c r="C72" s="14">
        <f>D67-C67</f>
        <v>10</v>
      </c>
      <c r="D72" s="14">
        <f>C67-B67</f>
        <v>10</v>
      </c>
      <c r="E72" s="14">
        <f>D67-C67</f>
        <v>10</v>
      </c>
      <c r="I72" s="107"/>
      <c r="J72" s="294"/>
      <c r="K72" s="294"/>
      <c r="L72" s="294"/>
      <c r="M72" s="294"/>
      <c r="N72" s="294"/>
    </row>
    <row r="73" spans="1:17" ht="20.100000000000001" customHeight="1">
      <c r="A73" s="14" t="s">
        <v>180</v>
      </c>
      <c r="B73" s="14">
        <f>B72/B71</f>
        <v>1.4285714285714286</v>
      </c>
      <c r="C73" s="14">
        <f>C72/C71</f>
        <v>1.25</v>
      </c>
      <c r="D73" s="14">
        <f>D72/D71</f>
        <v>1.4285714285714286</v>
      </c>
      <c r="E73" s="14">
        <f>C72/C71</f>
        <v>1.25</v>
      </c>
      <c r="I73" s="107"/>
      <c r="J73" s="108"/>
      <c r="K73" s="108"/>
      <c r="L73" s="108"/>
      <c r="M73" s="108"/>
    </row>
    <row r="74" spans="1:17" ht="20.100000000000001" customHeight="1">
      <c r="A74" s="14" t="s">
        <v>181</v>
      </c>
      <c r="B74" s="14" t="e">
        <f>B64-B68</f>
        <v>#VALUE!</v>
      </c>
      <c r="C74" s="14" t="e">
        <f>C64-C68</f>
        <v>#VALUE!</v>
      </c>
      <c r="D74" s="14" t="e">
        <f>D64-B68</f>
        <v>#VALUE!</v>
      </c>
      <c r="E74" s="14" t="e">
        <f>A64-C68</f>
        <v>#VALUE!</v>
      </c>
      <c r="I74" s="107"/>
      <c r="J74" s="108"/>
      <c r="K74" s="108"/>
      <c r="L74" s="108"/>
      <c r="M74" s="108"/>
    </row>
    <row r="75" spans="1:17" ht="20.100000000000001" customHeight="1">
      <c r="A75" s="14" t="s">
        <v>182</v>
      </c>
      <c r="B75" s="14" t="e">
        <f>B73*B74</f>
        <v>#VALUE!</v>
      </c>
      <c r="C75" s="14" t="e">
        <f>C73*C74</f>
        <v>#VALUE!</v>
      </c>
      <c r="D75" s="14" t="e">
        <f>D74*D73</f>
        <v>#VALUE!</v>
      </c>
      <c r="E75" s="14" t="e">
        <f>E73*E74</f>
        <v>#VALUE!</v>
      </c>
      <c r="I75" s="107"/>
      <c r="J75" s="108"/>
      <c r="K75" s="108"/>
      <c r="L75" s="108"/>
      <c r="M75" s="108"/>
    </row>
    <row r="76" spans="1:17" ht="20.100000000000001" customHeight="1">
      <c r="A76" s="52" t="s">
        <v>172</v>
      </c>
      <c r="B76" s="52" t="e">
        <f>B67+B75</f>
        <v>#VALUE!</v>
      </c>
      <c r="C76" s="52" t="e">
        <f>C67+C75</f>
        <v>#VALUE!</v>
      </c>
      <c r="D76" s="52" t="e">
        <f>B67+D75</f>
        <v>#VALUE!</v>
      </c>
      <c r="E76" s="52" t="e">
        <f>C67+E75</f>
        <v>#VALUE!</v>
      </c>
      <c r="I76" s="107"/>
      <c r="J76" s="108"/>
      <c r="K76" s="108"/>
      <c r="L76" s="108"/>
      <c r="M76" s="108"/>
    </row>
  </sheetData>
  <protectedRanges>
    <protectedRange sqref="C5:G13 A1 O5:S13 M1" name="WT and POH Values"/>
  </protectedRanges>
  <mergeCells count="10">
    <mergeCell ref="A1:G2"/>
    <mergeCell ref="A55:E55"/>
    <mergeCell ref="H55:N59"/>
    <mergeCell ref="J61:N63"/>
    <mergeCell ref="J66:Q68"/>
    <mergeCell ref="J70:N72"/>
    <mergeCell ref="M1:S2"/>
    <mergeCell ref="V5:V13"/>
    <mergeCell ref="Q20:U20"/>
    <mergeCell ref="J5:J1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</dc:creator>
  <cp:keywords/>
  <dc:description/>
  <cp:lastModifiedBy>Olivier Widmer</cp:lastModifiedBy>
  <cp:revision/>
  <dcterms:created xsi:type="dcterms:W3CDTF">2015-06-05T18:17:20Z</dcterms:created>
  <dcterms:modified xsi:type="dcterms:W3CDTF">2023-03-30T03:42:45Z</dcterms:modified>
  <cp:category/>
  <cp:contentStatus/>
</cp:coreProperties>
</file>