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.diaz/JAN56830/data_raw/"/>
    </mc:Choice>
  </mc:AlternateContent>
  <xr:revisionPtr revIDLastSave="0" documentId="13_ncr:1_{A6A8596F-9F89-0F44-98D7-02DF2C854D93}" xr6:coauthVersionLast="47" xr6:coauthVersionMax="47" xr10:uidLastSave="{00000000-0000-0000-0000-000000000000}"/>
  <bookViews>
    <workbookView xWindow="24760" yWindow="2280" windowWidth="29040" windowHeight="15840" tabRatio="878" xr2:uid="{1AC5B781-42C1-4C1E-A6B2-B5DE3E62D3E1}"/>
  </bookViews>
  <sheets>
    <sheet name="CompilationWithYearVariation" sheetId="1" r:id="rId1"/>
    <sheet name="Jagannath_2022_Line5+" sheetId="2" r:id="rId2"/>
    <sheet name="Bhattacharya_2021" sheetId="3" r:id="rId3"/>
    <sheet name="Roy_2015" sheetId="4" r:id="rId4"/>
    <sheet name="Fiala_2020" sheetId="5" r:id="rId5"/>
    <sheet name="Fonseca_2021" sheetId="6" r:id="rId6"/>
    <sheet name="CPI-adjuster" sheetId="7" r:id="rId7"/>
  </sheets>
  <definedNames>
    <definedName name="TBL_CPI_Convert">'CPI-adjuster'!$A$3:$C$14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3" i="1" l="1" a="1"/>
  <c r="E83" i="1" s="1"/>
  <c r="D83" i="1" a="1"/>
  <c r="D83" i="1" s="1"/>
  <c r="E77" i="1" a="1"/>
  <c r="E77" i="1" s="1"/>
  <c r="D77" i="1" a="1"/>
  <c r="D77" i="1" s="1"/>
  <c r="E71" i="1" a="1"/>
  <c r="E71" i="1" s="1"/>
  <c r="D71" i="1" a="1"/>
  <c r="D71" i="1" s="1"/>
  <c r="E3" i="1" a="1"/>
  <c r="E3" i="1" s="1"/>
  <c r="E9" i="1" s="1"/>
  <c r="E15" i="1" s="1"/>
  <c r="D7" i="1" a="1"/>
  <c r="D7" i="1" s="1"/>
  <c r="D13" i="1" s="1"/>
  <c r="D19" i="1" s="1"/>
  <c r="D6" i="1" a="1"/>
  <c r="D6" i="1" s="1"/>
  <c r="D12" i="1" s="1"/>
  <c r="D18" i="1" s="1"/>
  <c r="D5" i="1" a="1"/>
  <c r="D5" i="1" s="1"/>
  <c r="D11" i="1" s="1"/>
  <c r="D17" i="1" s="1"/>
  <c r="D4" i="1" a="1"/>
  <c r="D4" i="1" s="1"/>
  <c r="D10" i="1" s="1"/>
  <c r="D16" i="1" s="1"/>
  <c r="E49" i="1" a="1"/>
  <c r="E49" i="1" s="1"/>
  <c r="D49" i="1" a="1"/>
  <c r="D49" i="1" s="1"/>
  <c r="E48" i="1" a="1"/>
  <c r="E48" i="1" s="1"/>
  <c r="D48" i="1" a="1"/>
  <c r="D48" i="1" s="1"/>
  <c r="E47" i="1" a="1"/>
  <c r="E47" i="1" s="1"/>
  <c r="D47" i="1" a="1"/>
  <c r="D47" i="1" s="1"/>
  <c r="E46" i="1" a="1"/>
  <c r="E46" i="1" s="1"/>
  <c r="D46" i="1" a="1"/>
  <c r="D46" i="1" s="1"/>
  <c r="E45" i="1" a="1"/>
  <c r="E45" i="1" s="1"/>
  <c r="D45" i="1" a="1"/>
  <c r="D45" i="1" s="1"/>
  <c r="E28" i="1" a="1"/>
  <c r="E28" i="1" s="1"/>
  <c r="D28" i="1" a="1"/>
  <c r="D28" i="1" s="1"/>
  <c r="E27" i="1" a="1"/>
  <c r="E27" i="1" s="1"/>
  <c r="D27" i="1" a="1"/>
  <c r="D27" i="1" s="1"/>
  <c r="E26" i="1" a="1"/>
  <c r="E26" i="1" s="1"/>
  <c r="D26" i="1" a="1"/>
  <c r="D26" i="1" s="1"/>
  <c r="E25" i="1" a="1"/>
  <c r="E25" i="1" s="1"/>
  <c r="D25" i="1" a="1"/>
  <c r="D25" i="1" s="1"/>
  <c r="E24" i="1" a="1"/>
  <c r="E24" i="1" s="1"/>
  <c r="D24" i="1" a="1"/>
  <c r="D24" i="1" s="1"/>
  <c r="E7" i="1" a="1"/>
  <c r="E7" i="1" s="1"/>
  <c r="E13" i="1" s="1"/>
  <c r="E19" i="1" s="1"/>
  <c r="E6" i="1" a="1"/>
  <c r="E6" i="1" s="1"/>
  <c r="E12" i="1" s="1"/>
  <c r="E18" i="1" s="1"/>
  <c r="E5" i="1" a="1"/>
  <c r="E5" i="1" s="1"/>
  <c r="E11" i="1" s="1"/>
  <c r="E17" i="1" s="1"/>
  <c r="E14" i="1"/>
  <c r="E20" i="1" s="1"/>
  <c r="D14" i="1"/>
  <c r="D20" i="1" s="1"/>
  <c r="E4" i="1" a="1"/>
  <c r="E4" i="1" s="1"/>
  <c r="E10" i="1" s="1"/>
  <c r="E16" i="1" s="1"/>
  <c r="D3" i="1" a="1"/>
  <c r="D3" i="1" s="1"/>
  <c r="D9" i="1" s="1"/>
  <c r="D15" i="1" s="1"/>
  <c r="C4" i="7"/>
  <c r="B14" i="7"/>
  <c r="C14" i="7" s="1"/>
  <c r="C13" i="7"/>
  <c r="C12" i="7"/>
  <c r="C11" i="7"/>
  <c r="C10" i="7"/>
  <c r="C9" i="7"/>
  <c r="C8" i="7"/>
  <c r="C7" i="7"/>
  <c r="C6" i="7"/>
  <c r="C5" i="7"/>
  <c r="AR88" i="6" l="1"/>
  <c r="AR87" i="6"/>
  <c r="AR86" i="6"/>
  <c r="AR84" i="6"/>
  <c r="AR83" i="6"/>
  <c r="AD88" i="6"/>
  <c r="AD87" i="6"/>
  <c r="AD86" i="6"/>
  <c r="AD84" i="6"/>
  <c r="AD83" i="6"/>
  <c r="AI83" i="6"/>
  <c r="AP86" i="6"/>
  <c r="AK86" i="6"/>
  <c r="AF86" i="6"/>
  <c r="AA86" i="6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C20" i="2"/>
  <c r="D51" i="1"/>
  <c r="D57" i="1" s="1"/>
  <c r="E56" i="1"/>
  <c r="E62" i="1" s="1"/>
  <c r="D56" i="1"/>
  <c r="D62" i="1" s="1"/>
  <c r="D54" i="1"/>
  <c r="D60" i="1" s="1"/>
  <c r="E33" i="1"/>
  <c r="E39" i="1" s="1"/>
  <c r="E35" i="1"/>
  <c r="E41" i="1" s="1"/>
  <c r="D35" i="1"/>
  <c r="D41" i="1" s="1"/>
  <c r="AK83" i="6"/>
  <c r="W88" i="6"/>
  <c r="W87" i="6"/>
  <c r="D30" i="1" s="1"/>
  <c r="D36" i="1" s="1"/>
  <c r="W86" i="6"/>
  <c r="X84" i="6"/>
  <c r="W84" i="6"/>
  <c r="X83" i="6"/>
  <c r="W83" i="6"/>
  <c r="AM83" i="6"/>
  <c r="AN86" i="6"/>
  <c r="AF76" i="6"/>
  <c r="AA73" i="6"/>
  <c r="AF88" i="6"/>
  <c r="D53" i="1" s="1"/>
  <c r="D59" i="1" s="1"/>
  <c r="AF87" i="6"/>
  <c r="AI87" i="6" s="1"/>
  <c r="AI86" i="6"/>
  <c r="AF84" i="6"/>
  <c r="AI84" i="6" s="1"/>
  <c r="AF83" i="6"/>
  <c r="AA88" i="6"/>
  <c r="D52" i="1" s="1"/>
  <c r="D58" i="1" s="1"/>
  <c r="AA87" i="6"/>
  <c r="D31" i="1" s="1"/>
  <c r="D37" i="1" s="1"/>
  <c r="AA84" i="6"/>
  <c r="AA83" i="6"/>
  <c r="AA28" i="6"/>
  <c r="AK88" i="6"/>
  <c r="AK87" i="6"/>
  <c r="D33" i="1" s="1"/>
  <c r="D39" i="1" s="1"/>
  <c r="AK84" i="6"/>
  <c r="AK43" i="6"/>
  <c r="AL43" i="6" s="1"/>
  <c r="AJ43" i="6"/>
  <c r="AK42" i="6"/>
  <c r="AL42" i="6" s="1"/>
  <c r="AJ42" i="6"/>
  <c r="AK41" i="6"/>
  <c r="AL41" i="6" s="1"/>
  <c r="AJ41" i="6"/>
  <c r="AK39" i="6"/>
  <c r="AL39" i="6" s="1"/>
  <c r="AJ39" i="6"/>
  <c r="AK38" i="6"/>
  <c r="AJ38" i="6"/>
  <c r="AF38" i="6"/>
  <c r="AG43" i="6"/>
  <c r="AF43" i="6"/>
  <c r="AG42" i="6"/>
  <c r="AH42" i="6" s="1"/>
  <c r="AF42" i="6"/>
  <c r="AG41" i="6"/>
  <c r="AF41" i="6"/>
  <c r="AG39" i="6"/>
  <c r="AH39" i="6" s="1"/>
  <c r="AF39" i="6"/>
  <c r="AG38" i="6"/>
  <c r="AB43" i="6"/>
  <c r="AA43" i="6"/>
  <c r="AB42" i="6"/>
  <c r="AA42" i="6"/>
  <c r="AB41" i="6"/>
  <c r="AA41" i="6"/>
  <c r="AB39" i="6"/>
  <c r="AA39" i="6"/>
  <c r="AB38" i="6"/>
  <c r="AC38" i="6" s="1"/>
  <c r="AB83" i="6" s="1"/>
  <c r="AC83" i="6" s="1"/>
  <c r="X16" i="6"/>
  <c r="AB16" i="6"/>
  <c r="AG16" i="6"/>
  <c r="AG4" i="6"/>
  <c r="AG31" i="6" s="1"/>
  <c r="AB4" i="6"/>
  <c r="AB31" i="6" s="1"/>
  <c r="X4" i="6"/>
  <c r="X32" i="6" s="1"/>
  <c r="AA38" i="6"/>
  <c r="AH23" i="6"/>
  <c r="AG68" i="6" s="1"/>
  <c r="AL88" i="6" s="1"/>
  <c r="AH22" i="6"/>
  <c r="AG67" i="6" s="1"/>
  <c r="AL87" i="6" s="1"/>
  <c r="AM87" i="6" s="1"/>
  <c r="AH21" i="6"/>
  <c r="AG66" i="6" s="1"/>
  <c r="AL86" i="6" s="1"/>
  <c r="AH19" i="6"/>
  <c r="AG64" i="6" s="1"/>
  <c r="AL84" i="6" s="1"/>
  <c r="AM84" i="6" s="1"/>
  <c r="AH18" i="6"/>
  <c r="AG63" i="6" s="1"/>
  <c r="AL83" i="6" s="1"/>
  <c r="AH11" i="6"/>
  <c r="AG56" i="6" s="1"/>
  <c r="AH10" i="6"/>
  <c r="AG55" i="6" s="1"/>
  <c r="AH9" i="6"/>
  <c r="AG54" i="6" s="1"/>
  <c r="AH7" i="6"/>
  <c r="AG52" i="6" s="1"/>
  <c r="AH6" i="6"/>
  <c r="AG51" i="6" s="1"/>
  <c r="AC23" i="6"/>
  <c r="AB68" i="6" s="1"/>
  <c r="AC22" i="6"/>
  <c r="AB67" i="6" s="1"/>
  <c r="AC21" i="6"/>
  <c r="AB66" i="6" s="1"/>
  <c r="AC19" i="6"/>
  <c r="AB64" i="6" s="1"/>
  <c r="AC18" i="6"/>
  <c r="AB63" i="6" s="1"/>
  <c r="AC11" i="6"/>
  <c r="AB56" i="6" s="1"/>
  <c r="AC10" i="6"/>
  <c r="AB55" i="6" s="1"/>
  <c r="AC9" i="6"/>
  <c r="AB54" i="6" s="1"/>
  <c r="AC7" i="6"/>
  <c r="AB52" i="6" s="1"/>
  <c r="AC6" i="6"/>
  <c r="AB51" i="6" s="1"/>
  <c r="Y23" i="6"/>
  <c r="X68" i="6" s="1"/>
  <c r="Y22" i="6"/>
  <c r="X67" i="6" s="1"/>
  <c r="Y21" i="6"/>
  <c r="X66" i="6" s="1"/>
  <c r="Y19" i="6"/>
  <c r="X64" i="6" s="1"/>
  <c r="Y18" i="6"/>
  <c r="X63" i="6" s="1"/>
  <c r="Y11" i="6"/>
  <c r="X56" i="6" s="1"/>
  <c r="X88" i="6" s="1"/>
  <c r="E51" i="1" s="1"/>
  <c r="E57" i="1" s="1"/>
  <c r="Y10" i="6"/>
  <c r="X55" i="6" s="1"/>
  <c r="X87" i="6" s="1"/>
  <c r="E30" i="1" s="1"/>
  <c r="E36" i="1" s="1"/>
  <c r="Y9" i="6"/>
  <c r="X54" i="6" s="1"/>
  <c r="X86" i="6" s="1"/>
  <c r="Y7" i="6"/>
  <c r="X52" i="6" s="1"/>
  <c r="Y6" i="6"/>
  <c r="X51" i="6" s="1"/>
  <c r="AF78" i="6"/>
  <c r="AA78" i="6"/>
  <c r="W78" i="6"/>
  <c r="AF77" i="6"/>
  <c r="AA77" i="6"/>
  <c r="W77" i="6"/>
  <c r="AA76" i="6"/>
  <c r="W76" i="6"/>
  <c r="AF74" i="6"/>
  <c r="AA74" i="6"/>
  <c r="W74" i="6"/>
  <c r="AF73" i="6"/>
  <c r="W73" i="6"/>
  <c r="AF70" i="6"/>
  <c r="AA70" i="6"/>
  <c r="W70" i="6"/>
  <c r="AF58" i="6"/>
  <c r="AA58" i="6"/>
  <c r="W58" i="6"/>
  <c r="W28" i="6"/>
  <c r="AM88" i="6" l="1"/>
  <c r="E54" i="1"/>
  <c r="E60" i="1" s="1"/>
  <c r="AP87" i="6"/>
  <c r="D34" i="1" s="1"/>
  <c r="D40" i="1" s="1"/>
  <c r="AI88" i="6"/>
  <c r="AH43" i="6"/>
  <c r="AG88" i="6" s="1"/>
  <c r="AG84" i="6"/>
  <c r="AH84" i="6" s="1"/>
  <c r="AB32" i="6"/>
  <c r="AB33" i="6"/>
  <c r="AN88" i="6"/>
  <c r="AN83" i="6"/>
  <c r="AP83" i="6" s="1"/>
  <c r="AQ83" i="6" s="1"/>
  <c r="D32" i="1"/>
  <c r="D38" i="1" s="1"/>
  <c r="AG28" i="6"/>
  <c r="AN84" i="6"/>
  <c r="AP84" i="6" s="1"/>
  <c r="AG87" i="6"/>
  <c r="AL38" i="6"/>
  <c r="AN87" i="6"/>
  <c r="AB28" i="6"/>
  <c r="AM86" i="6"/>
  <c r="AC39" i="6"/>
  <c r="AB84" i="6" s="1"/>
  <c r="AC84" i="6" s="1"/>
  <c r="AG33" i="6"/>
  <c r="AH41" i="6"/>
  <c r="AG86" i="6" s="1"/>
  <c r="AC43" i="6"/>
  <c r="AB88" i="6" s="1"/>
  <c r="X29" i="6"/>
  <c r="X31" i="6"/>
  <c r="AB29" i="6"/>
  <c r="X28" i="6"/>
  <c r="Y28" i="6" s="1"/>
  <c r="X73" i="6" s="1"/>
  <c r="AC42" i="6"/>
  <c r="AB87" i="6" s="1"/>
  <c r="AG29" i="6"/>
  <c r="AG32" i="6"/>
  <c r="AH38" i="6"/>
  <c r="AG83" i="6" s="1"/>
  <c r="AH83" i="6" s="1"/>
  <c r="AC41" i="6"/>
  <c r="AB86" i="6" s="1"/>
  <c r="X33" i="6"/>
  <c r="AF33" i="6"/>
  <c r="AF32" i="6"/>
  <c r="AF31" i="6"/>
  <c r="AH31" i="6" s="1"/>
  <c r="AG76" i="6" s="1"/>
  <c r="AF29" i="6"/>
  <c r="AF28" i="6"/>
  <c r="AA33" i="6"/>
  <c r="AC33" i="6" s="1"/>
  <c r="AB78" i="6" s="1"/>
  <c r="AA32" i="6"/>
  <c r="AC32" i="6" s="1"/>
  <c r="AB77" i="6" s="1"/>
  <c r="AA31" i="6"/>
  <c r="AC31" i="6" s="1"/>
  <c r="AB76" i="6" s="1"/>
  <c r="AA29" i="6"/>
  <c r="AC28" i="6"/>
  <c r="AB73" i="6" s="1"/>
  <c r="W31" i="6"/>
  <c r="W33" i="6"/>
  <c r="W32" i="6"/>
  <c r="Y32" i="6" s="1"/>
  <c r="X77" i="6" s="1"/>
  <c r="W29" i="6"/>
  <c r="AF13" i="6"/>
  <c r="AA13" i="6"/>
  <c r="AF25" i="6"/>
  <c r="AA25" i="6"/>
  <c r="W25" i="6"/>
  <c r="W13" i="6"/>
  <c r="AQ84" i="6" l="1"/>
  <c r="E31" i="1"/>
  <c r="E37" i="1" s="1"/>
  <c r="AC87" i="6"/>
  <c r="AQ87" i="6" s="1"/>
  <c r="E34" i="1" s="1"/>
  <c r="E40" i="1" s="1"/>
  <c r="Y31" i="6"/>
  <c r="X76" i="6" s="1"/>
  <c r="E52" i="1"/>
  <c r="E58" i="1" s="1"/>
  <c r="AC88" i="6"/>
  <c r="AC29" i="6"/>
  <c r="AB74" i="6" s="1"/>
  <c r="AH86" i="6"/>
  <c r="AP88" i="6"/>
  <c r="D55" i="1" s="1"/>
  <c r="D61" i="1" s="1"/>
  <c r="AC86" i="6"/>
  <c r="AQ86" i="6" s="1"/>
  <c r="Y29" i="6"/>
  <c r="X74" i="6" s="1"/>
  <c r="AH28" i="6"/>
  <c r="AG73" i="6" s="1"/>
  <c r="E53" i="1"/>
  <c r="E59" i="1" s="1"/>
  <c r="AH88" i="6"/>
  <c r="AH87" i="6"/>
  <c r="E32" i="1"/>
  <c r="E38" i="1" s="1"/>
  <c r="Y33" i="6"/>
  <c r="X78" i="6" s="1"/>
  <c r="AH33" i="6"/>
  <c r="AG78" i="6" s="1"/>
  <c r="AH32" i="6"/>
  <c r="AG77" i="6" s="1"/>
  <c r="AH29" i="6"/>
  <c r="AG74" i="6" s="1"/>
  <c r="E3" i="5"/>
  <c r="H2" i="5"/>
  <c r="F2" i="5" s="1"/>
  <c r="G2" i="5"/>
  <c r="G3" i="5" s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D20" i="2"/>
  <c r="H3" i="5" l="1"/>
  <c r="F3" i="5" s="1"/>
  <c r="AQ88" i="6"/>
  <c r="E55" i="1" s="1"/>
  <c r="E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<sst xmlns="http://schemas.openxmlformats.org/spreadsheetml/2006/main" count="437" uniqueCount="167">
  <si>
    <t>Total all-cause and</t>
  </si>
  <si>
    <t>All</t>
  </si>
  <si>
    <t>Patients MM-related</t>
  </si>
  <si>
    <t>patients</t>
  </si>
  <si>
    <t>aged &lt; 65 years healthcare costs</t>
  </si>
  <si>
    <r>
      <t>(</t>
    </r>
    <r>
      <rPr>
        <sz val="10"/>
        <color rgb="FF000000"/>
        <rFont val="Calibri"/>
        <family val="2"/>
      </rPr>
      <t xml:space="preserve">N </t>
    </r>
    <r>
      <rPr>
        <sz val="10"/>
        <color rgb="FF000000"/>
        <rFont val="Times New Roman"/>
        <family val="1"/>
      </rPr>
      <t>= 68)</t>
    </r>
  </si>
  <si>
    <t>(commercially</t>
  </si>
  <si>
    <r>
      <t>insured) (</t>
    </r>
    <r>
      <rPr>
        <sz val="10"/>
        <color rgb="FF000000"/>
        <rFont val="Calibri"/>
        <family val="2"/>
      </rPr>
      <t xml:space="preserve">N </t>
    </r>
    <r>
      <rPr>
        <sz val="10"/>
        <color rgb="FF000000"/>
        <rFont val="Times New Roman"/>
        <family val="1"/>
      </rPr>
      <t>= 62)</t>
    </r>
  </si>
  <si>
    <r>
      <t xml:space="preserve">Follow-up duration in </t>
    </r>
    <r>
      <rPr>
        <sz val="10"/>
        <color rgb="FF000000"/>
        <rFont val="Times New Roman"/>
        <family val="1"/>
      </rPr>
      <t xml:space="preserve">21.9 22.2 </t>
    </r>
    <r>
      <rPr>
        <sz val="10"/>
        <color rgb="FF000000"/>
        <rFont val="Calibri"/>
        <family val="2"/>
      </rPr>
      <t>months, mean</t>
    </r>
  </si>
  <si>
    <r>
      <t>PPPM, mean</t>
    </r>
    <r>
      <rPr>
        <vertAlign val="superscript"/>
        <sz val="10"/>
        <color rgb="FF000000"/>
        <rFont val="Times New Roman"/>
        <family val="1"/>
      </rPr>
      <t>a</t>
    </r>
  </si>
  <si>
    <r>
      <t>MM-related healthcare costs per patient, mean</t>
    </r>
    <r>
      <rPr>
        <vertAlign val="superscript"/>
        <sz val="10"/>
        <color rgb="FF000000"/>
        <rFont val="Calibri"/>
        <family val="2"/>
      </rPr>
      <t>a</t>
    </r>
  </si>
  <si>
    <t>Inpatient cost</t>
  </si>
  <si>
    <t>Emergency room cost</t>
  </si>
  <si>
    <t>Outpatient cost</t>
  </si>
  <si>
    <t>MM drug cost</t>
  </si>
  <si>
    <t>MM drug infusion cost</t>
  </si>
  <si>
    <t>Stem cell transplant cost</t>
  </si>
  <si>
    <t>Other costs</t>
  </si>
  <si>
    <t>Total costs</t>
  </si>
  <si>
    <t>Total all-cause</t>
  </si>
  <si>
    <t>Table 3</t>
  </si>
  <si>
    <t>NON DRUG</t>
  </si>
  <si>
    <t>PMPM cost</t>
  </si>
  <si>
    <t>Mean estimate (95% CI), $</t>
  </si>
  <si>
    <t>MM group</t>
  </si>
  <si>
    <t>Noncancer group</t>
  </si>
  <si>
    <t>Incremental MM cost</t>
  </si>
  <si>
    <t>Disease lifetime</t>
  </si>
  <si>
    <t>234002 (232232-235870)</t>
  </si>
  <si>
    <t>49507 (49133-49903)</t>
  </si>
  <si>
    <t>184495 (183099-185968)</t>
  </si>
  <si>
    <t>Prediagnosis phase</t>
  </si>
  <si>
    <t>2589 (2531-2647)</t>
  </si>
  <si>
    <t>1344 (1314-1375)</t>
  </si>
  <si>
    <t>1244 (1216-1272)</t>
  </si>
  <si>
    <t>Outpatient</t>
  </si>
  <si>
    <t>873 (862-885)</t>
  </si>
  <si>
    <t>365 (361-370)</t>
  </si>
  <si>
    <t>508 (501-515)</t>
  </si>
  <si>
    <t>Inpatient</t>
  </si>
  <si>
    <t>1247 (1219-1278)</t>
  </si>
  <si>
    <t>543 (523-565)</t>
  </si>
  <si>
    <t>704 (696-713)</t>
  </si>
  <si>
    <t>Prescription drugs</t>
  </si>
  <si>
    <t>292 (289-295)</t>
  </si>
  <si>
    <t>271 (268-273)</t>
  </si>
  <si>
    <t>21 (21-21)</t>
  </si>
  <si>
    <t>Other</t>
  </si>
  <si>
    <t>182 (175-190)</t>
  </si>
  <si>
    <t>153 (146-159)</t>
  </si>
  <si>
    <t>29 (28-31)</t>
  </si>
  <si>
    <t>Initial phase</t>
  </si>
  <si>
    <t>12557 (12412-12700)</t>
  </si>
  <si>
    <t>1375 (1360-1391)</t>
  </si>
  <si>
    <t>11181 (11052-11309)</t>
  </si>
  <si>
    <t>4369 (4336-4404)</t>
  </si>
  <si>
    <t>396 (393-399)</t>
  </si>
  <si>
    <t>3973 (3943-4005)</t>
  </si>
  <si>
    <t>4821 (4736-4905)</t>
  </si>
  <si>
    <t>546 (537-555)</t>
  </si>
  <si>
    <t>4275 (4199-4350)</t>
  </si>
  <si>
    <t>2508 (2493-2524)</t>
  </si>
  <si>
    <t>270 (269-272)</t>
  </si>
  <si>
    <t>2237 (2224-2252)</t>
  </si>
  <si>
    <t>868 (839-895)</t>
  </si>
  <si>
    <t>147 (142-151)</t>
  </si>
  <si>
    <t>721 (697-744)</t>
  </si>
  <si>
    <t>Continuing care phase</t>
  </si>
  <si>
    <t>6968 (6897-7042)</t>
  </si>
  <si>
    <t>1334 (1320-1348)</t>
  </si>
  <si>
    <t>5634 (5577-5694)</t>
  </si>
  <si>
    <t>2166 (2149-2183)</t>
  </si>
  <si>
    <t>364 (361-367)</t>
  </si>
  <si>
    <t>1802 (1788-1816)</t>
  </si>
  <si>
    <t>1645 (1623-1668)</t>
  </si>
  <si>
    <t>558 (550-567)</t>
  </si>
  <si>
    <t>1087 (1074-1101)</t>
  </si>
  <si>
    <t>2751 (2736-2766)</t>
  </si>
  <si>
    <t>225 (224-226)</t>
  </si>
  <si>
    <t>2526 (2513-2540)</t>
  </si>
  <si>
    <t>410 (399-421)</t>
  </si>
  <si>
    <t>196 (191-201)</t>
  </si>
  <si>
    <t>214 (208-220)</t>
  </si>
  <si>
    <t>Terminal phase</t>
  </si>
  <si>
    <t>15364 (15286-15447)</t>
  </si>
  <si>
    <t>9084 (9038-9133)</t>
  </si>
  <si>
    <t>6280 (6248-6314)</t>
  </si>
  <si>
    <t>3699 (3677-3722)</t>
  </si>
  <si>
    <t>1518 (1509-1528)</t>
  </si>
  <si>
    <t>2181 (2168-2194)</t>
  </si>
  <si>
    <t>8411 (8353-8472)</t>
  </si>
  <si>
    <t>6351 (6307-6397)</t>
  </si>
  <si>
    <t>2060 (2046-2075)</t>
  </si>
  <si>
    <t>1947 (1938-1956)</t>
  </si>
  <si>
    <t>346 (345-348)</t>
  </si>
  <si>
    <t>1600 (1593-1608)</t>
  </si>
  <si>
    <t>1267 (1257-1276)</t>
  </si>
  <si>
    <t>806 (800-812)</t>
  </si>
  <si>
    <t>461 (457-464)</t>
  </si>
  <si>
    <t>Table 3. Multivariable Analysis Between Older Adults With MM and Matched Noncancer Cohort</t>
  </si>
  <si>
    <t>Duration of the initial (A) and terminal (B) care phases. MM indicates multiple myeloma.</t>
  </si>
  <si>
    <t>Annualized Difference</t>
  </si>
  <si>
    <t>Pharmacy</t>
  </si>
  <si>
    <t>Medical</t>
  </si>
  <si>
    <t>Grd 3_4 AE</t>
  </si>
  <si>
    <t>Panobinostat,+ bortezomib,+ dexamethasone</t>
  </si>
  <si>
    <t xml:space="preserve">Bortezomib+ dexamethasone+ </t>
  </si>
  <si>
    <t xml:space="preserve">Lenalidomide+ dexamethasone+ </t>
  </si>
  <si>
    <t>Lenalidomide,+ bortezomib,+ dexamethasone</t>
  </si>
  <si>
    <t>Carfilzomib,+ lenalidomide,+ dexamethasone</t>
  </si>
  <si>
    <t xml:space="preserve">Carfilzomib+ + </t>
  </si>
  <si>
    <t xml:space="preserve">Pomalidomide+ dexamethasone+ </t>
  </si>
  <si>
    <t xml:space="preserve">Medicare+ + </t>
  </si>
  <si>
    <t>Year 2015</t>
  </si>
  <si>
    <t>Total annualized cost of Treatment Regimines (per Patient)</t>
  </si>
  <si>
    <t xml:space="preserve"> Monthly  Hospice (EofL) care: </t>
  </si>
  <si>
    <t>Annualized</t>
  </si>
  <si>
    <t>Mean</t>
  </si>
  <si>
    <t>N</t>
  </si>
  <si>
    <t xml:space="preserve">MM Therapy </t>
  </si>
  <si>
    <t>SE</t>
  </si>
  <si>
    <t>SCT</t>
  </si>
  <si>
    <t>Other Hospitalization</t>
  </si>
  <si>
    <t>Other Outpatient Costs</t>
  </si>
  <si>
    <t>Other Ourpatient Rx</t>
  </si>
  <si>
    <t>Without Progression</t>
  </si>
  <si>
    <t>With Progression</t>
  </si>
  <si>
    <t>Weighted</t>
  </si>
  <si>
    <t>Months</t>
  </si>
  <si>
    <t>state_id</t>
  </si>
  <si>
    <t>state_name</t>
  </si>
  <si>
    <t>mean</t>
  </si>
  <si>
    <t>se</t>
  </si>
  <si>
    <t>P1</t>
  </si>
  <si>
    <t>R1_P2</t>
  </si>
  <si>
    <t>R2_P3</t>
  </si>
  <si>
    <t>R3_P4</t>
  </si>
  <si>
    <t>R4_P5</t>
  </si>
  <si>
    <t>R5</t>
  </si>
  <si>
    <t>source</t>
  </si>
  <si>
    <t>Fiala_2020</t>
  </si>
  <si>
    <t>Notes</t>
  </si>
  <si>
    <t>Year</t>
  </si>
  <si>
    <t>These are estimated annual hospice costs used in other MM model</t>
  </si>
  <si>
    <t>Unadjusted (from Table 2) Mean annual HCRU and Costs</t>
  </si>
  <si>
    <t>Adjusted Mean Annual HealthCare Costs by LOT (Figure 5)</t>
  </si>
  <si>
    <t>Other Outpatient Rx</t>
  </si>
  <si>
    <t>CV</t>
  </si>
  <si>
    <t>~SE (via Unadjusted CV)</t>
  </si>
  <si>
    <t>HOSPICE</t>
  </si>
  <si>
    <t>Fonseca_2021</t>
  </si>
  <si>
    <t>These are the non-progression estimates for those in the first LOT and without progression</t>
  </si>
  <si>
    <t>Wieghted with combined Prior line progression and Post without</t>
  </si>
  <si>
    <t>These are a wieghted average of adjusted annual estimates from progression from LOT1 and non-progression LOT2</t>
  </si>
  <si>
    <t>These are a wieghted average of adjusted annual estimates from progression from LOT2 and non-progression LOT3</t>
  </si>
  <si>
    <t>Assumed</t>
  </si>
  <si>
    <t>LOT1</t>
  </si>
  <si>
    <t>LOT2</t>
  </si>
  <si>
    <t>LOT3</t>
  </si>
  <si>
    <t>LOT4</t>
  </si>
  <si>
    <t>LOT5</t>
  </si>
  <si>
    <t>These are trended across estimates of prior LOTS</t>
  </si>
  <si>
    <t>CPI-Medical Care</t>
  </si>
  <si>
    <t>https://data.bls.gov/timeseries/CUUR0000SAM?output_view=data</t>
  </si>
  <si>
    <t>Annual</t>
  </si>
  <si>
    <t>multiplier</t>
  </si>
  <si>
    <t>strategy_id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</si>
</sst>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0.000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vertAlign val="superscript"/>
      <sz val="10"/>
      <color rgb="FF000000"/>
      <name val="Times New Roman"/>
      <family val="1"/>
    </font>
    <font>
      <vertAlign val="superscript"/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i/>
      <sz val="10"/>
      <color rgb="FF000000"/>
      <name val="Times New Roman"/>
      <family val="1"/>
    </font>
    <font>
      <sz val="7"/>
      <color rgb="FF181717"/>
      <name val="Calibri"/>
      <family val="2"/>
      <scheme val="minor"/>
    </font>
    <font>
      <b/>
      <sz val="12"/>
      <color rgb="FF181717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81717"/>
      <name val="Calibri"/>
      <family val="2"/>
      <scheme val="minor"/>
    </font>
    <font>
      <b/>
      <i/>
      <sz val="12"/>
      <color rgb="FF181717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F2E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181717"/>
      </top>
      <bottom style="medium">
        <color rgb="FF181717"/>
      </bottom>
      <diagonal/>
    </border>
    <border>
      <left/>
      <right/>
      <top style="medium">
        <color rgb="FF181717"/>
      </top>
      <bottom/>
      <diagonal/>
    </border>
    <border>
      <left/>
      <right/>
      <top/>
      <bottom style="medium">
        <color rgb="FF181717"/>
      </bottom>
      <diagonal/>
    </border>
    <border>
      <left/>
      <right/>
      <top/>
      <bottom style="medium">
        <color rgb="FFC3BCAB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 wrapText="1"/>
    </xf>
    <xf numFmtId="6" fontId="0" fillId="0" borderId="0" xfId="0" applyNumberFormat="1"/>
    <xf numFmtId="6" fontId="3" fillId="0" borderId="0" xfId="0" applyNumberFormat="1" applyFont="1" applyAlignment="1">
      <alignment horizontal="left" vertical="center" wrapText="1"/>
    </xf>
    <xf numFmtId="6" fontId="3" fillId="0" borderId="0" xfId="0" applyNumberFormat="1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 indent="1"/>
    </xf>
    <xf numFmtId="0" fontId="7" fillId="0" borderId="0" xfId="0" applyFont="1"/>
    <xf numFmtId="0" fontId="2" fillId="0" borderId="0" xfId="0" applyFont="1"/>
    <xf numFmtId="6" fontId="8" fillId="0" borderId="0" xfId="0" applyNumberFormat="1" applyFont="1" applyAlignment="1">
      <alignment horizontal="left" vertical="center" wrapText="1"/>
    </xf>
    <xf numFmtId="6" fontId="8" fillId="0" borderId="0" xfId="0" applyNumberFormat="1" applyFont="1" applyAlignment="1">
      <alignment horizontal="justify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2" borderId="1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horizontal="left" vertical="center" wrapText="1" indent="1"/>
    </xf>
    <xf numFmtId="0" fontId="12" fillId="3" borderId="4" xfId="0" applyFont="1" applyFill="1" applyBorder="1" applyAlignment="1">
      <alignment horizontal="left" vertical="center" wrapText="1" indent="1"/>
    </xf>
    <xf numFmtId="0" fontId="12" fillId="3" borderId="3" xfId="0" applyFont="1" applyFill="1" applyBorder="1" applyAlignment="1">
      <alignment horizontal="left" vertical="center" wrapText="1" indent="1"/>
    </xf>
    <xf numFmtId="0" fontId="12" fillId="3" borderId="3" xfId="0" applyFont="1" applyFill="1" applyBorder="1" applyAlignment="1">
      <alignment vertical="center" wrapText="1"/>
    </xf>
    <xf numFmtId="44" fontId="0" fillId="0" borderId="0" xfId="1" applyFont="1"/>
    <xf numFmtId="44" fontId="12" fillId="3" borderId="4" xfId="0" applyNumberFormat="1" applyFont="1" applyFill="1" applyBorder="1" applyAlignment="1">
      <alignment vertical="center" wrapText="1"/>
    </xf>
    <xf numFmtId="44" fontId="12" fillId="2" borderId="4" xfId="0" applyNumberFormat="1" applyFont="1" applyFill="1" applyBorder="1" applyAlignment="1">
      <alignment vertical="center" wrapText="1"/>
    </xf>
    <xf numFmtId="44" fontId="12" fillId="3" borderId="3" xfId="0" applyNumberFormat="1" applyFont="1" applyFill="1" applyBorder="1" applyAlignment="1">
      <alignment vertical="center" wrapText="1"/>
    </xf>
    <xf numFmtId="44" fontId="10" fillId="2" borderId="4" xfId="0" applyNumberFormat="1" applyFont="1" applyFill="1" applyBorder="1" applyAlignment="1">
      <alignment vertical="center" wrapText="1"/>
    </xf>
    <xf numFmtId="44" fontId="13" fillId="2" borderId="4" xfId="0" applyNumberFormat="1" applyFont="1" applyFill="1" applyBorder="1" applyAlignment="1">
      <alignment vertical="center" wrapText="1"/>
    </xf>
    <xf numFmtId="44" fontId="10" fillId="3" borderId="4" xfId="0" applyNumberFormat="1" applyFont="1" applyFill="1" applyBorder="1" applyAlignment="1">
      <alignment vertical="center" wrapText="1"/>
    </xf>
    <xf numFmtId="0" fontId="14" fillId="0" borderId="0" xfId="0" applyFont="1"/>
    <xf numFmtId="44" fontId="0" fillId="0" borderId="0" xfId="0" applyNumberFormat="1"/>
    <xf numFmtId="0" fontId="0" fillId="4" borderId="0" xfId="0" applyFill="1"/>
    <xf numFmtId="44" fontId="0" fillId="4" borderId="0" xfId="1" applyFont="1" applyFill="1"/>
    <xf numFmtId="0" fontId="0" fillId="0" borderId="0" xfId="0" quotePrefix="1"/>
    <xf numFmtId="0" fontId="0" fillId="5" borderId="0" xfId="0" applyFill="1"/>
    <xf numFmtId="0" fontId="14" fillId="5" borderId="0" xfId="0" applyFont="1" applyFill="1"/>
    <xf numFmtId="0" fontId="16" fillId="0" borderId="0" xfId="0" applyFont="1"/>
    <xf numFmtId="165" fontId="0" fillId="0" borderId="0" xfId="2" applyNumberFormat="1" applyFont="1"/>
    <xf numFmtId="10" fontId="0" fillId="0" borderId="0" xfId="2" applyNumberFormat="1" applyFont="1"/>
    <xf numFmtId="44" fontId="3" fillId="0" borderId="0" xfId="1" applyFont="1" applyAlignment="1">
      <alignment horizontal="left" vertical="center" wrapText="1"/>
    </xf>
    <xf numFmtId="0" fontId="17" fillId="0" borderId="0" xfId="3" applyFont="1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/>
    </xf>
    <xf numFmtId="0" fontId="4" fillId="0" borderId="0" xfId="0" applyFont="1" applyAlignment="1">
      <alignment horizontal="left" vertical="center"/>
    </xf>
    <xf numFmtId="0" fontId="13" fillId="2" borderId="2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vertical="center" wrapText="1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3">
    <dxf>
      <numFmt numFmtId="164" formatCode="0.000"/>
      <alignment horizontal="right" vertical="bottom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5</xdr:col>
      <xdr:colOff>387350</xdr:colOff>
      <xdr:row>1</xdr:row>
      <xdr:rowOff>12065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DA93991-4D91-F6E8-2E17-584F7484E725}"/>
            </a:ext>
          </a:extLst>
        </xdr:cNvPr>
        <xdr:cNvGrpSpPr/>
      </xdr:nvGrpSpPr>
      <xdr:grpSpPr>
        <a:xfrm>
          <a:off x="673100" y="190500"/>
          <a:ext cx="6292850" cy="12065"/>
          <a:chOff x="0" y="0"/>
          <a:chExt cx="2826004" cy="12240"/>
        </a:xfrm>
      </xdr:grpSpPr>
      <xdr:sp macro="" textlink="">
        <xdr:nvSpPr>
          <xdr:cNvPr id="3" name="Shape 22589">
            <a:extLst>
              <a:ext uri="{FF2B5EF4-FFF2-40B4-BE49-F238E27FC236}">
                <a16:creationId xmlns:a16="http://schemas.microsoft.com/office/drawing/2014/main" id="{BB3B0932-A7A0-7499-0BE6-08902D1097D4}"/>
              </a:ext>
            </a:extLst>
          </xdr:cNvPr>
          <xdr:cNvSpPr/>
        </xdr:nvSpPr>
        <xdr:spPr>
          <a:xfrm>
            <a:off x="0" y="0"/>
            <a:ext cx="2826004" cy="12240"/>
          </a:xfrm>
          <a:custGeom>
            <a:avLst/>
            <a:gdLst/>
            <a:ahLst/>
            <a:cxnLst/>
            <a:rect l="0" t="0" r="0" b="0"/>
            <a:pathLst>
              <a:path w="2826004" h="12240">
                <a:moveTo>
                  <a:pt x="0" y="0"/>
                </a:moveTo>
                <a:lnTo>
                  <a:pt x="2826004" y="0"/>
                </a:lnTo>
                <a:lnTo>
                  <a:pt x="2826004" y="12240"/>
                </a:lnTo>
                <a:lnTo>
                  <a:pt x="0" y="12240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</xdr:grpSp>
    <xdr:clientData/>
  </xdr:twoCellAnchor>
  <xdr:twoCellAnchor>
    <xdr:from>
      <xdr:col>1</xdr:col>
      <xdr:colOff>0</xdr:colOff>
      <xdr:row>3</xdr:row>
      <xdr:rowOff>0</xdr:rowOff>
    </xdr:from>
    <xdr:to>
      <xdr:col>5</xdr:col>
      <xdr:colOff>387350</xdr:colOff>
      <xdr:row>3</xdr:row>
      <xdr:rowOff>6350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70F44B-4958-D4B2-75AF-FD82FC0D76A7}"/>
            </a:ext>
          </a:extLst>
        </xdr:cNvPr>
        <xdr:cNvGrpSpPr/>
      </xdr:nvGrpSpPr>
      <xdr:grpSpPr>
        <a:xfrm>
          <a:off x="673100" y="571500"/>
          <a:ext cx="6292850" cy="6350"/>
          <a:chOff x="0" y="0"/>
          <a:chExt cx="2826004" cy="6480"/>
        </a:xfrm>
      </xdr:grpSpPr>
      <xdr:sp macro="" textlink="">
        <xdr:nvSpPr>
          <xdr:cNvPr id="5" name="Shape 22591">
            <a:extLst>
              <a:ext uri="{FF2B5EF4-FFF2-40B4-BE49-F238E27FC236}">
                <a16:creationId xmlns:a16="http://schemas.microsoft.com/office/drawing/2014/main" id="{5AB05C2B-AFF6-3FF0-FDEC-F76AA7877280}"/>
              </a:ext>
            </a:extLst>
          </xdr:cNvPr>
          <xdr:cNvSpPr/>
        </xdr:nvSpPr>
        <xdr:spPr>
          <a:xfrm>
            <a:off x="0" y="0"/>
            <a:ext cx="2826004" cy="9144"/>
          </a:xfrm>
          <a:custGeom>
            <a:avLst/>
            <a:gdLst/>
            <a:ahLst/>
            <a:cxnLst/>
            <a:rect l="0" t="0" r="0" b="0"/>
            <a:pathLst>
              <a:path w="2826004" h="9144">
                <a:moveTo>
                  <a:pt x="0" y="0"/>
                </a:moveTo>
                <a:lnTo>
                  <a:pt x="2826004" y="0"/>
                </a:lnTo>
                <a:lnTo>
                  <a:pt x="2826004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109538</xdr:colOff>
      <xdr:row>29</xdr:row>
      <xdr:rowOff>100012</xdr:rowOff>
    </xdr:from>
    <xdr:to>
      <xdr:col>4</xdr:col>
      <xdr:colOff>2428875</xdr:colOff>
      <xdr:row>49</xdr:row>
      <xdr:rowOff>119062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E17DC0C-DEA3-7AE9-0E63-4D15A7F9E895}"/>
            </a:ext>
          </a:extLst>
        </xdr:cNvPr>
        <xdr:cNvGrpSpPr/>
      </xdr:nvGrpSpPr>
      <xdr:grpSpPr>
        <a:xfrm>
          <a:off x="785506" y="6470496"/>
          <a:ext cx="11321998" cy="3910985"/>
          <a:chOff x="0" y="0"/>
          <a:chExt cx="6538748" cy="2023643"/>
        </a:xfrm>
      </xdr:grpSpPr>
      <xdr:sp macro="" textlink="">
        <xdr:nvSpPr>
          <xdr:cNvPr id="3" name="Shape 784">
            <a:extLst>
              <a:ext uri="{FF2B5EF4-FFF2-40B4-BE49-F238E27FC236}">
                <a16:creationId xmlns:a16="http://schemas.microsoft.com/office/drawing/2014/main" id="{DAF7CE68-0EED-E104-1656-C283E11F00A4}"/>
              </a:ext>
            </a:extLst>
          </xdr:cNvPr>
          <xdr:cNvSpPr/>
        </xdr:nvSpPr>
        <xdr:spPr>
          <a:xfrm>
            <a:off x="687362" y="1653197"/>
            <a:ext cx="24613" cy="0"/>
          </a:xfrm>
          <a:custGeom>
            <a:avLst/>
            <a:gdLst/>
            <a:ahLst/>
            <a:cxnLst/>
            <a:rect l="0" t="0" r="0" b="0"/>
            <a:pathLst>
              <a:path w="24613">
                <a:moveTo>
                  <a:pt x="0" y="0"/>
                </a:moveTo>
                <a:lnTo>
                  <a:pt x="24613" y="0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48D9644-DBAE-BF63-7EC6-CC72429FB913}"/>
              </a:ext>
            </a:extLst>
          </xdr:cNvPr>
          <xdr:cNvSpPr/>
        </xdr:nvSpPr>
        <xdr:spPr>
          <a:xfrm>
            <a:off x="631092" y="1624967"/>
            <a:ext cx="55740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" name="Shape 786">
            <a:extLst>
              <a:ext uri="{FF2B5EF4-FFF2-40B4-BE49-F238E27FC236}">
                <a16:creationId xmlns:a16="http://schemas.microsoft.com/office/drawing/2014/main" id="{FB30101C-7383-94D3-B14A-2C776A34C12D}"/>
              </a:ext>
            </a:extLst>
          </xdr:cNvPr>
          <xdr:cNvSpPr/>
        </xdr:nvSpPr>
        <xdr:spPr>
          <a:xfrm>
            <a:off x="713575" y="43078"/>
            <a:ext cx="2400351" cy="0"/>
          </a:xfrm>
          <a:custGeom>
            <a:avLst/>
            <a:gdLst/>
            <a:ahLst/>
            <a:cxnLst/>
            <a:rect l="0" t="0" r="0" b="0"/>
            <a:pathLst>
              <a:path w="2400351">
                <a:moveTo>
                  <a:pt x="0" y="0"/>
                </a:moveTo>
                <a:lnTo>
                  <a:pt x="2400351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DEDDDC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6" name="Shape 787">
            <a:extLst>
              <a:ext uri="{FF2B5EF4-FFF2-40B4-BE49-F238E27FC236}">
                <a16:creationId xmlns:a16="http://schemas.microsoft.com/office/drawing/2014/main" id="{CC8A5394-A092-51EF-16A9-4E7B406FA24F}"/>
              </a:ext>
            </a:extLst>
          </xdr:cNvPr>
          <xdr:cNvSpPr/>
        </xdr:nvSpPr>
        <xdr:spPr>
          <a:xfrm>
            <a:off x="687362" y="43078"/>
            <a:ext cx="26213" cy="0"/>
          </a:xfrm>
          <a:custGeom>
            <a:avLst/>
            <a:gdLst/>
            <a:ahLst/>
            <a:cxnLst/>
            <a:rect l="0" t="0" r="0" b="0"/>
            <a:pathLst>
              <a:path w="26213">
                <a:moveTo>
                  <a:pt x="0" y="0"/>
                </a:moveTo>
                <a:lnTo>
                  <a:pt x="26213" y="0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49AE8783-B44C-3525-FB51-BCB4803EDA5D}"/>
              </a:ext>
            </a:extLst>
          </xdr:cNvPr>
          <xdr:cNvSpPr/>
        </xdr:nvSpPr>
        <xdr:spPr>
          <a:xfrm>
            <a:off x="455226" y="14844"/>
            <a:ext cx="289647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20</a:t>
            </a:r>
            <a:r>
              <a:rPr lang="en-US" sz="600" spc="-7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000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8" name="Shape 789">
            <a:extLst>
              <a:ext uri="{FF2B5EF4-FFF2-40B4-BE49-F238E27FC236}">
                <a16:creationId xmlns:a16="http://schemas.microsoft.com/office/drawing/2014/main" id="{C9F965DE-AA88-6CC2-F626-CAA9064ABA1E}"/>
              </a:ext>
            </a:extLst>
          </xdr:cNvPr>
          <xdr:cNvSpPr/>
        </xdr:nvSpPr>
        <xdr:spPr>
          <a:xfrm>
            <a:off x="713575" y="204088"/>
            <a:ext cx="2400351" cy="0"/>
          </a:xfrm>
          <a:custGeom>
            <a:avLst/>
            <a:gdLst/>
            <a:ahLst/>
            <a:cxnLst/>
            <a:rect l="0" t="0" r="0" b="0"/>
            <a:pathLst>
              <a:path w="2400351">
                <a:moveTo>
                  <a:pt x="0" y="0"/>
                </a:moveTo>
                <a:lnTo>
                  <a:pt x="2400351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DEDDDC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9" name="Shape 790">
            <a:extLst>
              <a:ext uri="{FF2B5EF4-FFF2-40B4-BE49-F238E27FC236}">
                <a16:creationId xmlns:a16="http://schemas.microsoft.com/office/drawing/2014/main" id="{34EDCC1B-30C4-C31C-2230-8C9648B2065B}"/>
              </a:ext>
            </a:extLst>
          </xdr:cNvPr>
          <xdr:cNvSpPr/>
        </xdr:nvSpPr>
        <xdr:spPr>
          <a:xfrm>
            <a:off x="687362" y="204088"/>
            <a:ext cx="24613" cy="0"/>
          </a:xfrm>
          <a:custGeom>
            <a:avLst/>
            <a:gdLst/>
            <a:ahLst/>
            <a:cxnLst/>
            <a:rect l="0" t="0" r="0" b="0"/>
            <a:pathLst>
              <a:path w="24613">
                <a:moveTo>
                  <a:pt x="0" y="0"/>
                </a:moveTo>
                <a:lnTo>
                  <a:pt x="24613" y="0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895EA1CF-7F67-634B-FB6D-14C3931AF65D}"/>
              </a:ext>
            </a:extLst>
          </xdr:cNvPr>
          <xdr:cNvSpPr/>
        </xdr:nvSpPr>
        <xdr:spPr>
          <a:xfrm>
            <a:off x="455226" y="175857"/>
            <a:ext cx="289647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18</a:t>
            </a:r>
            <a:r>
              <a:rPr lang="en-US" sz="600" spc="-7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000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" name="Shape 792">
            <a:extLst>
              <a:ext uri="{FF2B5EF4-FFF2-40B4-BE49-F238E27FC236}">
                <a16:creationId xmlns:a16="http://schemas.microsoft.com/office/drawing/2014/main" id="{119F0675-FDBB-C60E-01E5-67B793992960}"/>
              </a:ext>
            </a:extLst>
          </xdr:cNvPr>
          <xdr:cNvSpPr/>
        </xdr:nvSpPr>
        <xdr:spPr>
          <a:xfrm>
            <a:off x="713575" y="365099"/>
            <a:ext cx="2400351" cy="0"/>
          </a:xfrm>
          <a:custGeom>
            <a:avLst/>
            <a:gdLst/>
            <a:ahLst/>
            <a:cxnLst/>
            <a:rect l="0" t="0" r="0" b="0"/>
            <a:pathLst>
              <a:path w="2400351">
                <a:moveTo>
                  <a:pt x="0" y="0"/>
                </a:moveTo>
                <a:lnTo>
                  <a:pt x="2400351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DEDDDC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2" name="Shape 793">
            <a:extLst>
              <a:ext uri="{FF2B5EF4-FFF2-40B4-BE49-F238E27FC236}">
                <a16:creationId xmlns:a16="http://schemas.microsoft.com/office/drawing/2014/main" id="{CBFE7986-63F2-ACE1-2A67-9C5BCB71C31E}"/>
              </a:ext>
            </a:extLst>
          </xdr:cNvPr>
          <xdr:cNvSpPr/>
        </xdr:nvSpPr>
        <xdr:spPr>
          <a:xfrm>
            <a:off x="687362" y="365099"/>
            <a:ext cx="24613" cy="0"/>
          </a:xfrm>
          <a:custGeom>
            <a:avLst/>
            <a:gdLst/>
            <a:ahLst/>
            <a:cxnLst/>
            <a:rect l="0" t="0" r="0" b="0"/>
            <a:pathLst>
              <a:path w="24613">
                <a:moveTo>
                  <a:pt x="0" y="0"/>
                </a:moveTo>
                <a:lnTo>
                  <a:pt x="24613" y="0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F9895CE5-1099-066A-9EC1-0C378CD9AE89}"/>
              </a:ext>
            </a:extLst>
          </xdr:cNvPr>
          <xdr:cNvSpPr/>
        </xdr:nvSpPr>
        <xdr:spPr>
          <a:xfrm>
            <a:off x="455226" y="336871"/>
            <a:ext cx="289647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16</a:t>
            </a:r>
            <a:r>
              <a:rPr lang="en-US" sz="600" spc="-7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000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4" name="Shape 795">
            <a:extLst>
              <a:ext uri="{FF2B5EF4-FFF2-40B4-BE49-F238E27FC236}">
                <a16:creationId xmlns:a16="http://schemas.microsoft.com/office/drawing/2014/main" id="{5C22C7F4-EC2F-D8E2-BD78-1156C30F22D9}"/>
              </a:ext>
            </a:extLst>
          </xdr:cNvPr>
          <xdr:cNvSpPr/>
        </xdr:nvSpPr>
        <xdr:spPr>
          <a:xfrm>
            <a:off x="713575" y="526110"/>
            <a:ext cx="2400351" cy="0"/>
          </a:xfrm>
          <a:custGeom>
            <a:avLst/>
            <a:gdLst/>
            <a:ahLst/>
            <a:cxnLst/>
            <a:rect l="0" t="0" r="0" b="0"/>
            <a:pathLst>
              <a:path w="2400351">
                <a:moveTo>
                  <a:pt x="0" y="0"/>
                </a:moveTo>
                <a:lnTo>
                  <a:pt x="2400351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DEDDDC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5" name="Shape 796">
            <a:extLst>
              <a:ext uri="{FF2B5EF4-FFF2-40B4-BE49-F238E27FC236}">
                <a16:creationId xmlns:a16="http://schemas.microsoft.com/office/drawing/2014/main" id="{AAACB6AA-F641-6731-A102-AD5833308437}"/>
              </a:ext>
            </a:extLst>
          </xdr:cNvPr>
          <xdr:cNvSpPr/>
        </xdr:nvSpPr>
        <xdr:spPr>
          <a:xfrm>
            <a:off x="687362" y="526110"/>
            <a:ext cx="24613" cy="0"/>
          </a:xfrm>
          <a:custGeom>
            <a:avLst/>
            <a:gdLst/>
            <a:ahLst/>
            <a:cxnLst/>
            <a:rect l="0" t="0" r="0" b="0"/>
            <a:pathLst>
              <a:path w="24613">
                <a:moveTo>
                  <a:pt x="0" y="0"/>
                </a:moveTo>
                <a:lnTo>
                  <a:pt x="24613" y="0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C58FA172-281D-7880-25BB-17B296950DC3}"/>
              </a:ext>
            </a:extLst>
          </xdr:cNvPr>
          <xdr:cNvSpPr/>
        </xdr:nvSpPr>
        <xdr:spPr>
          <a:xfrm>
            <a:off x="455226" y="497879"/>
            <a:ext cx="289647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14</a:t>
            </a:r>
            <a:r>
              <a:rPr lang="en-US" sz="600" spc="-7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000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7" name="Shape 798">
            <a:extLst>
              <a:ext uri="{FF2B5EF4-FFF2-40B4-BE49-F238E27FC236}">
                <a16:creationId xmlns:a16="http://schemas.microsoft.com/office/drawing/2014/main" id="{E06AC1A5-1BD6-33CE-4F0D-88F742028953}"/>
              </a:ext>
            </a:extLst>
          </xdr:cNvPr>
          <xdr:cNvSpPr/>
        </xdr:nvSpPr>
        <xdr:spPr>
          <a:xfrm>
            <a:off x="713575" y="687133"/>
            <a:ext cx="2400351" cy="0"/>
          </a:xfrm>
          <a:custGeom>
            <a:avLst/>
            <a:gdLst/>
            <a:ahLst/>
            <a:cxnLst/>
            <a:rect l="0" t="0" r="0" b="0"/>
            <a:pathLst>
              <a:path w="2400351">
                <a:moveTo>
                  <a:pt x="0" y="0"/>
                </a:moveTo>
                <a:lnTo>
                  <a:pt x="2400351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DEDDDC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8" name="Shape 799">
            <a:extLst>
              <a:ext uri="{FF2B5EF4-FFF2-40B4-BE49-F238E27FC236}">
                <a16:creationId xmlns:a16="http://schemas.microsoft.com/office/drawing/2014/main" id="{12DD61B4-70D1-E78E-E513-A9D84DF2641C}"/>
              </a:ext>
            </a:extLst>
          </xdr:cNvPr>
          <xdr:cNvSpPr/>
        </xdr:nvSpPr>
        <xdr:spPr>
          <a:xfrm>
            <a:off x="687362" y="687133"/>
            <a:ext cx="24613" cy="0"/>
          </a:xfrm>
          <a:custGeom>
            <a:avLst/>
            <a:gdLst/>
            <a:ahLst/>
            <a:cxnLst/>
            <a:rect l="0" t="0" r="0" b="0"/>
            <a:pathLst>
              <a:path w="24613">
                <a:moveTo>
                  <a:pt x="0" y="0"/>
                </a:moveTo>
                <a:lnTo>
                  <a:pt x="24613" y="0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DBA8B793-30F6-916A-BDE3-BAD3E64D3DEF}"/>
              </a:ext>
            </a:extLst>
          </xdr:cNvPr>
          <xdr:cNvSpPr/>
        </xdr:nvSpPr>
        <xdr:spPr>
          <a:xfrm>
            <a:off x="455226" y="658899"/>
            <a:ext cx="289647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12</a:t>
            </a:r>
            <a:r>
              <a:rPr lang="en-US" sz="600" spc="-7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000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20" name="Shape 801">
            <a:extLst>
              <a:ext uri="{FF2B5EF4-FFF2-40B4-BE49-F238E27FC236}">
                <a16:creationId xmlns:a16="http://schemas.microsoft.com/office/drawing/2014/main" id="{47F85CD9-430B-72E5-7D28-1D2AB9F1D086}"/>
              </a:ext>
            </a:extLst>
          </xdr:cNvPr>
          <xdr:cNvSpPr/>
        </xdr:nvSpPr>
        <xdr:spPr>
          <a:xfrm>
            <a:off x="713575" y="848131"/>
            <a:ext cx="2400351" cy="0"/>
          </a:xfrm>
          <a:custGeom>
            <a:avLst/>
            <a:gdLst/>
            <a:ahLst/>
            <a:cxnLst/>
            <a:rect l="0" t="0" r="0" b="0"/>
            <a:pathLst>
              <a:path w="2400351">
                <a:moveTo>
                  <a:pt x="0" y="0"/>
                </a:moveTo>
                <a:lnTo>
                  <a:pt x="2400351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DEDDDC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1" name="Shape 802">
            <a:extLst>
              <a:ext uri="{FF2B5EF4-FFF2-40B4-BE49-F238E27FC236}">
                <a16:creationId xmlns:a16="http://schemas.microsoft.com/office/drawing/2014/main" id="{26E97E17-553D-1DC0-E0E2-44941AA5BC59}"/>
              </a:ext>
            </a:extLst>
          </xdr:cNvPr>
          <xdr:cNvSpPr/>
        </xdr:nvSpPr>
        <xdr:spPr>
          <a:xfrm>
            <a:off x="687362" y="848131"/>
            <a:ext cx="24613" cy="0"/>
          </a:xfrm>
          <a:custGeom>
            <a:avLst/>
            <a:gdLst/>
            <a:ahLst/>
            <a:cxnLst/>
            <a:rect l="0" t="0" r="0" b="0"/>
            <a:pathLst>
              <a:path w="24613">
                <a:moveTo>
                  <a:pt x="0" y="0"/>
                </a:moveTo>
                <a:lnTo>
                  <a:pt x="24613" y="0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65FFB8ED-0F00-7A97-AAD3-762D43FF68B0}"/>
              </a:ext>
            </a:extLst>
          </xdr:cNvPr>
          <xdr:cNvSpPr/>
        </xdr:nvSpPr>
        <xdr:spPr>
          <a:xfrm>
            <a:off x="455226" y="819914"/>
            <a:ext cx="289647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10</a:t>
            </a:r>
            <a:r>
              <a:rPr lang="en-US" sz="600" spc="-7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000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23" name="Shape 804">
            <a:extLst>
              <a:ext uri="{FF2B5EF4-FFF2-40B4-BE49-F238E27FC236}">
                <a16:creationId xmlns:a16="http://schemas.microsoft.com/office/drawing/2014/main" id="{7C63B53F-1367-09CB-5BCA-B5C19207B8F9}"/>
              </a:ext>
            </a:extLst>
          </xdr:cNvPr>
          <xdr:cNvSpPr/>
        </xdr:nvSpPr>
        <xdr:spPr>
          <a:xfrm>
            <a:off x="713575" y="1009142"/>
            <a:ext cx="2400351" cy="0"/>
          </a:xfrm>
          <a:custGeom>
            <a:avLst/>
            <a:gdLst/>
            <a:ahLst/>
            <a:cxnLst/>
            <a:rect l="0" t="0" r="0" b="0"/>
            <a:pathLst>
              <a:path w="2400351">
                <a:moveTo>
                  <a:pt x="0" y="0"/>
                </a:moveTo>
                <a:lnTo>
                  <a:pt x="2400351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DEDDDC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4" name="Shape 805">
            <a:extLst>
              <a:ext uri="{FF2B5EF4-FFF2-40B4-BE49-F238E27FC236}">
                <a16:creationId xmlns:a16="http://schemas.microsoft.com/office/drawing/2014/main" id="{D37472BD-D151-B862-BF5A-22F0BE821338}"/>
              </a:ext>
            </a:extLst>
          </xdr:cNvPr>
          <xdr:cNvSpPr/>
        </xdr:nvSpPr>
        <xdr:spPr>
          <a:xfrm>
            <a:off x="687362" y="1009142"/>
            <a:ext cx="24613" cy="0"/>
          </a:xfrm>
          <a:custGeom>
            <a:avLst/>
            <a:gdLst/>
            <a:ahLst/>
            <a:cxnLst/>
            <a:rect l="0" t="0" r="0" b="0"/>
            <a:pathLst>
              <a:path w="24613">
                <a:moveTo>
                  <a:pt x="0" y="0"/>
                </a:moveTo>
                <a:lnTo>
                  <a:pt x="24613" y="0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C71EE94B-9EC1-C418-C2F9-26F4F6B4C062}"/>
              </a:ext>
            </a:extLst>
          </xdr:cNvPr>
          <xdr:cNvSpPr/>
        </xdr:nvSpPr>
        <xdr:spPr>
          <a:xfrm>
            <a:off x="505370" y="980925"/>
            <a:ext cx="22296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8000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26" name="Shape 807">
            <a:extLst>
              <a:ext uri="{FF2B5EF4-FFF2-40B4-BE49-F238E27FC236}">
                <a16:creationId xmlns:a16="http://schemas.microsoft.com/office/drawing/2014/main" id="{2F5745BB-84C7-5E35-22C1-9BAB008C2A33}"/>
              </a:ext>
            </a:extLst>
          </xdr:cNvPr>
          <xdr:cNvSpPr/>
        </xdr:nvSpPr>
        <xdr:spPr>
          <a:xfrm>
            <a:off x="713575" y="1170152"/>
            <a:ext cx="2400351" cy="0"/>
          </a:xfrm>
          <a:custGeom>
            <a:avLst/>
            <a:gdLst/>
            <a:ahLst/>
            <a:cxnLst/>
            <a:rect l="0" t="0" r="0" b="0"/>
            <a:pathLst>
              <a:path w="2400351">
                <a:moveTo>
                  <a:pt x="0" y="0"/>
                </a:moveTo>
                <a:lnTo>
                  <a:pt x="2400351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DEDDDC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7" name="Shape 808">
            <a:extLst>
              <a:ext uri="{FF2B5EF4-FFF2-40B4-BE49-F238E27FC236}">
                <a16:creationId xmlns:a16="http://schemas.microsoft.com/office/drawing/2014/main" id="{061B0162-177D-2CEC-2A53-11DAEF1953FB}"/>
              </a:ext>
            </a:extLst>
          </xdr:cNvPr>
          <xdr:cNvSpPr/>
        </xdr:nvSpPr>
        <xdr:spPr>
          <a:xfrm>
            <a:off x="687362" y="1170152"/>
            <a:ext cx="24613" cy="0"/>
          </a:xfrm>
          <a:custGeom>
            <a:avLst/>
            <a:gdLst/>
            <a:ahLst/>
            <a:cxnLst/>
            <a:rect l="0" t="0" r="0" b="0"/>
            <a:pathLst>
              <a:path w="24613">
                <a:moveTo>
                  <a:pt x="0" y="0"/>
                </a:moveTo>
                <a:lnTo>
                  <a:pt x="24613" y="0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12E8ABBF-64B4-A6E1-86B9-33C901314BA8}"/>
              </a:ext>
            </a:extLst>
          </xdr:cNvPr>
          <xdr:cNvSpPr/>
        </xdr:nvSpPr>
        <xdr:spPr>
          <a:xfrm>
            <a:off x="505370" y="1141935"/>
            <a:ext cx="22296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6000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29" name="Shape 810">
            <a:extLst>
              <a:ext uri="{FF2B5EF4-FFF2-40B4-BE49-F238E27FC236}">
                <a16:creationId xmlns:a16="http://schemas.microsoft.com/office/drawing/2014/main" id="{95C5BC06-AA28-93CA-AE46-721C2CE602D5}"/>
              </a:ext>
            </a:extLst>
          </xdr:cNvPr>
          <xdr:cNvSpPr/>
        </xdr:nvSpPr>
        <xdr:spPr>
          <a:xfrm>
            <a:off x="713575" y="1331176"/>
            <a:ext cx="2400351" cy="0"/>
          </a:xfrm>
          <a:custGeom>
            <a:avLst/>
            <a:gdLst/>
            <a:ahLst/>
            <a:cxnLst/>
            <a:rect l="0" t="0" r="0" b="0"/>
            <a:pathLst>
              <a:path w="2400351">
                <a:moveTo>
                  <a:pt x="0" y="0"/>
                </a:moveTo>
                <a:lnTo>
                  <a:pt x="2400351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DEDDDC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30" name="Shape 811">
            <a:extLst>
              <a:ext uri="{FF2B5EF4-FFF2-40B4-BE49-F238E27FC236}">
                <a16:creationId xmlns:a16="http://schemas.microsoft.com/office/drawing/2014/main" id="{E83DD431-87B1-31DE-3858-DB966EC58EBB}"/>
              </a:ext>
            </a:extLst>
          </xdr:cNvPr>
          <xdr:cNvSpPr/>
        </xdr:nvSpPr>
        <xdr:spPr>
          <a:xfrm>
            <a:off x="687362" y="1331176"/>
            <a:ext cx="24613" cy="0"/>
          </a:xfrm>
          <a:custGeom>
            <a:avLst/>
            <a:gdLst/>
            <a:ahLst/>
            <a:cxnLst/>
            <a:rect l="0" t="0" r="0" b="0"/>
            <a:pathLst>
              <a:path w="24613">
                <a:moveTo>
                  <a:pt x="0" y="0"/>
                </a:moveTo>
                <a:lnTo>
                  <a:pt x="24613" y="0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D353B17D-9769-202D-1907-014A1318C1FA}"/>
              </a:ext>
            </a:extLst>
          </xdr:cNvPr>
          <xdr:cNvSpPr/>
        </xdr:nvSpPr>
        <xdr:spPr>
          <a:xfrm>
            <a:off x="505370" y="1302946"/>
            <a:ext cx="22296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4000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32" name="Shape 813">
            <a:extLst>
              <a:ext uri="{FF2B5EF4-FFF2-40B4-BE49-F238E27FC236}">
                <a16:creationId xmlns:a16="http://schemas.microsoft.com/office/drawing/2014/main" id="{4E8949BF-64C7-7CDA-F290-7A14BEDF9B8C}"/>
              </a:ext>
            </a:extLst>
          </xdr:cNvPr>
          <xdr:cNvSpPr/>
        </xdr:nvSpPr>
        <xdr:spPr>
          <a:xfrm>
            <a:off x="713575" y="1492186"/>
            <a:ext cx="2400351" cy="0"/>
          </a:xfrm>
          <a:custGeom>
            <a:avLst/>
            <a:gdLst/>
            <a:ahLst/>
            <a:cxnLst/>
            <a:rect l="0" t="0" r="0" b="0"/>
            <a:pathLst>
              <a:path w="2400351">
                <a:moveTo>
                  <a:pt x="0" y="0"/>
                </a:moveTo>
                <a:lnTo>
                  <a:pt x="2400351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DEDDDC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33" name="Shape 814">
            <a:extLst>
              <a:ext uri="{FF2B5EF4-FFF2-40B4-BE49-F238E27FC236}">
                <a16:creationId xmlns:a16="http://schemas.microsoft.com/office/drawing/2014/main" id="{005979E2-060B-47CB-1411-EB62F8C40369}"/>
              </a:ext>
            </a:extLst>
          </xdr:cNvPr>
          <xdr:cNvSpPr/>
        </xdr:nvSpPr>
        <xdr:spPr>
          <a:xfrm>
            <a:off x="687362" y="1492186"/>
            <a:ext cx="24613" cy="0"/>
          </a:xfrm>
          <a:custGeom>
            <a:avLst/>
            <a:gdLst/>
            <a:ahLst/>
            <a:cxnLst/>
            <a:rect l="0" t="0" r="0" b="0"/>
            <a:pathLst>
              <a:path w="24613">
                <a:moveTo>
                  <a:pt x="0" y="0"/>
                </a:moveTo>
                <a:lnTo>
                  <a:pt x="24613" y="0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3796DA45-29D8-5D05-D582-B4555D5C9753}"/>
              </a:ext>
            </a:extLst>
          </xdr:cNvPr>
          <xdr:cNvSpPr/>
        </xdr:nvSpPr>
        <xdr:spPr>
          <a:xfrm>
            <a:off x="505370" y="1463957"/>
            <a:ext cx="22296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2000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260EE3C3-C9FE-9A31-9113-9016936B2732}"/>
              </a:ext>
            </a:extLst>
          </xdr:cNvPr>
          <xdr:cNvSpPr/>
        </xdr:nvSpPr>
        <xdr:spPr>
          <a:xfrm rot="-5399999">
            <a:off x="-116926" y="676911"/>
            <a:ext cx="998884" cy="946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5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Mean</a:t>
            </a:r>
            <a:r>
              <a:rPr lang="en-US" sz="650" spc="-705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5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all-cause</a:t>
            </a:r>
            <a:r>
              <a:rPr lang="en-US" sz="650" spc="-705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5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cost,</a:t>
            </a:r>
            <a:r>
              <a:rPr lang="en-US" sz="650" spc="-705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5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$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36" name="Shape 817">
            <a:extLst>
              <a:ext uri="{FF2B5EF4-FFF2-40B4-BE49-F238E27FC236}">
                <a16:creationId xmlns:a16="http://schemas.microsoft.com/office/drawing/2014/main" id="{C1CDFC49-69FF-4817-00AE-3A5568F30EAE}"/>
              </a:ext>
            </a:extLst>
          </xdr:cNvPr>
          <xdr:cNvSpPr/>
        </xdr:nvSpPr>
        <xdr:spPr>
          <a:xfrm>
            <a:off x="711962" y="1653120"/>
            <a:ext cx="0" cy="24612"/>
          </a:xfrm>
          <a:custGeom>
            <a:avLst/>
            <a:gdLst/>
            <a:ahLst/>
            <a:cxnLst/>
            <a:rect l="0" t="0" r="0" b="0"/>
            <a:pathLst>
              <a:path h="24612">
                <a:moveTo>
                  <a:pt x="0" y="0"/>
                </a:moveTo>
                <a:lnTo>
                  <a:pt x="0" y="24612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187F7347-D545-1BF9-A728-77E757F0C12E}"/>
              </a:ext>
            </a:extLst>
          </xdr:cNvPr>
          <xdr:cNvSpPr/>
        </xdr:nvSpPr>
        <xdr:spPr>
          <a:xfrm>
            <a:off x="691007" y="1704469"/>
            <a:ext cx="55740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38" name="Shape 819">
            <a:extLst>
              <a:ext uri="{FF2B5EF4-FFF2-40B4-BE49-F238E27FC236}">
                <a16:creationId xmlns:a16="http://schemas.microsoft.com/office/drawing/2014/main" id="{39A9A199-B174-7A41-9C6C-3631A9CAB899}"/>
              </a:ext>
            </a:extLst>
          </xdr:cNvPr>
          <xdr:cNvSpPr/>
        </xdr:nvSpPr>
        <xdr:spPr>
          <a:xfrm>
            <a:off x="1112304" y="1653120"/>
            <a:ext cx="0" cy="24612"/>
          </a:xfrm>
          <a:custGeom>
            <a:avLst/>
            <a:gdLst/>
            <a:ahLst/>
            <a:cxnLst/>
            <a:rect l="0" t="0" r="0" b="0"/>
            <a:pathLst>
              <a:path h="24612">
                <a:moveTo>
                  <a:pt x="0" y="0"/>
                </a:moveTo>
                <a:lnTo>
                  <a:pt x="0" y="24612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F7C14B95-162F-DCEF-FB62-6F4EC79978FC}"/>
              </a:ext>
            </a:extLst>
          </xdr:cNvPr>
          <xdr:cNvSpPr/>
        </xdr:nvSpPr>
        <xdr:spPr>
          <a:xfrm>
            <a:off x="1070402" y="1704469"/>
            <a:ext cx="11148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10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0" name="Shape 821">
            <a:extLst>
              <a:ext uri="{FF2B5EF4-FFF2-40B4-BE49-F238E27FC236}">
                <a16:creationId xmlns:a16="http://schemas.microsoft.com/office/drawing/2014/main" id="{B6D78DF6-02C7-0594-8606-B920E5B44507}"/>
              </a:ext>
            </a:extLst>
          </xdr:cNvPr>
          <xdr:cNvSpPr/>
        </xdr:nvSpPr>
        <xdr:spPr>
          <a:xfrm>
            <a:off x="1312469" y="1653120"/>
            <a:ext cx="0" cy="24612"/>
          </a:xfrm>
          <a:custGeom>
            <a:avLst/>
            <a:gdLst/>
            <a:ahLst/>
            <a:cxnLst/>
            <a:rect l="0" t="0" r="0" b="0"/>
            <a:pathLst>
              <a:path h="24612">
                <a:moveTo>
                  <a:pt x="0" y="0"/>
                </a:moveTo>
                <a:lnTo>
                  <a:pt x="0" y="24612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D268C1FB-533F-21FD-3F93-999949C1ED32}"/>
              </a:ext>
            </a:extLst>
          </xdr:cNvPr>
          <xdr:cNvSpPr/>
        </xdr:nvSpPr>
        <xdr:spPr>
          <a:xfrm>
            <a:off x="1270569" y="1704469"/>
            <a:ext cx="11148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15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2" name="Shape 823">
            <a:extLst>
              <a:ext uri="{FF2B5EF4-FFF2-40B4-BE49-F238E27FC236}">
                <a16:creationId xmlns:a16="http://schemas.microsoft.com/office/drawing/2014/main" id="{0D9985E1-C5BB-B6D3-A5EF-D5766FF63797}"/>
              </a:ext>
            </a:extLst>
          </xdr:cNvPr>
          <xdr:cNvSpPr/>
        </xdr:nvSpPr>
        <xdr:spPr>
          <a:xfrm>
            <a:off x="1512634" y="1653120"/>
            <a:ext cx="0" cy="24612"/>
          </a:xfrm>
          <a:custGeom>
            <a:avLst/>
            <a:gdLst/>
            <a:ahLst/>
            <a:cxnLst/>
            <a:rect l="0" t="0" r="0" b="0"/>
            <a:pathLst>
              <a:path h="24612">
                <a:moveTo>
                  <a:pt x="0" y="0"/>
                </a:moveTo>
                <a:lnTo>
                  <a:pt x="0" y="24612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39C9F126-2997-5607-13F0-466365E23BFC}"/>
              </a:ext>
            </a:extLst>
          </xdr:cNvPr>
          <xdr:cNvSpPr/>
        </xdr:nvSpPr>
        <xdr:spPr>
          <a:xfrm>
            <a:off x="1470736" y="1704469"/>
            <a:ext cx="11148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20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4" name="Shape 825">
            <a:extLst>
              <a:ext uri="{FF2B5EF4-FFF2-40B4-BE49-F238E27FC236}">
                <a16:creationId xmlns:a16="http://schemas.microsoft.com/office/drawing/2014/main" id="{9D05B6B4-37CE-70C8-D1D4-84BD6F2F7D2B}"/>
              </a:ext>
            </a:extLst>
          </xdr:cNvPr>
          <xdr:cNvSpPr/>
        </xdr:nvSpPr>
        <xdr:spPr>
          <a:xfrm>
            <a:off x="1712798" y="1653120"/>
            <a:ext cx="0" cy="24612"/>
          </a:xfrm>
          <a:custGeom>
            <a:avLst/>
            <a:gdLst/>
            <a:ahLst/>
            <a:cxnLst/>
            <a:rect l="0" t="0" r="0" b="0"/>
            <a:pathLst>
              <a:path h="24612">
                <a:moveTo>
                  <a:pt x="0" y="0"/>
                </a:moveTo>
                <a:lnTo>
                  <a:pt x="0" y="24612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93A54FC3-B4A9-517E-D7F2-9F0E99624B04}"/>
              </a:ext>
            </a:extLst>
          </xdr:cNvPr>
          <xdr:cNvSpPr/>
        </xdr:nvSpPr>
        <xdr:spPr>
          <a:xfrm>
            <a:off x="1670902" y="1704469"/>
            <a:ext cx="11148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25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6" name="Shape 827">
            <a:extLst>
              <a:ext uri="{FF2B5EF4-FFF2-40B4-BE49-F238E27FC236}">
                <a16:creationId xmlns:a16="http://schemas.microsoft.com/office/drawing/2014/main" id="{77C86ABB-4BFB-4153-7618-C100C87E11D0}"/>
              </a:ext>
            </a:extLst>
          </xdr:cNvPr>
          <xdr:cNvSpPr/>
        </xdr:nvSpPr>
        <xdr:spPr>
          <a:xfrm>
            <a:off x="1912976" y="1653120"/>
            <a:ext cx="0" cy="24612"/>
          </a:xfrm>
          <a:custGeom>
            <a:avLst/>
            <a:gdLst/>
            <a:ahLst/>
            <a:cxnLst/>
            <a:rect l="0" t="0" r="0" b="0"/>
            <a:pathLst>
              <a:path h="24612">
                <a:moveTo>
                  <a:pt x="0" y="0"/>
                </a:moveTo>
                <a:lnTo>
                  <a:pt x="0" y="24612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E982E031-1212-6464-0DB4-4CBEB601D6D6}"/>
              </a:ext>
            </a:extLst>
          </xdr:cNvPr>
          <xdr:cNvSpPr/>
        </xdr:nvSpPr>
        <xdr:spPr>
          <a:xfrm>
            <a:off x="1871080" y="1704469"/>
            <a:ext cx="11148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30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48" name="Shape 829">
            <a:extLst>
              <a:ext uri="{FF2B5EF4-FFF2-40B4-BE49-F238E27FC236}">
                <a16:creationId xmlns:a16="http://schemas.microsoft.com/office/drawing/2014/main" id="{7045D1A1-E46E-4C03-7D41-10E09003531C}"/>
              </a:ext>
            </a:extLst>
          </xdr:cNvPr>
          <xdr:cNvSpPr/>
        </xdr:nvSpPr>
        <xdr:spPr>
          <a:xfrm>
            <a:off x="2113141" y="1653120"/>
            <a:ext cx="0" cy="24612"/>
          </a:xfrm>
          <a:custGeom>
            <a:avLst/>
            <a:gdLst/>
            <a:ahLst/>
            <a:cxnLst/>
            <a:rect l="0" t="0" r="0" b="0"/>
            <a:pathLst>
              <a:path h="24612">
                <a:moveTo>
                  <a:pt x="0" y="0"/>
                </a:moveTo>
                <a:lnTo>
                  <a:pt x="0" y="24612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6BB4849F-3F46-D133-CA1D-C615D0EAD176}"/>
              </a:ext>
            </a:extLst>
          </xdr:cNvPr>
          <xdr:cNvSpPr/>
        </xdr:nvSpPr>
        <xdr:spPr>
          <a:xfrm>
            <a:off x="2071244" y="1704469"/>
            <a:ext cx="11148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35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0" name="Shape 831">
            <a:extLst>
              <a:ext uri="{FF2B5EF4-FFF2-40B4-BE49-F238E27FC236}">
                <a16:creationId xmlns:a16="http://schemas.microsoft.com/office/drawing/2014/main" id="{165B696A-B091-CD69-F8C4-B4F6BAA0092D}"/>
              </a:ext>
            </a:extLst>
          </xdr:cNvPr>
          <xdr:cNvSpPr/>
        </xdr:nvSpPr>
        <xdr:spPr>
          <a:xfrm>
            <a:off x="2313305" y="1653120"/>
            <a:ext cx="0" cy="24612"/>
          </a:xfrm>
          <a:custGeom>
            <a:avLst/>
            <a:gdLst/>
            <a:ahLst/>
            <a:cxnLst/>
            <a:rect l="0" t="0" r="0" b="0"/>
            <a:pathLst>
              <a:path h="24612">
                <a:moveTo>
                  <a:pt x="0" y="0"/>
                </a:moveTo>
                <a:lnTo>
                  <a:pt x="0" y="24612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5E7A112E-FC3D-1FED-F8F1-133E818B1D4E}"/>
              </a:ext>
            </a:extLst>
          </xdr:cNvPr>
          <xdr:cNvSpPr/>
        </xdr:nvSpPr>
        <xdr:spPr>
          <a:xfrm>
            <a:off x="2271409" y="1704469"/>
            <a:ext cx="11148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40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2" name="Shape 833">
            <a:extLst>
              <a:ext uri="{FF2B5EF4-FFF2-40B4-BE49-F238E27FC236}">
                <a16:creationId xmlns:a16="http://schemas.microsoft.com/office/drawing/2014/main" id="{B3113CA6-739A-2D58-E288-254CE87BFCF8}"/>
              </a:ext>
            </a:extLst>
          </xdr:cNvPr>
          <xdr:cNvSpPr/>
        </xdr:nvSpPr>
        <xdr:spPr>
          <a:xfrm>
            <a:off x="2513483" y="1653120"/>
            <a:ext cx="0" cy="24612"/>
          </a:xfrm>
          <a:custGeom>
            <a:avLst/>
            <a:gdLst/>
            <a:ahLst/>
            <a:cxnLst/>
            <a:rect l="0" t="0" r="0" b="0"/>
            <a:pathLst>
              <a:path h="24612">
                <a:moveTo>
                  <a:pt x="0" y="0"/>
                </a:moveTo>
                <a:lnTo>
                  <a:pt x="0" y="24612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57DB55E4-0D1F-680C-FEF3-4FF9B64C2DA4}"/>
              </a:ext>
            </a:extLst>
          </xdr:cNvPr>
          <xdr:cNvSpPr/>
        </xdr:nvSpPr>
        <xdr:spPr>
          <a:xfrm>
            <a:off x="2471588" y="1704469"/>
            <a:ext cx="11148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45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4" name="Shape 835">
            <a:extLst>
              <a:ext uri="{FF2B5EF4-FFF2-40B4-BE49-F238E27FC236}">
                <a16:creationId xmlns:a16="http://schemas.microsoft.com/office/drawing/2014/main" id="{22E182F6-8493-5571-2C8A-078A643CEC6C}"/>
              </a:ext>
            </a:extLst>
          </xdr:cNvPr>
          <xdr:cNvSpPr/>
        </xdr:nvSpPr>
        <xdr:spPr>
          <a:xfrm>
            <a:off x="2713647" y="1653120"/>
            <a:ext cx="0" cy="24612"/>
          </a:xfrm>
          <a:custGeom>
            <a:avLst/>
            <a:gdLst/>
            <a:ahLst/>
            <a:cxnLst/>
            <a:rect l="0" t="0" r="0" b="0"/>
            <a:pathLst>
              <a:path h="24612">
                <a:moveTo>
                  <a:pt x="0" y="0"/>
                </a:moveTo>
                <a:lnTo>
                  <a:pt x="0" y="24612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2CAEA472-A752-C1C7-8309-A9B94AED5AB3}"/>
              </a:ext>
            </a:extLst>
          </xdr:cNvPr>
          <xdr:cNvSpPr/>
        </xdr:nvSpPr>
        <xdr:spPr>
          <a:xfrm>
            <a:off x="2671751" y="1704469"/>
            <a:ext cx="11148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50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6" name="Shape 837">
            <a:extLst>
              <a:ext uri="{FF2B5EF4-FFF2-40B4-BE49-F238E27FC236}">
                <a16:creationId xmlns:a16="http://schemas.microsoft.com/office/drawing/2014/main" id="{CD59BAFB-1B99-9A47-A689-40E6E464B4B4}"/>
              </a:ext>
            </a:extLst>
          </xdr:cNvPr>
          <xdr:cNvSpPr/>
        </xdr:nvSpPr>
        <xdr:spPr>
          <a:xfrm>
            <a:off x="2913825" y="1653120"/>
            <a:ext cx="0" cy="24612"/>
          </a:xfrm>
          <a:custGeom>
            <a:avLst/>
            <a:gdLst/>
            <a:ahLst/>
            <a:cxnLst/>
            <a:rect l="0" t="0" r="0" b="0"/>
            <a:pathLst>
              <a:path h="24612">
                <a:moveTo>
                  <a:pt x="0" y="0"/>
                </a:moveTo>
                <a:lnTo>
                  <a:pt x="0" y="24612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F48AF31F-7AC5-8813-5894-8823B6B68F66}"/>
              </a:ext>
            </a:extLst>
          </xdr:cNvPr>
          <xdr:cNvSpPr/>
        </xdr:nvSpPr>
        <xdr:spPr>
          <a:xfrm>
            <a:off x="2871916" y="1704469"/>
            <a:ext cx="11148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55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58" name="Shape 839">
            <a:extLst>
              <a:ext uri="{FF2B5EF4-FFF2-40B4-BE49-F238E27FC236}">
                <a16:creationId xmlns:a16="http://schemas.microsoft.com/office/drawing/2014/main" id="{18DF629B-E93D-2FE7-E0F1-B98C58A26C38}"/>
              </a:ext>
            </a:extLst>
          </xdr:cNvPr>
          <xdr:cNvSpPr/>
        </xdr:nvSpPr>
        <xdr:spPr>
          <a:xfrm>
            <a:off x="3113926" y="1653120"/>
            <a:ext cx="0" cy="25006"/>
          </a:xfrm>
          <a:custGeom>
            <a:avLst/>
            <a:gdLst/>
            <a:ahLst/>
            <a:cxnLst/>
            <a:rect l="0" t="0" r="0" b="0"/>
            <a:pathLst>
              <a:path h="25006">
                <a:moveTo>
                  <a:pt x="0" y="0"/>
                </a:moveTo>
                <a:lnTo>
                  <a:pt x="0" y="25006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733CFD25-7778-9BCD-69EC-B45FB83B77E7}"/>
              </a:ext>
            </a:extLst>
          </xdr:cNvPr>
          <xdr:cNvSpPr/>
        </xdr:nvSpPr>
        <xdr:spPr>
          <a:xfrm>
            <a:off x="3072093" y="1704863"/>
            <a:ext cx="11148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60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407B40F1-1DCC-15D7-19D7-DF2CBA988311}"/>
              </a:ext>
            </a:extLst>
          </xdr:cNvPr>
          <xdr:cNvSpPr/>
        </xdr:nvSpPr>
        <xdr:spPr>
          <a:xfrm>
            <a:off x="1537306" y="1826186"/>
            <a:ext cx="1001288" cy="9464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5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Months</a:t>
            </a:r>
            <a:r>
              <a:rPr lang="en-US" sz="650" spc="-35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5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after</a:t>
            </a:r>
            <a:r>
              <a:rPr lang="en-US" sz="650" spc="-5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5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diagnosis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1" name="Shape 842">
            <a:extLst>
              <a:ext uri="{FF2B5EF4-FFF2-40B4-BE49-F238E27FC236}">
                <a16:creationId xmlns:a16="http://schemas.microsoft.com/office/drawing/2014/main" id="{AC28294A-8807-4656-D064-00659F0F246A}"/>
              </a:ext>
            </a:extLst>
          </xdr:cNvPr>
          <xdr:cNvSpPr/>
        </xdr:nvSpPr>
        <xdr:spPr>
          <a:xfrm>
            <a:off x="912127" y="1653120"/>
            <a:ext cx="0" cy="24612"/>
          </a:xfrm>
          <a:custGeom>
            <a:avLst/>
            <a:gdLst/>
            <a:ahLst/>
            <a:cxnLst/>
            <a:rect l="0" t="0" r="0" b="0"/>
            <a:pathLst>
              <a:path h="24612">
                <a:moveTo>
                  <a:pt x="0" y="0"/>
                </a:moveTo>
                <a:lnTo>
                  <a:pt x="0" y="24612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09E56C53-8179-C214-E447-C85096524F63}"/>
              </a:ext>
            </a:extLst>
          </xdr:cNvPr>
          <xdr:cNvSpPr/>
        </xdr:nvSpPr>
        <xdr:spPr>
          <a:xfrm>
            <a:off x="891182" y="1704469"/>
            <a:ext cx="55740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5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3" name="Shape 851">
            <a:extLst>
              <a:ext uri="{FF2B5EF4-FFF2-40B4-BE49-F238E27FC236}">
                <a16:creationId xmlns:a16="http://schemas.microsoft.com/office/drawing/2014/main" id="{B4F9637F-5447-299D-A93B-1D5605231E70}"/>
              </a:ext>
            </a:extLst>
          </xdr:cNvPr>
          <xdr:cNvSpPr/>
        </xdr:nvSpPr>
        <xdr:spPr>
          <a:xfrm>
            <a:off x="872096" y="0"/>
            <a:ext cx="0" cy="1653197"/>
          </a:xfrm>
          <a:custGeom>
            <a:avLst/>
            <a:gdLst/>
            <a:ahLst/>
            <a:cxnLst/>
            <a:rect l="0" t="0" r="0" b="0"/>
            <a:pathLst>
              <a:path h="1653197">
                <a:moveTo>
                  <a:pt x="0" y="0"/>
                </a:moveTo>
                <a:lnTo>
                  <a:pt x="0" y="1653197"/>
                </a:lnTo>
              </a:path>
            </a:pathLst>
          </a:custGeom>
          <a:ln w="7620" cap="flat">
            <a:custDash>
              <a:ds d="50000" sp="50000"/>
            </a:custDash>
            <a:miter lim="127000"/>
          </a:ln>
        </xdr:spPr>
        <xdr:style>
          <a:lnRef idx="1">
            <a:srgbClr val="009ED5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64" name="Shape 852">
            <a:extLst>
              <a:ext uri="{FF2B5EF4-FFF2-40B4-BE49-F238E27FC236}">
                <a16:creationId xmlns:a16="http://schemas.microsoft.com/office/drawing/2014/main" id="{953BDB51-6822-158B-5FDB-9F167DA6E796}"/>
              </a:ext>
            </a:extLst>
          </xdr:cNvPr>
          <xdr:cNvSpPr/>
        </xdr:nvSpPr>
        <xdr:spPr>
          <a:xfrm>
            <a:off x="711962" y="43129"/>
            <a:ext cx="2403526" cy="1610081"/>
          </a:xfrm>
          <a:custGeom>
            <a:avLst/>
            <a:gdLst/>
            <a:ahLst/>
            <a:cxnLst/>
            <a:rect l="0" t="0" r="0" b="0"/>
            <a:pathLst>
              <a:path w="2403526" h="1610081">
                <a:moveTo>
                  <a:pt x="0" y="0"/>
                </a:moveTo>
                <a:lnTo>
                  <a:pt x="0" y="1610081"/>
                </a:lnTo>
                <a:lnTo>
                  <a:pt x="2403526" y="1610081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2887BC5E-F15C-2DF5-4A22-CC04DCDE58B3}"/>
              </a:ext>
            </a:extLst>
          </xdr:cNvPr>
          <xdr:cNvSpPr/>
        </xdr:nvSpPr>
        <xdr:spPr>
          <a:xfrm>
            <a:off x="1690968" y="888659"/>
            <a:ext cx="1332599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Average</a:t>
            </a:r>
            <a:r>
              <a:rPr lang="en-US" sz="600" spc="-5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monthly</a:t>
            </a:r>
            <a:r>
              <a:rPr lang="en-US" sz="600" spc="-5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all-cause</a:t>
            </a:r>
            <a:r>
              <a:rPr lang="en-US" sz="600" spc="-5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costs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FE901605-8DBA-B471-EE47-23CB814FEA47}"/>
              </a:ext>
            </a:extLst>
          </xdr:cNvPr>
          <xdr:cNvSpPr/>
        </xdr:nvSpPr>
        <xdr:spPr>
          <a:xfrm>
            <a:off x="1896122" y="977562"/>
            <a:ext cx="786850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after</a:t>
            </a:r>
            <a:r>
              <a:rPr lang="en-US" sz="600" spc="-5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MM</a:t>
            </a:r>
            <a:r>
              <a:rPr lang="en-US" sz="600" spc="-5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diagnosis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7" name="Shape 859">
            <a:extLst>
              <a:ext uri="{FF2B5EF4-FFF2-40B4-BE49-F238E27FC236}">
                <a16:creationId xmlns:a16="http://schemas.microsoft.com/office/drawing/2014/main" id="{B770AAFF-3D05-D6B1-F4AF-9CBE35562A1A}"/>
              </a:ext>
            </a:extLst>
          </xdr:cNvPr>
          <xdr:cNvSpPr/>
        </xdr:nvSpPr>
        <xdr:spPr>
          <a:xfrm>
            <a:off x="3760483" y="1653197"/>
            <a:ext cx="24600" cy="0"/>
          </a:xfrm>
          <a:custGeom>
            <a:avLst/>
            <a:gdLst/>
            <a:ahLst/>
            <a:cxnLst/>
            <a:rect l="0" t="0" r="0" b="0"/>
            <a:pathLst>
              <a:path w="24600">
                <a:moveTo>
                  <a:pt x="0" y="0"/>
                </a:moveTo>
                <a:lnTo>
                  <a:pt x="24600" y="0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34DA6F1E-020D-57AF-C7E5-F0102CC266BD}"/>
              </a:ext>
            </a:extLst>
          </xdr:cNvPr>
          <xdr:cNvSpPr/>
        </xdr:nvSpPr>
        <xdr:spPr>
          <a:xfrm>
            <a:off x="3704223" y="1624967"/>
            <a:ext cx="55740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69" name="Shape 861">
            <a:extLst>
              <a:ext uri="{FF2B5EF4-FFF2-40B4-BE49-F238E27FC236}">
                <a16:creationId xmlns:a16="http://schemas.microsoft.com/office/drawing/2014/main" id="{025CF5A9-BF30-F094-5320-0333B16F4367}"/>
              </a:ext>
            </a:extLst>
          </xdr:cNvPr>
          <xdr:cNvSpPr/>
        </xdr:nvSpPr>
        <xdr:spPr>
          <a:xfrm>
            <a:off x="3786695" y="43078"/>
            <a:ext cx="2400351" cy="0"/>
          </a:xfrm>
          <a:custGeom>
            <a:avLst/>
            <a:gdLst/>
            <a:ahLst/>
            <a:cxnLst/>
            <a:rect l="0" t="0" r="0" b="0"/>
            <a:pathLst>
              <a:path w="2400351">
                <a:moveTo>
                  <a:pt x="0" y="0"/>
                </a:moveTo>
                <a:lnTo>
                  <a:pt x="2400351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DEDDDC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70" name="Shape 862">
            <a:extLst>
              <a:ext uri="{FF2B5EF4-FFF2-40B4-BE49-F238E27FC236}">
                <a16:creationId xmlns:a16="http://schemas.microsoft.com/office/drawing/2014/main" id="{114F0CFA-A961-4385-9187-8AB929601EC6}"/>
              </a:ext>
            </a:extLst>
          </xdr:cNvPr>
          <xdr:cNvSpPr/>
        </xdr:nvSpPr>
        <xdr:spPr>
          <a:xfrm>
            <a:off x="3760483" y="43078"/>
            <a:ext cx="26213" cy="0"/>
          </a:xfrm>
          <a:custGeom>
            <a:avLst/>
            <a:gdLst/>
            <a:ahLst/>
            <a:cxnLst/>
            <a:rect l="0" t="0" r="0" b="0"/>
            <a:pathLst>
              <a:path w="26213">
                <a:moveTo>
                  <a:pt x="0" y="0"/>
                </a:moveTo>
                <a:lnTo>
                  <a:pt x="26213" y="0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0C9B86A6-5B5C-2370-DC55-B0F7E06EDA7F}"/>
              </a:ext>
            </a:extLst>
          </xdr:cNvPr>
          <xdr:cNvSpPr/>
        </xdr:nvSpPr>
        <xdr:spPr>
          <a:xfrm>
            <a:off x="3528353" y="14844"/>
            <a:ext cx="289647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20</a:t>
            </a:r>
            <a:r>
              <a:rPr lang="en-US" sz="600" spc="-7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000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72" name="Shape 864">
            <a:extLst>
              <a:ext uri="{FF2B5EF4-FFF2-40B4-BE49-F238E27FC236}">
                <a16:creationId xmlns:a16="http://schemas.microsoft.com/office/drawing/2014/main" id="{1BFD4CE5-CD7D-7A42-67C7-1C29A0895955}"/>
              </a:ext>
            </a:extLst>
          </xdr:cNvPr>
          <xdr:cNvSpPr/>
        </xdr:nvSpPr>
        <xdr:spPr>
          <a:xfrm>
            <a:off x="3786695" y="204088"/>
            <a:ext cx="2400351" cy="0"/>
          </a:xfrm>
          <a:custGeom>
            <a:avLst/>
            <a:gdLst/>
            <a:ahLst/>
            <a:cxnLst/>
            <a:rect l="0" t="0" r="0" b="0"/>
            <a:pathLst>
              <a:path w="2400351">
                <a:moveTo>
                  <a:pt x="0" y="0"/>
                </a:moveTo>
                <a:lnTo>
                  <a:pt x="2400351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DEDDDC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73" name="Shape 865">
            <a:extLst>
              <a:ext uri="{FF2B5EF4-FFF2-40B4-BE49-F238E27FC236}">
                <a16:creationId xmlns:a16="http://schemas.microsoft.com/office/drawing/2014/main" id="{134A12F9-9C6B-06AF-258B-629225A71E9D}"/>
              </a:ext>
            </a:extLst>
          </xdr:cNvPr>
          <xdr:cNvSpPr/>
        </xdr:nvSpPr>
        <xdr:spPr>
          <a:xfrm>
            <a:off x="3760483" y="204088"/>
            <a:ext cx="24600" cy="0"/>
          </a:xfrm>
          <a:custGeom>
            <a:avLst/>
            <a:gdLst/>
            <a:ahLst/>
            <a:cxnLst/>
            <a:rect l="0" t="0" r="0" b="0"/>
            <a:pathLst>
              <a:path w="24600">
                <a:moveTo>
                  <a:pt x="0" y="0"/>
                </a:moveTo>
                <a:lnTo>
                  <a:pt x="24600" y="0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74" name="Rectangle 73">
            <a:extLst>
              <a:ext uri="{FF2B5EF4-FFF2-40B4-BE49-F238E27FC236}">
                <a16:creationId xmlns:a16="http://schemas.microsoft.com/office/drawing/2014/main" id="{065F2C3C-863D-B61A-249B-BB9A6DA29C03}"/>
              </a:ext>
            </a:extLst>
          </xdr:cNvPr>
          <xdr:cNvSpPr/>
        </xdr:nvSpPr>
        <xdr:spPr>
          <a:xfrm>
            <a:off x="3528353" y="175857"/>
            <a:ext cx="289647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18</a:t>
            </a:r>
            <a:r>
              <a:rPr lang="en-US" sz="600" spc="-7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000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75" name="Shape 867">
            <a:extLst>
              <a:ext uri="{FF2B5EF4-FFF2-40B4-BE49-F238E27FC236}">
                <a16:creationId xmlns:a16="http://schemas.microsoft.com/office/drawing/2014/main" id="{CC75A9BD-4E19-C3E3-A7CC-B0F37CF46DCD}"/>
              </a:ext>
            </a:extLst>
          </xdr:cNvPr>
          <xdr:cNvSpPr/>
        </xdr:nvSpPr>
        <xdr:spPr>
          <a:xfrm>
            <a:off x="3786695" y="365099"/>
            <a:ext cx="2400351" cy="0"/>
          </a:xfrm>
          <a:custGeom>
            <a:avLst/>
            <a:gdLst/>
            <a:ahLst/>
            <a:cxnLst/>
            <a:rect l="0" t="0" r="0" b="0"/>
            <a:pathLst>
              <a:path w="2400351">
                <a:moveTo>
                  <a:pt x="0" y="0"/>
                </a:moveTo>
                <a:lnTo>
                  <a:pt x="2400351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DEDDDC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76" name="Shape 868">
            <a:extLst>
              <a:ext uri="{FF2B5EF4-FFF2-40B4-BE49-F238E27FC236}">
                <a16:creationId xmlns:a16="http://schemas.microsoft.com/office/drawing/2014/main" id="{B764BE0D-FC03-7F0D-A348-F9AE21DF603C}"/>
              </a:ext>
            </a:extLst>
          </xdr:cNvPr>
          <xdr:cNvSpPr/>
        </xdr:nvSpPr>
        <xdr:spPr>
          <a:xfrm>
            <a:off x="3760483" y="365099"/>
            <a:ext cx="24600" cy="0"/>
          </a:xfrm>
          <a:custGeom>
            <a:avLst/>
            <a:gdLst/>
            <a:ahLst/>
            <a:cxnLst/>
            <a:rect l="0" t="0" r="0" b="0"/>
            <a:pathLst>
              <a:path w="24600">
                <a:moveTo>
                  <a:pt x="0" y="0"/>
                </a:moveTo>
                <a:lnTo>
                  <a:pt x="24600" y="0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4DA93CF1-2C3E-CFDC-E104-DBD109FC16A4}"/>
              </a:ext>
            </a:extLst>
          </xdr:cNvPr>
          <xdr:cNvSpPr/>
        </xdr:nvSpPr>
        <xdr:spPr>
          <a:xfrm>
            <a:off x="3528353" y="336871"/>
            <a:ext cx="289647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16</a:t>
            </a:r>
            <a:r>
              <a:rPr lang="en-US" sz="600" spc="-7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000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78" name="Shape 870">
            <a:extLst>
              <a:ext uri="{FF2B5EF4-FFF2-40B4-BE49-F238E27FC236}">
                <a16:creationId xmlns:a16="http://schemas.microsoft.com/office/drawing/2014/main" id="{E8FE0CF4-D87B-7521-14D1-0468A34DDAA9}"/>
              </a:ext>
            </a:extLst>
          </xdr:cNvPr>
          <xdr:cNvSpPr/>
        </xdr:nvSpPr>
        <xdr:spPr>
          <a:xfrm>
            <a:off x="3786695" y="526110"/>
            <a:ext cx="2400351" cy="0"/>
          </a:xfrm>
          <a:custGeom>
            <a:avLst/>
            <a:gdLst/>
            <a:ahLst/>
            <a:cxnLst/>
            <a:rect l="0" t="0" r="0" b="0"/>
            <a:pathLst>
              <a:path w="2400351">
                <a:moveTo>
                  <a:pt x="0" y="0"/>
                </a:moveTo>
                <a:lnTo>
                  <a:pt x="2400351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DEDDDC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79" name="Shape 871">
            <a:extLst>
              <a:ext uri="{FF2B5EF4-FFF2-40B4-BE49-F238E27FC236}">
                <a16:creationId xmlns:a16="http://schemas.microsoft.com/office/drawing/2014/main" id="{ABBB9829-DE2F-B4C0-A4F6-0EDCD1E8E598}"/>
              </a:ext>
            </a:extLst>
          </xdr:cNvPr>
          <xdr:cNvSpPr/>
        </xdr:nvSpPr>
        <xdr:spPr>
          <a:xfrm>
            <a:off x="3760483" y="526110"/>
            <a:ext cx="24600" cy="0"/>
          </a:xfrm>
          <a:custGeom>
            <a:avLst/>
            <a:gdLst/>
            <a:ahLst/>
            <a:cxnLst/>
            <a:rect l="0" t="0" r="0" b="0"/>
            <a:pathLst>
              <a:path w="24600">
                <a:moveTo>
                  <a:pt x="0" y="0"/>
                </a:moveTo>
                <a:lnTo>
                  <a:pt x="24600" y="0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D4ED2305-1932-B294-EEB6-C842812F10B4}"/>
              </a:ext>
            </a:extLst>
          </xdr:cNvPr>
          <xdr:cNvSpPr/>
        </xdr:nvSpPr>
        <xdr:spPr>
          <a:xfrm>
            <a:off x="3528353" y="497879"/>
            <a:ext cx="289647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14</a:t>
            </a:r>
            <a:r>
              <a:rPr lang="en-US" sz="600" spc="-7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000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81" name="Shape 873">
            <a:extLst>
              <a:ext uri="{FF2B5EF4-FFF2-40B4-BE49-F238E27FC236}">
                <a16:creationId xmlns:a16="http://schemas.microsoft.com/office/drawing/2014/main" id="{082AB91E-4A43-3C37-A729-247BDF725D25}"/>
              </a:ext>
            </a:extLst>
          </xdr:cNvPr>
          <xdr:cNvSpPr/>
        </xdr:nvSpPr>
        <xdr:spPr>
          <a:xfrm>
            <a:off x="3786695" y="687133"/>
            <a:ext cx="2400351" cy="0"/>
          </a:xfrm>
          <a:custGeom>
            <a:avLst/>
            <a:gdLst/>
            <a:ahLst/>
            <a:cxnLst/>
            <a:rect l="0" t="0" r="0" b="0"/>
            <a:pathLst>
              <a:path w="2400351">
                <a:moveTo>
                  <a:pt x="0" y="0"/>
                </a:moveTo>
                <a:lnTo>
                  <a:pt x="2400351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DEDDDC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82" name="Shape 874">
            <a:extLst>
              <a:ext uri="{FF2B5EF4-FFF2-40B4-BE49-F238E27FC236}">
                <a16:creationId xmlns:a16="http://schemas.microsoft.com/office/drawing/2014/main" id="{BE59E068-ECF2-6648-2826-E505D6DD8D18}"/>
              </a:ext>
            </a:extLst>
          </xdr:cNvPr>
          <xdr:cNvSpPr/>
        </xdr:nvSpPr>
        <xdr:spPr>
          <a:xfrm>
            <a:off x="3760483" y="687133"/>
            <a:ext cx="24600" cy="0"/>
          </a:xfrm>
          <a:custGeom>
            <a:avLst/>
            <a:gdLst/>
            <a:ahLst/>
            <a:cxnLst/>
            <a:rect l="0" t="0" r="0" b="0"/>
            <a:pathLst>
              <a:path w="24600">
                <a:moveTo>
                  <a:pt x="0" y="0"/>
                </a:moveTo>
                <a:lnTo>
                  <a:pt x="24600" y="0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86CFBA4E-D721-0FDC-7CA4-5DED4493DCD7}"/>
              </a:ext>
            </a:extLst>
          </xdr:cNvPr>
          <xdr:cNvSpPr/>
        </xdr:nvSpPr>
        <xdr:spPr>
          <a:xfrm>
            <a:off x="3528353" y="658899"/>
            <a:ext cx="289647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12</a:t>
            </a:r>
            <a:r>
              <a:rPr lang="en-US" sz="600" spc="-7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000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84" name="Shape 876">
            <a:extLst>
              <a:ext uri="{FF2B5EF4-FFF2-40B4-BE49-F238E27FC236}">
                <a16:creationId xmlns:a16="http://schemas.microsoft.com/office/drawing/2014/main" id="{8F10560B-C3CF-56C7-B8B7-42773E2617A3}"/>
              </a:ext>
            </a:extLst>
          </xdr:cNvPr>
          <xdr:cNvSpPr/>
        </xdr:nvSpPr>
        <xdr:spPr>
          <a:xfrm>
            <a:off x="3786695" y="848131"/>
            <a:ext cx="2400351" cy="0"/>
          </a:xfrm>
          <a:custGeom>
            <a:avLst/>
            <a:gdLst/>
            <a:ahLst/>
            <a:cxnLst/>
            <a:rect l="0" t="0" r="0" b="0"/>
            <a:pathLst>
              <a:path w="2400351">
                <a:moveTo>
                  <a:pt x="0" y="0"/>
                </a:moveTo>
                <a:lnTo>
                  <a:pt x="2400351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DEDDDC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85" name="Shape 877">
            <a:extLst>
              <a:ext uri="{FF2B5EF4-FFF2-40B4-BE49-F238E27FC236}">
                <a16:creationId xmlns:a16="http://schemas.microsoft.com/office/drawing/2014/main" id="{5919E7D3-A745-81DD-560D-0B66BF82773A}"/>
              </a:ext>
            </a:extLst>
          </xdr:cNvPr>
          <xdr:cNvSpPr/>
        </xdr:nvSpPr>
        <xdr:spPr>
          <a:xfrm>
            <a:off x="3760483" y="848131"/>
            <a:ext cx="24600" cy="0"/>
          </a:xfrm>
          <a:custGeom>
            <a:avLst/>
            <a:gdLst/>
            <a:ahLst/>
            <a:cxnLst/>
            <a:rect l="0" t="0" r="0" b="0"/>
            <a:pathLst>
              <a:path w="24600">
                <a:moveTo>
                  <a:pt x="0" y="0"/>
                </a:moveTo>
                <a:lnTo>
                  <a:pt x="24600" y="0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21A230CA-B759-6528-CA9F-945F66CF0936}"/>
              </a:ext>
            </a:extLst>
          </xdr:cNvPr>
          <xdr:cNvSpPr/>
        </xdr:nvSpPr>
        <xdr:spPr>
          <a:xfrm>
            <a:off x="3528353" y="819914"/>
            <a:ext cx="289647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10</a:t>
            </a:r>
            <a:r>
              <a:rPr lang="en-US" sz="600" spc="-7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000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87" name="Shape 879">
            <a:extLst>
              <a:ext uri="{FF2B5EF4-FFF2-40B4-BE49-F238E27FC236}">
                <a16:creationId xmlns:a16="http://schemas.microsoft.com/office/drawing/2014/main" id="{09426571-06DA-A8C6-7AC3-026B5256F86F}"/>
              </a:ext>
            </a:extLst>
          </xdr:cNvPr>
          <xdr:cNvSpPr/>
        </xdr:nvSpPr>
        <xdr:spPr>
          <a:xfrm>
            <a:off x="3786695" y="1009142"/>
            <a:ext cx="2400351" cy="0"/>
          </a:xfrm>
          <a:custGeom>
            <a:avLst/>
            <a:gdLst/>
            <a:ahLst/>
            <a:cxnLst/>
            <a:rect l="0" t="0" r="0" b="0"/>
            <a:pathLst>
              <a:path w="2400351">
                <a:moveTo>
                  <a:pt x="0" y="0"/>
                </a:moveTo>
                <a:lnTo>
                  <a:pt x="2400351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DEDDDC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88" name="Shape 880">
            <a:extLst>
              <a:ext uri="{FF2B5EF4-FFF2-40B4-BE49-F238E27FC236}">
                <a16:creationId xmlns:a16="http://schemas.microsoft.com/office/drawing/2014/main" id="{1D38962C-EA9B-92EC-A75B-6E4BB2532A84}"/>
              </a:ext>
            </a:extLst>
          </xdr:cNvPr>
          <xdr:cNvSpPr/>
        </xdr:nvSpPr>
        <xdr:spPr>
          <a:xfrm>
            <a:off x="3760483" y="1009142"/>
            <a:ext cx="24600" cy="0"/>
          </a:xfrm>
          <a:custGeom>
            <a:avLst/>
            <a:gdLst/>
            <a:ahLst/>
            <a:cxnLst/>
            <a:rect l="0" t="0" r="0" b="0"/>
            <a:pathLst>
              <a:path w="24600">
                <a:moveTo>
                  <a:pt x="0" y="0"/>
                </a:moveTo>
                <a:lnTo>
                  <a:pt x="24600" y="0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FFFE3FF7-5A7F-1EC7-C6A1-5712896B6C19}"/>
              </a:ext>
            </a:extLst>
          </xdr:cNvPr>
          <xdr:cNvSpPr/>
        </xdr:nvSpPr>
        <xdr:spPr>
          <a:xfrm>
            <a:off x="3578493" y="980925"/>
            <a:ext cx="22296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8000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90" name="Shape 882">
            <a:extLst>
              <a:ext uri="{FF2B5EF4-FFF2-40B4-BE49-F238E27FC236}">
                <a16:creationId xmlns:a16="http://schemas.microsoft.com/office/drawing/2014/main" id="{D5CF01D4-4C09-6780-C939-9585E6BD1A85}"/>
              </a:ext>
            </a:extLst>
          </xdr:cNvPr>
          <xdr:cNvSpPr/>
        </xdr:nvSpPr>
        <xdr:spPr>
          <a:xfrm>
            <a:off x="3786695" y="1170152"/>
            <a:ext cx="2400351" cy="0"/>
          </a:xfrm>
          <a:custGeom>
            <a:avLst/>
            <a:gdLst/>
            <a:ahLst/>
            <a:cxnLst/>
            <a:rect l="0" t="0" r="0" b="0"/>
            <a:pathLst>
              <a:path w="2400351">
                <a:moveTo>
                  <a:pt x="0" y="0"/>
                </a:moveTo>
                <a:lnTo>
                  <a:pt x="2400351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DEDDDC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91" name="Shape 883">
            <a:extLst>
              <a:ext uri="{FF2B5EF4-FFF2-40B4-BE49-F238E27FC236}">
                <a16:creationId xmlns:a16="http://schemas.microsoft.com/office/drawing/2014/main" id="{C2EEB833-740F-94AE-2AD1-DDDCD2B2947A}"/>
              </a:ext>
            </a:extLst>
          </xdr:cNvPr>
          <xdr:cNvSpPr/>
        </xdr:nvSpPr>
        <xdr:spPr>
          <a:xfrm>
            <a:off x="3760483" y="1170152"/>
            <a:ext cx="24600" cy="0"/>
          </a:xfrm>
          <a:custGeom>
            <a:avLst/>
            <a:gdLst/>
            <a:ahLst/>
            <a:cxnLst/>
            <a:rect l="0" t="0" r="0" b="0"/>
            <a:pathLst>
              <a:path w="24600">
                <a:moveTo>
                  <a:pt x="0" y="0"/>
                </a:moveTo>
                <a:lnTo>
                  <a:pt x="24600" y="0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10317D6F-2AAD-37B2-4CC8-5B661C33A842}"/>
              </a:ext>
            </a:extLst>
          </xdr:cNvPr>
          <xdr:cNvSpPr/>
        </xdr:nvSpPr>
        <xdr:spPr>
          <a:xfrm>
            <a:off x="3578493" y="1141935"/>
            <a:ext cx="22296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6000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93" name="Shape 885">
            <a:extLst>
              <a:ext uri="{FF2B5EF4-FFF2-40B4-BE49-F238E27FC236}">
                <a16:creationId xmlns:a16="http://schemas.microsoft.com/office/drawing/2014/main" id="{CEA7B513-614C-798C-912A-C4E3037162CF}"/>
              </a:ext>
            </a:extLst>
          </xdr:cNvPr>
          <xdr:cNvSpPr/>
        </xdr:nvSpPr>
        <xdr:spPr>
          <a:xfrm>
            <a:off x="3786695" y="1331176"/>
            <a:ext cx="2400351" cy="0"/>
          </a:xfrm>
          <a:custGeom>
            <a:avLst/>
            <a:gdLst/>
            <a:ahLst/>
            <a:cxnLst/>
            <a:rect l="0" t="0" r="0" b="0"/>
            <a:pathLst>
              <a:path w="2400351">
                <a:moveTo>
                  <a:pt x="0" y="0"/>
                </a:moveTo>
                <a:lnTo>
                  <a:pt x="2400351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DEDDDC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94" name="Shape 886">
            <a:extLst>
              <a:ext uri="{FF2B5EF4-FFF2-40B4-BE49-F238E27FC236}">
                <a16:creationId xmlns:a16="http://schemas.microsoft.com/office/drawing/2014/main" id="{D9F14F66-622F-CDB4-9DD9-EF83A2835EE7}"/>
              </a:ext>
            </a:extLst>
          </xdr:cNvPr>
          <xdr:cNvSpPr/>
        </xdr:nvSpPr>
        <xdr:spPr>
          <a:xfrm>
            <a:off x="3760483" y="1331176"/>
            <a:ext cx="24600" cy="0"/>
          </a:xfrm>
          <a:custGeom>
            <a:avLst/>
            <a:gdLst/>
            <a:ahLst/>
            <a:cxnLst/>
            <a:rect l="0" t="0" r="0" b="0"/>
            <a:pathLst>
              <a:path w="24600">
                <a:moveTo>
                  <a:pt x="0" y="0"/>
                </a:moveTo>
                <a:lnTo>
                  <a:pt x="24600" y="0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4CB51191-FCC3-D4F0-430B-738D179DBC26}"/>
              </a:ext>
            </a:extLst>
          </xdr:cNvPr>
          <xdr:cNvSpPr/>
        </xdr:nvSpPr>
        <xdr:spPr>
          <a:xfrm>
            <a:off x="3578493" y="1302946"/>
            <a:ext cx="22296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4000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96" name="Shape 888">
            <a:extLst>
              <a:ext uri="{FF2B5EF4-FFF2-40B4-BE49-F238E27FC236}">
                <a16:creationId xmlns:a16="http://schemas.microsoft.com/office/drawing/2014/main" id="{70F76F49-9BF7-E71C-21BF-1833CD00A510}"/>
              </a:ext>
            </a:extLst>
          </xdr:cNvPr>
          <xdr:cNvSpPr/>
        </xdr:nvSpPr>
        <xdr:spPr>
          <a:xfrm>
            <a:off x="3786695" y="1492186"/>
            <a:ext cx="2400351" cy="0"/>
          </a:xfrm>
          <a:custGeom>
            <a:avLst/>
            <a:gdLst/>
            <a:ahLst/>
            <a:cxnLst/>
            <a:rect l="0" t="0" r="0" b="0"/>
            <a:pathLst>
              <a:path w="2400351">
                <a:moveTo>
                  <a:pt x="0" y="0"/>
                </a:moveTo>
                <a:lnTo>
                  <a:pt x="2400351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DEDDDC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97" name="Shape 889">
            <a:extLst>
              <a:ext uri="{FF2B5EF4-FFF2-40B4-BE49-F238E27FC236}">
                <a16:creationId xmlns:a16="http://schemas.microsoft.com/office/drawing/2014/main" id="{B9747B21-C98E-E2BC-1425-B3671302F666}"/>
              </a:ext>
            </a:extLst>
          </xdr:cNvPr>
          <xdr:cNvSpPr/>
        </xdr:nvSpPr>
        <xdr:spPr>
          <a:xfrm>
            <a:off x="3760483" y="1492186"/>
            <a:ext cx="24600" cy="0"/>
          </a:xfrm>
          <a:custGeom>
            <a:avLst/>
            <a:gdLst/>
            <a:ahLst/>
            <a:cxnLst/>
            <a:rect l="0" t="0" r="0" b="0"/>
            <a:pathLst>
              <a:path w="24600">
                <a:moveTo>
                  <a:pt x="0" y="0"/>
                </a:moveTo>
                <a:lnTo>
                  <a:pt x="24600" y="0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3F9F5A50-28F4-097F-2B9D-3168FD039E78}"/>
              </a:ext>
            </a:extLst>
          </xdr:cNvPr>
          <xdr:cNvSpPr/>
        </xdr:nvSpPr>
        <xdr:spPr>
          <a:xfrm>
            <a:off x="3578493" y="1463957"/>
            <a:ext cx="22296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2000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D0D68906-DA3F-204A-A38B-424870679DE5}"/>
              </a:ext>
            </a:extLst>
          </xdr:cNvPr>
          <xdr:cNvSpPr/>
        </xdr:nvSpPr>
        <xdr:spPr>
          <a:xfrm rot="-5399999">
            <a:off x="2956191" y="676911"/>
            <a:ext cx="998884" cy="9464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5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Mean</a:t>
            </a:r>
            <a:r>
              <a:rPr lang="en-US" sz="650" spc="-705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5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all-cause</a:t>
            </a:r>
            <a:r>
              <a:rPr lang="en-US" sz="650" spc="-705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5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cost,</a:t>
            </a:r>
            <a:r>
              <a:rPr lang="en-US" sz="650" spc="-705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5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$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0" name="Shape 892">
            <a:extLst>
              <a:ext uri="{FF2B5EF4-FFF2-40B4-BE49-F238E27FC236}">
                <a16:creationId xmlns:a16="http://schemas.microsoft.com/office/drawing/2014/main" id="{93D9F6CA-247C-6FF8-EE71-91F5F1584189}"/>
              </a:ext>
            </a:extLst>
          </xdr:cNvPr>
          <xdr:cNvSpPr/>
        </xdr:nvSpPr>
        <xdr:spPr>
          <a:xfrm>
            <a:off x="3785083" y="1653120"/>
            <a:ext cx="0" cy="24612"/>
          </a:xfrm>
          <a:custGeom>
            <a:avLst/>
            <a:gdLst/>
            <a:ahLst/>
            <a:cxnLst/>
            <a:rect l="0" t="0" r="0" b="0"/>
            <a:pathLst>
              <a:path h="24612">
                <a:moveTo>
                  <a:pt x="0" y="0"/>
                </a:moveTo>
                <a:lnTo>
                  <a:pt x="0" y="24612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01" name="Rectangle 100">
            <a:extLst>
              <a:ext uri="{FF2B5EF4-FFF2-40B4-BE49-F238E27FC236}">
                <a16:creationId xmlns:a16="http://schemas.microsoft.com/office/drawing/2014/main" id="{273FE9D5-453A-8344-BF26-0B88AFDBB215}"/>
              </a:ext>
            </a:extLst>
          </xdr:cNvPr>
          <xdr:cNvSpPr/>
        </xdr:nvSpPr>
        <xdr:spPr>
          <a:xfrm>
            <a:off x="3764129" y="1704469"/>
            <a:ext cx="55740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2" name="Shape 894">
            <a:extLst>
              <a:ext uri="{FF2B5EF4-FFF2-40B4-BE49-F238E27FC236}">
                <a16:creationId xmlns:a16="http://schemas.microsoft.com/office/drawing/2014/main" id="{E8847DF8-B496-67A5-F914-B19669EDAF98}"/>
              </a:ext>
            </a:extLst>
          </xdr:cNvPr>
          <xdr:cNvSpPr/>
        </xdr:nvSpPr>
        <xdr:spPr>
          <a:xfrm>
            <a:off x="4185412" y="1653120"/>
            <a:ext cx="0" cy="24612"/>
          </a:xfrm>
          <a:custGeom>
            <a:avLst/>
            <a:gdLst/>
            <a:ahLst/>
            <a:cxnLst/>
            <a:rect l="0" t="0" r="0" b="0"/>
            <a:pathLst>
              <a:path h="24612">
                <a:moveTo>
                  <a:pt x="0" y="0"/>
                </a:moveTo>
                <a:lnTo>
                  <a:pt x="0" y="24612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9250C59D-167A-71A8-0372-8BA7197C53BD}"/>
              </a:ext>
            </a:extLst>
          </xdr:cNvPr>
          <xdr:cNvSpPr/>
        </xdr:nvSpPr>
        <xdr:spPr>
          <a:xfrm>
            <a:off x="4143503" y="1704469"/>
            <a:ext cx="11148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10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4" name="Shape 896">
            <a:extLst>
              <a:ext uri="{FF2B5EF4-FFF2-40B4-BE49-F238E27FC236}">
                <a16:creationId xmlns:a16="http://schemas.microsoft.com/office/drawing/2014/main" id="{CC8CD91D-D1FE-C68F-6CCC-D696C1824569}"/>
              </a:ext>
            </a:extLst>
          </xdr:cNvPr>
          <xdr:cNvSpPr/>
        </xdr:nvSpPr>
        <xdr:spPr>
          <a:xfrm>
            <a:off x="4385564" y="1653120"/>
            <a:ext cx="0" cy="24612"/>
          </a:xfrm>
          <a:custGeom>
            <a:avLst/>
            <a:gdLst/>
            <a:ahLst/>
            <a:cxnLst/>
            <a:rect l="0" t="0" r="0" b="0"/>
            <a:pathLst>
              <a:path h="24612">
                <a:moveTo>
                  <a:pt x="0" y="0"/>
                </a:moveTo>
                <a:lnTo>
                  <a:pt x="0" y="24612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A59D96B1-48F4-6650-4C34-D32675C4F438}"/>
              </a:ext>
            </a:extLst>
          </xdr:cNvPr>
          <xdr:cNvSpPr/>
        </xdr:nvSpPr>
        <xdr:spPr>
          <a:xfrm>
            <a:off x="4343681" y="1704469"/>
            <a:ext cx="11148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15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6" name="Shape 898">
            <a:extLst>
              <a:ext uri="{FF2B5EF4-FFF2-40B4-BE49-F238E27FC236}">
                <a16:creationId xmlns:a16="http://schemas.microsoft.com/office/drawing/2014/main" id="{58F6AE95-EE8E-F7D1-2787-1120B2AFF494}"/>
              </a:ext>
            </a:extLst>
          </xdr:cNvPr>
          <xdr:cNvSpPr/>
        </xdr:nvSpPr>
        <xdr:spPr>
          <a:xfrm>
            <a:off x="4585754" y="1653120"/>
            <a:ext cx="0" cy="24612"/>
          </a:xfrm>
          <a:custGeom>
            <a:avLst/>
            <a:gdLst/>
            <a:ahLst/>
            <a:cxnLst/>
            <a:rect l="0" t="0" r="0" b="0"/>
            <a:pathLst>
              <a:path h="24612">
                <a:moveTo>
                  <a:pt x="0" y="0"/>
                </a:moveTo>
                <a:lnTo>
                  <a:pt x="0" y="24612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3C2773B0-2EC6-936F-CCC2-7A7B121B2436}"/>
              </a:ext>
            </a:extLst>
          </xdr:cNvPr>
          <xdr:cNvSpPr/>
        </xdr:nvSpPr>
        <xdr:spPr>
          <a:xfrm>
            <a:off x="4543845" y="1704469"/>
            <a:ext cx="11148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20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08" name="Shape 900">
            <a:extLst>
              <a:ext uri="{FF2B5EF4-FFF2-40B4-BE49-F238E27FC236}">
                <a16:creationId xmlns:a16="http://schemas.microsoft.com/office/drawing/2014/main" id="{B4DA9F5E-E8CE-EB7B-B460-E99A5E66057C}"/>
              </a:ext>
            </a:extLst>
          </xdr:cNvPr>
          <xdr:cNvSpPr/>
        </xdr:nvSpPr>
        <xdr:spPr>
          <a:xfrm>
            <a:off x="4785919" y="1653120"/>
            <a:ext cx="0" cy="24612"/>
          </a:xfrm>
          <a:custGeom>
            <a:avLst/>
            <a:gdLst/>
            <a:ahLst/>
            <a:cxnLst/>
            <a:rect l="0" t="0" r="0" b="0"/>
            <a:pathLst>
              <a:path h="24612">
                <a:moveTo>
                  <a:pt x="0" y="0"/>
                </a:moveTo>
                <a:lnTo>
                  <a:pt x="0" y="24612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DF157E59-615C-A15D-8B1D-69944298217E}"/>
              </a:ext>
            </a:extLst>
          </xdr:cNvPr>
          <xdr:cNvSpPr/>
        </xdr:nvSpPr>
        <xdr:spPr>
          <a:xfrm>
            <a:off x="4744023" y="1704469"/>
            <a:ext cx="11148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25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0" name="Shape 902">
            <a:extLst>
              <a:ext uri="{FF2B5EF4-FFF2-40B4-BE49-F238E27FC236}">
                <a16:creationId xmlns:a16="http://schemas.microsoft.com/office/drawing/2014/main" id="{B71D1769-78D2-4CB5-A46F-BB4AFF6B2DB3}"/>
              </a:ext>
            </a:extLst>
          </xdr:cNvPr>
          <xdr:cNvSpPr/>
        </xdr:nvSpPr>
        <xdr:spPr>
          <a:xfrm>
            <a:off x="4986084" y="1653120"/>
            <a:ext cx="0" cy="24612"/>
          </a:xfrm>
          <a:custGeom>
            <a:avLst/>
            <a:gdLst/>
            <a:ahLst/>
            <a:cxnLst/>
            <a:rect l="0" t="0" r="0" b="0"/>
            <a:pathLst>
              <a:path h="24612">
                <a:moveTo>
                  <a:pt x="0" y="0"/>
                </a:moveTo>
                <a:lnTo>
                  <a:pt x="0" y="24612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7E83CE91-703B-9FE8-58D5-916502DD90B3}"/>
              </a:ext>
            </a:extLst>
          </xdr:cNvPr>
          <xdr:cNvSpPr/>
        </xdr:nvSpPr>
        <xdr:spPr>
          <a:xfrm>
            <a:off x="4944188" y="1704469"/>
            <a:ext cx="11148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30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2" name="Shape 904">
            <a:extLst>
              <a:ext uri="{FF2B5EF4-FFF2-40B4-BE49-F238E27FC236}">
                <a16:creationId xmlns:a16="http://schemas.microsoft.com/office/drawing/2014/main" id="{BFDE149D-B4D4-0001-83A6-6AA6B05ACBDA}"/>
              </a:ext>
            </a:extLst>
          </xdr:cNvPr>
          <xdr:cNvSpPr/>
        </xdr:nvSpPr>
        <xdr:spPr>
          <a:xfrm>
            <a:off x="5186248" y="1653120"/>
            <a:ext cx="0" cy="24612"/>
          </a:xfrm>
          <a:custGeom>
            <a:avLst/>
            <a:gdLst/>
            <a:ahLst/>
            <a:cxnLst/>
            <a:rect l="0" t="0" r="0" b="0"/>
            <a:pathLst>
              <a:path h="24612">
                <a:moveTo>
                  <a:pt x="0" y="0"/>
                </a:moveTo>
                <a:lnTo>
                  <a:pt x="0" y="24612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4A70E39B-3858-B7A3-7788-C066F4EEA949}"/>
              </a:ext>
            </a:extLst>
          </xdr:cNvPr>
          <xdr:cNvSpPr/>
        </xdr:nvSpPr>
        <xdr:spPr>
          <a:xfrm>
            <a:off x="5144365" y="1704469"/>
            <a:ext cx="11148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35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4" name="Shape 906">
            <a:extLst>
              <a:ext uri="{FF2B5EF4-FFF2-40B4-BE49-F238E27FC236}">
                <a16:creationId xmlns:a16="http://schemas.microsoft.com/office/drawing/2014/main" id="{CBD4A0F3-06E3-93E6-6CA4-2AB74B49DAFF}"/>
              </a:ext>
            </a:extLst>
          </xdr:cNvPr>
          <xdr:cNvSpPr/>
        </xdr:nvSpPr>
        <xdr:spPr>
          <a:xfrm>
            <a:off x="5386426" y="1653120"/>
            <a:ext cx="0" cy="24612"/>
          </a:xfrm>
          <a:custGeom>
            <a:avLst/>
            <a:gdLst/>
            <a:ahLst/>
            <a:cxnLst/>
            <a:rect l="0" t="0" r="0" b="0"/>
            <a:pathLst>
              <a:path h="24612">
                <a:moveTo>
                  <a:pt x="0" y="0"/>
                </a:moveTo>
                <a:lnTo>
                  <a:pt x="0" y="24612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5A47A826-CC67-0CEC-D644-E16839D2EEF6}"/>
              </a:ext>
            </a:extLst>
          </xdr:cNvPr>
          <xdr:cNvSpPr/>
        </xdr:nvSpPr>
        <xdr:spPr>
          <a:xfrm>
            <a:off x="5344517" y="1704469"/>
            <a:ext cx="11148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40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6" name="Shape 908">
            <a:extLst>
              <a:ext uri="{FF2B5EF4-FFF2-40B4-BE49-F238E27FC236}">
                <a16:creationId xmlns:a16="http://schemas.microsoft.com/office/drawing/2014/main" id="{2DD9E1E1-1DEA-D3D8-C5C5-FDFBC94F90E8}"/>
              </a:ext>
            </a:extLst>
          </xdr:cNvPr>
          <xdr:cNvSpPr/>
        </xdr:nvSpPr>
        <xdr:spPr>
          <a:xfrm>
            <a:off x="5586603" y="1653120"/>
            <a:ext cx="0" cy="24612"/>
          </a:xfrm>
          <a:custGeom>
            <a:avLst/>
            <a:gdLst/>
            <a:ahLst/>
            <a:cxnLst/>
            <a:rect l="0" t="0" r="0" b="0"/>
            <a:pathLst>
              <a:path h="24612">
                <a:moveTo>
                  <a:pt x="0" y="0"/>
                </a:moveTo>
                <a:lnTo>
                  <a:pt x="0" y="24612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D0D4A0E6-1265-E93B-22A3-CBA822F484CD}"/>
              </a:ext>
            </a:extLst>
          </xdr:cNvPr>
          <xdr:cNvSpPr/>
        </xdr:nvSpPr>
        <xdr:spPr>
          <a:xfrm>
            <a:off x="5544707" y="1704469"/>
            <a:ext cx="11148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45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18" name="Shape 910">
            <a:extLst>
              <a:ext uri="{FF2B5EF4-FFF2-40B4-BE49-F238E27FC236}">
                <a16:creationId xmlns:a16="http://schemas.microsoft.com/office/drawing/2014/main" id="{A0AC216A-A55A-1670-85F9-5D1C43269105}"/>
              </a:ext>
            </a:extLst>
          </xdr:cNvPr>
          <xdr:cNvSpPr/>
        </xdr:nvSpPr>
        <xdr:spPr>
          <a:xfrm>
            <a:off x="5786755" y="1653120"/>
            <a:ext cx="0" cy="24612"/>
          </a:xfrm>
          <a:custGeom>
            <a:avLst/>
            <a:gdLst/>
            <a:ahLst/>
            <a:cxnLst/>
            <a:rect l="0" t="0" r="0" b="0"/>
            <a:pathLst>
              <a:path h="24612">
                <a:moveTo>
                  <a:pt x="0" y="0"/>
                </a:moveTo>
                <a:lnTo>
                  <a:pt x="0" y="24612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4CCFA987-2896-9A89-3575-DB81BEFC9D40}"/>
              </a:ext>
            </a:extLst>
          </xdr:cNvPr>
          <xdr:cNvSpPr/>
        </xdr:nvSpPr>
        <xdr:spPr>
          <a:xfrm>
            <a:off x="5744859" y="1704469"/>
            <a:ext cx="111481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50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0" name="Shape 912">
            <a:extLst>
              <a:ext uri="{FF2B5EF4-FFF2-40B4-BE49-F238E27FC236}">
                <a16:creationId xmlns:a16="http://schemas.microsoft.com/office/drawing/2014/main" id="{EE03485F-1F4D-BA9B-0C0B-90FC18644947}"/>
              </a:ext>
            </a:extLst>
          </xdr:cNvPr>
          <xdr:cNvSpPr/>
        </xdr:nvSpPr>
        <xdr:spPr>
          <a:xfrm>
            <a:off x="5986933" y="1653120"/>
            <a:ext cx="0" cy="24612"/>
          </a:xfrm>
          <a:custGeom>
            <a:avLst/>
            <a:gdLst/>
            <a:ahLst/>
            <a:cxnLst/>
            <a:rect l="0" t="0" r="0" b="0"/>
            <a:pathLst>
              <a:path h="24612">
                <a:moveTo>
                  <a:pt x="0" y="0"/>
                </a:moveTo>
                <a:lnTo>
                  <a:pt x="0" y="24612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5A4BC7F5-392C-C452-5B76-A5BBF56FADC5}"/>
              </a:ext>
            </a:extLst>
          </xdr:cNvPr>
          <xdr:cNvSpPr/>
        </xdr:nvSpPr>
        <xdr:spPr>
          <a:xfrm>
            <a:off x="5945036" y="1704469"/>
            <a:ext cx="111480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55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2" name="Shape 914">
            <a:extLst>
              <a:ext uri="{FF2B5EF4-FFF2-40B4-BE49-F238E27FC236}">
                <a16:creationId xmlns:a16="http://schemas.microsoft.com/office/drawing/2014/main" id="{475B629F-7429-DEA8-B49F-013CB486C26C}"/>
              </a:ext>
            </a:extLst>
          </xdr:cNvPr>
          <xdr:cNvSpPr/>
        </xdr:nvSpPr>
        <xdr:spPr>
          <a:xfrm>
            <a:off x="6187046" y="1653120"/>
            <a:ext cx="0" cy="25006"/>
          </a:xfrm>
          <a:custGeom>
            <a:avLst/>
            <a:gdLst/>
            <a:ahLst/>
            <a:cxnLst/>
            <a:rect l="0" t="0" r="0" b="0"/>
            <a:pathLst>
              <a:path h="25006">
                <a:moveTo>
                  <a:pt x="0" y="0"/>
                </a:moveTo>
                <a:lnTo>
                  <a:pt x="0" y="25006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C6427601-7659-4FB9-D6A5-74D48C168679}"/>
              </a:ext>
            </a:extLst>
          </xdr:cNvPr>
          <xdr:cNvSpPr/>
        </xdr:nvSpPr>
        <xdr:spPr>
          <a:xfrm>
            <a:off x="6145214" y="1704863"/>
            <a:ext cx="111480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60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A82B319B-935D-102A-CC5D-EEA89523D98A}"/>
              </a:ext>
            </a:extLst>
          </xdr:cNvPr>
          <xdr:cNvSpPr/>
        </xdr:nvSpPr>
        <xdr:spPr>
          <a:xfrm>
            <a:off x="4653027" y="1826186"/>
            <a:ext cx="890168" cy="9464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50" spc="-15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Months</a:t>
            </a:r>
            <a:r>
              <a:rPr lang="en-US" sz="650" spc="-2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50" spc="-15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before</a:t>
            </a:r>
            <a:r>
              <a:rPr lang="en-US" sz="650" spc="-2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50" spc="-15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death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5" name="Shape 917">
            <a:extLst>
              <a:ext uri="{FF2B5EF4-FFF2-40B4-BE49-F238E27FC236}">
                <a16:creationId xmlns:a16="http://schemas.microsoft.com/office/drawing/2014/main" id="{0D4EAA80-E91B-3ACF-E628-F13E1CB01098}"/>
              </a:ext>
            </a:extLst>
          </xdr:cNvPr>
          <xdr:cNvSpPr/>
        </xdr:nvSpPr>
        <xdr:spPr>
          <a:xfrm>
            <a:off x="3985247" y="1653120"/>
            <a:ext cx="0" cy="24612"/>
          </a:xfrm>
          <a:custGeom>
            <a:avLst/>
            <a:gdLst/>
            <a:ahLst/>
            <a:cxnLst/>
            <a:rect l="0" t="0" r="0" b="0"/>
            <a:pathLst>
              <a:path h="24612">
                <a:moveTo>
                  <a:pt x="0" y="0"/>
                </a:moveTo>
                <a:lnTo>
                  <a:pt x="0" y="24612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D8979C5A-D940-39B7-62D9-44EA566A0ED1}"/>
              </a:ext>
            </a:extLst>
          </xdr:cNvPr>
          <xdr:cNvSpPr/>
        </xdr:nvSpPr>
        <xdr:spPr>
          <a:xfrm>
            <a:off x="3964293" y="1704469"/>
            <a:ext cx="55740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5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27" name="Shape 926">
            <a:extLst>
              <a:ext uri="{FF2B5EF4-FFF2-40B4-BE49-F238E27FC236}">
                <a16:creationId xmlns:a16="http://schemas.microsoft.com/office/drawing/2014/main" id="{85DD7DE8-7957-961E-5442-05E9373FED38}"/>
              </a:ext>
            </a:extLst>
          </xdr:cNvPr>
          <xdr:cNvSpPr/>
        </xdr:nvSpPr>
        <xdr:spPr>
          <a:xfrm>
            <a:off x="3905821" y="0"/>
            <a:ext cx="0" cy="1653197"/>
          </a:xfrm>
          <a:custGeom>
            <a:avLst/>
            <a:gdLst/>
            <a:ahLst/>
            <a:cxnLst/>
            <a:rect l="0" t="0" r="0" b="0"/>
            <a:pathLst>
              <a:path h="1653197">
                <a:moveTo>
                  <a:pt x="0" y="0"/>
                </a:moveTo>
                <a:lnTo>
                  <a:pt x="0" y="1653197"/>
                </a:lnTo>
              </a:path>
            </a:pathLst>
          </a:custGeom>
          <a:ln w="7620" cap="flat">
            <a:custDash>
              <a:ds d="50000" sp="50000"/>
            </a:custDash>
            <a:miter lim="127000"/>
          </a:ln>
        </xdr:spPr>
        <xdr:style>
          <a:lnRef idx="1">
            <a:srgbClr val="009ED5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28" name="Shape 929">
            <a:extLst>
              <a:ext uri="{FF2B5EF4-FFF2-40B4-BE49-F238E27FC236}">
                <a16:creationId xmlns:a16="http://schemas.microsoft.com/office/drawing/2014/main" id="{E58C7544-AB62-9E6C-B742-47422BF93FE8}"/>
              </a:ext>
            </a:extLst>
          </xdr:cNvPr>
          <xdr:cNvSpPr/>
        </xdr:nvSpPr>
        <xdr:spPr>
          <a:xfrm>
            <a:off x="4102811" y="0"/>
            <a:ext cx="0" cy="1653197"/>
          </a:xfrm>
          <a:custGeom>
            <a:avLst/>
            <a:gdLst/>
            <a:ahLst/>
            <a:cxnLst/>
            <a:rect l="0" t="0" r="0" b="0"/>
            <a:pathLst>
              <a:path h="1653197">
                <a:moveTo>
                  <a:pt x="0" y="0"/>
                </a:moveTo>
                <a:lnTo>
                  <a:pt x="0" y="1653197"/>
                </a:lnTo>
              </a:path>
            </a:pathLst>
          </a:custGeom>
          <a:ln w="7620" cap="flat">
            <a:custDash>
              <a:ds d="50000" sp="50000"/>
            </a:custDash>
            <a:miter lim="127000"/>
          </a:ln>
        </xdr:spPr>
        <xdr:style>
          <a:lnRef idx="1">
            <a:srgbClr val="009ED5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29" name="Shape 930">
            <a:extLst>
              <a:ext uri="{FF2B5EF4-FFF2-40B4-BE49-F238E27FC236}">
                <a16:creationId xmlns:a16="http://schemas.microsoft.com/office/drawing/2014/main" id="{5443DE98-4B7C-FF22-8A74-88F8F74FBAAC}"/>
              </a:ext>
            </a:extLst>
          </xdr:cNvPr>
          <xdr:cNvSpPr/>
        </xdr:nvSpPr>
        <xdr:spPr>
          <a:xfrm>
            <a:off x="3785083" y="43129"/>
            <a:ext cx="2403526" cy="1610081"/>
          </a:xfrm>
          <a:custGeom>
            <a:avLst/>
            <a:gdLst/>
            <a:ahLst/>
            <a:cxnLst/>
            <a:rect l="0" t="0" r="0" b="0"/>
            <a:pathLst>
              <a:path w="2403526" h="1610081">
                <a:moveTo>
                  <a:pt x="0" y="0"/>
                </a:moveTo>
                <a:lnTo>
                  <a:pt x="0" y="1610081"/>
                </a:lnTo>
                <a:lnTo>
                  <a:pt x="2403526" y="1610081"/>
                </a:lnTo>
              </a:path>
            </a:pathLst>
          </a:custGeom>
          <a:ln w="3175" cap="flat">
            <a:miter lim="100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188C1C41-6EE6-8B1C-7FCB-8E29EAA7D692}"/>
              </a:ext>
            </a:extLst>
          </xdr:cNvPr>
          <xdr:cNvSpPr/>
        </xdr:nvSpPr>
        <xdr:spPr>
          <a:xfrm>
            <a:off x="5069524" y="993625"/>
            <a:ext cx="1332598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Average</a:t>
            </a:r>
            <a:r>
              <a:rPr lang="en-US" sz="600" spc="-5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monthly</a:t>
            </a:r>
            <a:r>
              <a:rPr lang="en-US" sz="600" spc="-5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all-cause</a:t>
            </a:r>
            <a:r>
              <a:rPr lang="en-US" sz="600" spc="-5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costs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31" name="Rectangle 130">
            <a:extLst>
              <a:ext uri="{FF2B5EF4-FFF2-40B4-BE49-F238E27FC236}">
                <a16:creationId xmlns:a16="http://schemas.microsoft.com/office/drawing/2014/main" id="{4031830D-8B5B-8B11-CC02-8AE00581E059}"/>
              </a:ext>
            </a:extLst>
          </xdr:cNvPr>
          <xdr:cNvSpPr/>
        </xdr:nvSpPr>
        <xdr:spPr>
          <a:xfrm>
            <a:off x="5372228" y="1082528"/>
            <a:ext cx="527405" cy="8736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0" marR="0" indent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before</a:t>
            </a:r>
            <a:r>
              <a:rPr lang="en-US" sz="600" spc="-5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US" sz="600">
                <a:solidFill>
                  <a:srgbClr val="181717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death</a:t>
            </a:r>
            <a:endParaRPr lang="en-US" sz="850">
              <a:solidFill>
                <a:srgbClr val="181717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  <xdr:sp macro="" textlink="">
        <xdr:nvSpPr>
          <xdr:cNvPr id="132" name="Shape 937">
            <a:extLst>
              <a:ext uri="{FF2B5EF4-FFF2-40B4-BE49-F238E27FC236}">
                <a16:creationId xmlns:a16="http://schemas.microsoft.com/office/drawing/2014/main" id="{C0EB8247-E50F-A427-70A6-AE4827BFA712}"/>
              </a:ext>
            </a:extLst>
          </xdr:cNvPr>
          <xdr:cNvSpPr/>
        </xdr:nvSpPr>
        <xdr:spPr>
          <a:xfrm>
            <a:off x="755079" y="367373"/>
            <a:ext cx="2358911" cy="724903"/>
          </a:xfrm>
          <a:custGeom>
            <a:avLst/>
            <a:gdLst/>
            <a:ahLst/>
            <a:cxnLst/>
            <a:rect l="0" t="0" r="0" b="0"/>
            <a:pathLst>
              <a:path w="2358911" h="724903">
                <a:moveTo>
                  <a:pt x="0" y="0"/>
                </a:moveTo>
                <a:cubicBezTo>
                  <a:pt x="13335" y="63817"/>
                  <a:pt x="26657" y="132423"/>
                  <a:pt x="39980" y="191465"/>
                </a:cubicBezTo>
                <a:cubicBezTo>
                  <a:pt x="53315" y="250508"/>
                  <a:pt x="66637" y="304051"/>
                  <a:pt x="79959" y="354241"/>
                </a:cubicBezTo>
                <a:cubicBezTo>
                  <a:pt x="93294" y="404432"/>
                  <a:pt x="106629" y="465976"/>
                  <a:pt x="119952" y="492608"/>
                </a:cubicBezTo>
                <a:cubicBezTo>
                  <a:pt x="131382" y="515455"/>
                  <a:pt x="148488" y="507962"/>
                  <a:pt x="159931" y="513994"/>
                </a:cubicBezTo>
                <a:cubicBezTo>
                  <a:pt x="173253" y="521017"/>
                  <a:pt x="186576" y="527952"/>
                  <a:pt x="199911" y="534784"/>
                </a:cubicBezTo>
                <a:cubicBezTo>
                  <a:pt x="213233" y="541617"/>
                  <a:pt x="226568" y="548361"/>
                  <a:pt x="239890" y="555015"/>
                </a:cubicBezTo>
                <a:cubicBezTo>
                  <a:pt x="253213" y="561683"/>
                  <a:pt x="266548" y="568236"/>
                  <a:pt x="279883" y="574713"/>
                </a:cubicBezTo>
                <a:cubicBezTo>
                  <a:pt x="293205" y="581177"/>
                  <a:pt x="306527" y="587553"/>
                  <a:pt x="319862" y="593839"/>
                </a:cubicBezTo>
                <a:cubicBezTo>
                  <a:pt x="333185" y="600139"/>
                  <a:pt x="346507" y="606349"/>
                  <a:pt x="359829" y="612483"/>
                </a:cubicBezTo>
                <a:cubicBezTo>
                  <a:pt x="373164" y="618592"/>
                  <a:pt x="386499" y="624624"/>
                  <a:pt x="399821" y="630581"/>
                </a:cubicBezTo>
                <a:cubicBezTo>
                  <a:pt x="413144" y="636537"/>
                  <a:pt x="426479" y="642417"/>
                  <a:pt x="439801" y="648208"/>
                </a:cubicBezTo>
                <a:cubicBezTo>
                  <a:pt x="453123" y="653999"/>
                  <a:pt x="466458" y="659714"/>
                  <a:pt x="479781" y="665366"/>
                </a:cubicBezTo>
                <a:cubicBezTo>
                  <a:pt x="493116" y="670992"/>
                  <a:pt x="506438" y="679082"/>
                  <a:pt x="519760" y="682028"/>
                </a:cubicBezTo>
                <a:cubicBezTo>
                  <a:pt x="533095" y="684962"/>
                  <a:pt x="546417" y="682663"/>
                  <a:pt x="559752" y="682993"/>
                </a:cubicBezTo>
                <a:cubicBezTo>
                  <a:pt x="573075" y="683311"/>
                  <a:pt x="586397" y="683628"/>
                  <a:pt x="599732" y="683946"/>
                </a:cubicBezTo>
                <a:cubicBezTo>
                  <a:pt x="613054" y="684276"/>
                  <a:pt x="626377" y="684594"/>
                  <a:pt x="639712" y="684924"/>
                </a:cubicBezTo>
                <a:cubicBezTo>
                  <a:pt x="653034" y="685241"/>
                  <a:pt x="666369" y="685571"/>
                  <a:pt x="679691" y="685876"/>
                </a:cubicBezTo>
                <a:cubicBezTo>
                  <a:pt x="693014" y="686207"/>
                  <a:pt x="706349" y="686524"/>
                  <a:pt x="719671" y="686841"/>
                </a:cubicBezTo>
                <a:cubicBezTo>
                  <a:pt x="732993" y="687159"/>
                  <a:pt x="746328" y="687476"/>
                  <a:pt x="759651" y="687794"/>
                </a:cubicBezTo>
                <a:cubicBezTo>
                  <a:pt x="772986" y="688124"/>
                  <a:pt x="786308" y="688442"/>
                  <a:pt x="799630" y="688759"/>
                </a:cubicBezTo>
                <a:cubicBezTo>
                  <a:pt x="812965" y="689077"/>
                  <a:pt x="826287" y="689394"/>
                  <a:pt x="839610" y="689711"/>
                </a:cubicBezTo>
                <a:cubicBezTo>
                  <a:pt x="852945" y="690029"/>
                  <a:pt x="866267" y="690347"/>
                  <a:pt x="879589" y="690664"/>
                </a:cubicBezTo>
                <a:cubicBezTo>
                  <a:pt x="892924" y="690994"/>
                  <a:pt x="906247" y="691299"/>
                  <a:pt x="919569" y="691617"/>
                </a:cubicBezTo>
                <a:cubicBezTo>
                  <a:pt x="932904" y="691934"/>
                  <a:pt x="946226" y="692252"/>
                  <a:pt x="959561" y="692569"/>
                </a:cubicBezTo>
                <a:cubicBezTo>
                  <a:pt x="972884" y="692886"/>
                  <a:pt x="986206" y="693204"/>
                  <a:pt x="999541" y="693522"/>
                </a:cubicBezTo>
                <a:cubicBezTo>
                  <a:pt x="1012863" y="693839"/>
                  <a:pt x="1026198" y="694156"/>
                  <a:pt x="1039520" y="694474"/>
                </a:cubicBezTo>
                <a:cubicBezTo>
                  <a:pt x="1052843" y="694792"/>
                  <a:pt x="1066178" y="695096"/>
                  <a:pt x="1079500" y="695427"/>
                </a:cubicBezTo>
                <a:cubicBezTo>
                  <a:pt x="1092823" y="695732"/>
                  <a:pt x="1106157" y="696049"/>
                  <a:pt x="1119492" y="696366"/>
                </a:cubicBezTo>
                <a:cubicBezTo>
                  <a:pt x="1132815" y="696671"/>
                  <a:pt x="1146137" y="696989"/>
                  <a:pt x="1159459" y="697306"/>
                </a:cubicBezTo>
                <a:cubicBezTo>
                  <a:pt x="1172794" y="697611"/>
                  <a:pt x="1186116" y="697929"/>
                  <a:pt x="1199452" y="698246"/>
                </a:cubicBezTo>
                <a:cubicBezTo>
                  <a:pt x="1212774" y="698551"/>
                  <a:pt x="1226109" y="698868"/>
                  <a:pt x="1239431" y="699198"/>
                </a:cubicBezTo>
                <a:cubicBezTo>
                  <a:pt x="1252753" y="699503"/>
                  <a:pt x="1266088" y="699808"/>
                  <a:pt x="1279411" y="700126"/>
                </a:cubicBezTo>
                <a:cubicBezTo>
                  <a:pt x="1292733" y="700431"/>
                  <a:pt x="1306068" y="700748"/>
                  <a:pt x="1319390" y="701065"/>
                </a:cubicBezTo>
                <a:cubicBezTo>
                  <a:pt x="1332725" y="701383"/>
                  <a:pt x="1346048" y="701675"/>
                  <a:pt x="1359370" y="701992"/>
                </a:cubicBezTo>
                <a:cubicBezTo>
                  <a:pt x="1372705" y="702310"/>
                  <a:pt x="1386027" y="702615"/>
                  <a:pt x="1399362" y="702932"/>
                </a:cubicBezTo>
                <a:cubicBezTo>
                  <a:pt x="1412685" y="703250"/>
                  <a:pt x="1426007" y="703555"/>
                  <a:pt x="1439342" y="703859"/>
                </a:cubicBezTo>
                <a:cubicBezTo>
                  <a:pt x="1452664" y="704177"/>
                  <a:pt x="1465987" y="704482"/>
                  <a:pt x="1479321" y="704799"/>
                </a:cubicBezTo>
                <a:cubicBezTo>
                  <a:pt x="1492644" y="705117"/>
                  <a:pt x="1505979" y="705409"/>
                  <a:pt x="1519301" y="705726"/>
                </a:cubicBezTo>
                <a:cubicBezTo>
                  <a:pt x="1532623" y="706031"/>
                  <a:pt x="1545958" y="706349"/>
                  <a:pt x="1559281" y="706653"/>
                </a:cubicBezTo>
                <a:cubicBezTo>
                  <a:pt x="1572616" y="706958"/>
                  <a:pt x="1585938" y="707263"/>
                  <a:pt x="1599260" y="707580"/>
                </a:cubicBezTo>
                <a:cubicBezTo>
                  <a:pt x="1612595" y="707898"/>
                  <a:pt x="1625917" y="708190"/>
                  <a:pt x="1639240" y="708508"/>
                </a:cubicBezTo>
                <a:cubicBezTo>
                  <a:pt x="1652575" y="708813"/>
                  <a:pt x="1665897" y="709117"/>
                  <a:pt x="1679232" y="709422"/>
                </a:cubicBezTo>
                <a:cubicBezTo>
                  <a:pt x="1692555" y="709740"/>
                  <a:pt x="1705877" y="710044"/>
                  <a:pt x="1719212" y="710349"/>
                </a:cubicBezTo>
                <a:cubicBezTo>
                  <a:pt x="1732534" y="710654"/>
                  <a:pt x="1745869" y="710959"/>
                  <a:pt x="1759191" y="711264"/>
                </a:cubicBezTo>
                <a:cubicBezTo>
                  <a:pt x="1772514" y="711568"/>
                  <a:pt x="1785849" y="711886"/>
                  <a:pt x="1799171" y="712191"/>
                </a:cubicBezTo>
                <a:cubicBezTo>
                  <a:pt x="1812493" y="712495"/>
                  <a:pt x="1825828" y="712800"/>
                  <a:pt x="1839151" y="713105"/>
                </a:cubicBezTo>
                <a:cubicBezTo>
                  <a:pt x="1852486" y="713410"/>
                  <a:pt x="1865808" y="713715"/>
                  <a:pt x="1879130" y="714019"/>
                </a:cubicBezTo>
                <a:cubicBezTo>
                  <a:pt x="1892465" y="714324"/>
                  <a:pt x="1905788" y="714642"/>
                  <a:pt x="1919110" y="714934"/>
                </a:cubicBezTo>
                <a:cubicBezTo>
                  <a:pt x="1932445" y="715239"/>
                  <a:pt x="1945780" y="715544"/>
                  <a:pt x="1959102" y="715848"/>
                </a:cubicBezTo>
                <a:cubicBezTo>
                  <a:pt x="1972425" y="716153"/>
                  <a:pt x="1985747" y="716458"/>
                  <a:pt x="1999082" y="716762"/>
                </a:cubicBezTo>
                <a:cubicBezTo>
                  <a:pt x="2012404" y="717068"/>
                  <a:pt x="2025726" y="717372"/>
                  <a:pt x="2039061" y="717677"/>
                </a:cubicBezTo>
                <a:cubicBezTo>
                  <a:pt x="2052396" y="717982"/>
                  <a:pt x="2065719" y="718274"/>
                  <a:pt x="2079041" y="718579"/>
                </a:cubicBezTo>
                <a:cubicBezTo>
                  <a:pt x="2092376" y="718884"/>
                  <a:pt x="2105698" y="719188"/>
                  <a:pt x="2119033" y="719481"/>
                </a:cubicBezTo>
                <a:cubicBezTo>
                  <a:pt x="2132355" y="719785"/>
                  <a:pt x="2145678" y="720103"/>
                  <a:pt x="2159013" y="720395"/>
                </a:cubicBezTo>
                <a:cubicBezTo>
                  <a:pt x="2172335" y="720699"/>
                  <a:pt x="2185657" y="720992"/>
                  <a:pt x="2198992" y="721296"/>
                </a:cubicBezTo>
                <a:cubicBezTo>
                  <a:pt x="2212315" y="721601"/>
                  <a:pt x="2225650" y="721894"/>
                  <a:pt x="2238972" y="722198"/>
                </a:cubicBezTo>
                <a:cubicBezTo>
                  <a:pt x="2252294" y="722516"/>
                  <a:pt x="2265629" y="722808"/>
                  <a:pt x="2278952" y="723100"/>
                </a:cubicBezTo>
                <a:cubicBezTo>
                  <a:pt x="2292274" y="723405"/>
                  <a:pt x="2305609" y="723697"/>
                  <a:pt x="2318931" y="724002"/>
                </a:cubicBezTo>
                <a:cubicBezTo>
                  <a:pt x="2332266" y="724307"/>
                  <a:pt x="2345589" y="724598"/>
                  <a:pt x="2358911" y="724903"/>
                </a:cubicBezTo>
              </a:path>
            </a:pathLst>
          </a:custGeom>
          <a:ln w="10160" cap="flat">
            <a:miter lim="100000"/>
          </a:ln>
        </xdr:spPr>
        <xdr:style>
          <a:lnRef idx="1">
            <a:srgbClr val="45585C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33" name="Shape 938">
            <a:extLst>
              <a:ext uri="{FF2B5EF4-FFF2-40B4-BE49-F238E27FC236}">
                <a16:creationId xmlns:a16="http://schemas.microsoft.com/office/drawing/2014/main" id="{F1A586A1-85D8-D4B1-C6F1-B51BF1C08732}"/>
              </a:ext>
            </a:extLst>
          </xdr:cNvPr>
          <xdr:cNvSpPr/>
        </xdr:nvSpPr>
        <xdr:spPr>
          <a:xfrm>
            <a:off x="3823208" y="91301"/>
            <a:ext cx="2363902" cy="1090727"/>
          </a:xfrm>
          <a:custGeom>
            <a:avLst/>
            <a:gdLst/>
            <a:ahLst/>
            <a:cxnLst/>
            <a:rect l="0" t="0" r="0" b="0"/>
            <a:pathLst>
              <a:path w="2363902" h="1090727">
                <a:moveTo>
                  <a:pt x="0" y="0"/>
                </a:moveTo>
                <a:cubicBezTo>
                  <a:pt x="13348" y="108344"/>
                  <a:pt x="26708" y="227952"/>
                  <a:pt x="40056" y="325044"/>
                </a:cubicBezTo>
                <a:cubicBezTo>
                  <a:pt x="53416" y="422123"/>
                  <a:pt x="66777" y="528282"/>
                  <a:pt x="80137" y="582498"/>
                </a:cubicBezTo>
                <a:cubicBezTo>
                  <a:pt x="89878" y="622084"/>
                  <a:pt x="110439" y="634429"/>
                  <a:pt x="120193" y="650367"/>
                </a:cubicBezTo>
                <a:cubicBezTo>
                  <a:pt x="133553" y="672211"/>
                  <a:pt x="146901" y="693204"/>
                  <a:pt x="160261" y="713550"/>
                </a:cubicBezTo>
                <a:cubicBezTo>
                  <a:pt x="173622" y="733870"/>
                  <a:pt x="186969" y="753415"/>
                  <a:pt x="200317" y="772338"/>
                </a:cubicBezTo>
                <a:cubicBezTo>
                  <a:pt x="213678" y="791261"/>
                  <a:pt x="227038" y="809460"/>
                  <a:pt x="240399" y="827075"/>
                </a:cubicBezTo>
                <a:cubicBezTo>
                  <a:pt x="253759" y="844690"/>
                  <a:pt x="267094" y="868134"/>
                  <a:pt x="280454" y="878015"/>
                </a:cubicBezTo>
                <a:cubicBezTo>
                  <a:pt x="293815" y="887908"/>
                  <a:pt x="307175" y="883615"/>
                  <a:pt x="320523" y="886396"/>
                </a:cubicBezTo>
                <a:cubicBezTo>
                  <a:pt x="333883" y="889165"/>
                  <a:pt x="347244" y="891921"/>
                  <a:pt x="360591" y="894664"/>
                </a:cubicBezTo>
                <a:cubicBezTo>
                  <a:pt x="373939" y="897407"/>
                  <a:pt x="387299" y="900125"/>
                  <a:pt x="400660" y="902830"/>
                </a:cubicBezTo>
                <a:cubicBezTo>
                  <a:pt x="414020" y="905535"/>
                  <a:pt x="427368" y="908228"/>
                  <a:pt x="440715" y="910895"/>
                </a:cubicBezTo>
                <a:cubicBezTo>
                  <a:pt x="454076" y="913575"/>
                  <a:pt x="467436" y="916229"/>
                  <a:pt x="480784" y="918870"/>
                </a:cubicBezTo>
                <a:cubicBezTo>
                  <a:pt x="494144" y="921512"/>
                  <a:pt x="507505" y="924141"/>
                  <a:pt x="520865" y="926744"/>
                </a:cubicBezTo>
                <a:cubicBezTo>
                  <a:pt x="534213" y="929348"/>
                  <a:pt x="547560" y="931952"/>
                  <a:pt x="560921" y="934517"/>
                </a:cubicBezTo>
                <a:cubicBezTo>
                  <a:pt x="574281" y="937095"/>
                  <a:pt x="587642" y="939661"/>
                  <a:pt x="600989" y="942200"/>
                </a:cubicBezTo>
                <a:cubicBezTo>
                  <a:pt x="614337" y="944753"/>
                  <a:pt x="627697" y="947280"/>
                  <a:pt x="641058" y="949795"/>
                </a:cubicBezTo>
                <a:cubicBezTo>
                  <a:pt x="654406" y="952309"/>
                  <a:pt x="667766" y="954799"/>
                  <a:pt x="681126" y="957288"/>
                </a:cubicBezTo>
                <a:cubicBezTo>
                  <a:pt x="694487" y="959764"/>
                  <a:pt x="707822" y="962241"/>
                  <a:pt x="721182" y="964692"/>
                </a:cubicBezTo>
                <a:cubicBezTo>
                  <a:pt x="734543" y="967143"/>
                  <a:pt x="747903" y="969582"/>
                  <a:pt x="761251" y="972007"/>
                </a:cubicBezTo>
                <a:cubicBezTo>
                  <a:pt x="774611" y="974420"/>
                  <a:pt x="787971" y="976833"/>
                  <a:pt x="801319" y="979234"/>
                </a:cubicBezTo>
                <a:cubicBezTo>
                  <a:pt x="814680" y="981621"/>
                  <a:pt x="828027" y="983996"/>
                  <a:pt x="841388" y="986358"/>
                </a:cubicBezTo>
                <a:cubicBezTo>
                  <a:pt x="854748" y="988733"/>
                  <a:pt x="868109" y="991070"/>
                  <a:pt x="881444" y="993407"/>
                </a:cubicBezTo>
                <a:cubicBezTo>
                  <a:pt x="894804" y="995744"/>
                  <a:pt x="908164" y="998068"/>
                  <a:pt x="921525" y="1000379"/>
                </a:cubicBezTo>
                <a:cubicBezTo>
                  <a:pt x="934872" y="1002678"/>
                  <a:pt x="948233" y="1004977"/>
                  <a:pt x="961593" y="1007250"/>
                </a:cubicBezTo>
                <a:cubicBezTo>
                  <a:pt x="974941" y="1009523"/>
                  <a:pt x="988289" y="1011796"/>
                  <a:pt x="1001649" y="1014044"/>
                </a:cubicBezTo>
                <a:cubicBezTo>
                  <a:pt x="1015009" y="1016292"/>
                  <a:pt x="1028370" y="1018527"/>
                  <a:pt x="1041717" y="1020750"/>
                </a:cubicBezTo>
                <a:cubicBezTo>
                  <a:pt x="1055065" y="1022985"/>
                  <a:pt x="1068426" y="1025182"/>
                  <a:pt x="1081786" y="1027379"/>
                </a:cubicBezTo>
                <a:cubicBezTo>
                  <a:pt x="1095146" y="1029576"/>
                  <a:pt x="1108494" y="1031761"/>
                  <a:pt x="1121854" y="1033932"/>
                </a:cubicBezTo>
                <a:cubicBezTo>
                  <a:pt x="1135215" y="1036104"/>
                  <a:pt x="1148563" y="1038263"/>
                  <a:pt x="1161911" y="1040397"/>
                </a:cubicBezTo>
                <a:cubicBezTo>
                  <a:pt x="1175271" y="1042543"/>
                  <a:pt x="1188631" y="1044677"/>
                  <a:pt x="1201991" y="1046785"/>
                </a:cubicBezTo>
                <a:cubicBezTo>
                  <a:pt x="1215339" y="1048906"/>
                  <a:pt x="1228687" y="1051014"/>
                  <a:pt x="1242048" y="1053097"/>
                </a:cubicBezTo>
                <a:cubicBezTo>
                  <a:pt x="1255408" y="1055192"/>
                  <a:pt x="1268756" y="1057262"/>
                  <a:pt x="1282116" y="1059332"/>
                </a:cubicBezTo>
                <a:cubicBezTo>
                  <a:pt x="1295476" y="1061390"/>
                  <a:pt x="1308836" y="1064298"/>
                  <a:pt x="1322172" y="1065492"/>
                </a:cubicBezTo>
                <a:cubicBezTo>
                  <a:pt x="1335532" y="1066673"/>
                  <a:pt x="1348893" y="1066152"/>
                  <a:pt x="1362253" y="1066483"/>
                </a:cubicBezTo>
                <a:cubicBezTo>
                  <a:pt x="1375601" y="1066813"/>
                  <a:pt x="1388961" y="1067156"/>
                  <a:pt x="1402309" y="1067473"/>
                </a:cubicBezTo>
                <a:cubicBezTo>
                  <a:pt x="1415669" y="1067803"/>
                  <a:pt x="1429030" y="1068146"/>
                  <a:pt x="1442377" y="1068477"/>
                </a:cubicBezTo>
                <a:cubicBezTo>
                  <a:pt x="1455738" y="1068794"/>
                  <a:pt x="1469098" y="1069124"/>
                  <a:pt x="1482458" y="1069454"/>
                </a:cubicBezTo>
                <a:cubicBezTo>
                  <a:pt x="1495793" y="1069784"/>
                  <a:pt x="1509154" y="1070115"/>
                  <a:pt x="1522514" y="1070445"/>
                </a:cubicBezTo>
                <a:cubicBezTo>
                  <a:pt x="1535875" y="1070775"/>
                  <a:pt x="1549222" y="1071105"/>
                  <a:pt x="1562583" y="1071435"/>
                </a:cubicBezTo>
                <a:cubicBezTo>
                  <a:pt x="1575943" y="1071753"/>
                  <a:pt x="1589291" y="1072083"/>
                  <a:pt x="1602639" y="1072414"/>
                </a:cubicBezTo>
                <a:cubicBezTo>
                  <a:pt x="1615999" y="1072744"/>
                  <a:pt x="1629360" y="1073074"/>
                  <a:pt x="1642720" y="1073391"/>
                </a:cubicBezTo>
                <a:cubicBezTo>
                  <a:pt x="1656067" y="1073721"/>
                  <a:pt x="1669415" y="1074052"/>
                  <a:pt x="1682776" y="1074369"/>
                </a:cubicBezTo>
                <a:cubicBezTo>
                  <a:pt x="1696136" y="1074700"/>
                  <a:pt x="1709496" y="1075030"/>
                  <a:pt x="1722844" y="1075360"/>
                </a:cubicBezTo>
                <a:cubicBezTo>
                  <a:pt x="1736204" y="1075677"/>
                  <a:pt x="1749565" y="1076008"/>
                  <a:pt x="1762913" y="1076325"/>
                </a:cubicBezTo>
                <a:cubicBezTo>
                  <a:pt x="1776260" y="1076655"/>
                  <a:pt x="1789620" y="1076973"/>
                  <a:pt x="1802981" y="1077303"/>
                </a:cubicBezTo>
                <a:cubicBezTo>
                  <a:pt x="1816341" y="1077633"/>
                  <a:pt x="1829689" y="1077951"/>
                  <a:pt x="1843037" y="1078281"/>
                </a:cubicBezTo>
                <a:cubicBezTo>
                  <a:pt x="1856397" y="1078599"/>
                  <a:pt x="1869758" y="1078916"/>
                  <a:pt x="1883105" y="1079246"/>
                </a:cubicBezTo>
                <a:cubicBezTo>
                  <a:pt x="1896466" y="1079564"/>
                  <a:pt x="1909826" y="1079881"/>
                  <a:pt x="1923187" y="1080211"/>
                </a:cubicBezTo>
                <a:cubicBezTo>
                  <a:pt x="1936521" y="1080529"/>
                  <a:pt x="1949882" y="1080859"/>
                  <a:pt x="1963242" y="1081177"/>
                </a:cubicBezTo>
                <a:cubicBezTo>
                  <a:pt x="1976603" y="1081494"/>
                  <a:pt x="1989963" y="1081824"/>
                  <a:pt x="2003311" y="1082142"/>
                </a:cubicBezTo>
                <a:cubicBezTo>
                  <a:pt x="2016658" y="1082459"/>
                  <a:pt x="2030019" y="1082789"/>
                  <a:pt x="2043379" y="1083107"/>
                </a:cubicBezTo>
                <a:cubicBezTo>
                  <a:pt x="2056727" y="1083424"/>
                  <a:pt x="2070087" y="1083742"/>
                  <a:pt x="2083447" y="1084072"/>
                </a:cubicBezTo>
                <a:cubicBezTo>
                  <a:pt x="2096808" y="1084377"/>
                  <a:pt x="2110143" y="1084707"/>
                  <a:pt x="2123504" y="1085025"/>
                </a:cubicBezTo>
                <a:cubicBezTo>
                  <a:pt x="2136864" y="1085342"/>
                  <a:pt x="2150225" y="1085659"/>
                  <a:pt x="2163572" y="1085977"/>
                </a:cubicBezTo>
                <a:cubicBezTo>
                  <a:pt x="2176932" y="1086295"/>
                  <a:pt x="2190293" y="1086612"/>
                  <a:pt x="2203641" y="1086929"/>
                </a:cubicBezTo>
                <a:cubicBezTo>
                  <a:pt x="2216988" y="1087247"/>
                  <a:pt x="2230348" y="1087565"/>
                  <a:pt x="2243709" y="1087882"/>
                </a:cubicBezTo>
                <a:cubicBezTo>
                  <a:pt x="2257069" y="1088200"/>
                  <a:pt x="2270417" y="1088517"/>
                  <a:pt x="2283765" y="1088834"/>
                </a:cubicBezTo>
                <a:cubicBezTo>
                  <a:pt x="2297126" y="1089152"/>
                  <a:pt x="2310485" y="1089470"/>
                  <a:pt x="2323846" y="1089787"/>
                </a:cubicBezTo>
                <a:cubicBezTo>
                  <a:pt x="2337194" y="1090104"/>
                  <a:pt x="2350554" y="1090422"/>
                  <a:pt x="2363902" y="1090727"/>
                </a:cubicBezTo>
              </a:path>
            </a:pathLst>
          </a:custGeom>
          <a:ln w="10160" cap="flat">
            <a:miter lim="100000"/>
          </a:ln>
        </xdr:spPr>
        <xdr:style>
          <a:lnRef idx="1">
            <a:srgbClr val="45585C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34" name="Shape 939">
            <a:extLst>
              <a:ext uri="{FF2B5EF4-FFF2-40B4-BE49-F238E27FC236}">
                <a16:creationId xmlns:a16="http://schemas.microsoft.com/office/drawing/2014/main" id="{15286FD3-A2C3-AFDB-6547-F502EA5C66E3}"/>
              </a:ext>
            </a:extLst>
          </xdr:cNvPr>
          <xdr:cNvSpPr/>
        </xdr:nvSpPr>
        <xdr:spPr>
          <a:xfrm>
            <a:off x="0" y="2023643"/>
            <a:ext cx="6538748" cy="0"/>
          </a:xfrm>
          <a:custGeom>
            <a:avLst/>
            <a:gdLst/>
            <a:ahLst/>
            <a:cxnLst/>
            <a:rect l="0" t="0" r="0" b="0"/>
            <a:pathLst>
              <a:path w="6538748">
                <a:moveTo>
                  <a:pt x="0" y="0"/>
                </a:moveTo>
                <a:lnTo>
                  <a:pt x="6538748" y="0"/>
                </a:lnTo>
              </a:path>
            </a:pathLst>
          </a:custGeom>
          <a:ln w="6337" cap="flat">
            <a:miter lim="127000"/>
          </a:ln>
        </xdr:spPr>
        <xdr:style>
          <a:lnRef idx="1">
            <a:srgbClr val="181717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4</xdr:row>
      <xdr:rowOff>152907</xdr:rowOff>
    </xdr:from>
    <xdr:to>
      <xdr:col>18</xdr:col>
      <xdr:colOff>276225</xdr:colOff>
      <xdr:row>29</xdr:row>
      <xdr:rowOff>142874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CF1EF3-1694-4541-E1C8-FC4E24217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" y="2248407"/>
          <a:ext cx="11487150" cy="47524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163285</xdr:colOff>
      <xdr:row>1</xdr:row>
      <xdr:rowOff>30347</xdr:rowOff>
    </xdr:from>
    <xdr:to>
      <xdr:col>20</xdr:col>
      <xdr:colOff>303131</xdr:colOff>
      <xdr:row>55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A17D1D-BC4F-ABBE-30C1-8D27BE6FE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85" y="220847"/>
          <a:ext cx="13774203" cy="10256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68009</xdr:rowOff>
    </xdr:from>
    <xdr:to>
      <xdr:col>20</xdr:col>
      <xdr:colOff>491504</xdr:colOff>
      <xdr:row>101</xdr:row>
      <xdr:rowOff>136044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493993-B90D-9009-D892-38B9B63CA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0009"/>
          <a:ext cx="14125861" cy="7116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149195</xdr:rowOff>
    </xdr:from>
    <xdr:to>
      <xdr:col>18</xdr:col>
      <xdr:colOff>47555</xdr:colOff>
      <xdr:row>93</xdr:row>
      <xdr:rowOff>127580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724E616-67F3-9367-2F43-AEB072034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6195"/>
          <a:ext cx="12549118" cy="11217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4CFAEC-9F15-4A93-BF27-51BA49059AF4}" name="Table1" displayName="Table1" ref="A3:C14" totalsRowShown="0">
  <autoFilter ref="A3:C14" xr:uid="{F94CFAEC-9F15-4A93-BF27-51BA49059AF4}"/>
  <tableColumns count="3">
    <tableColumn id="1" xr3:uid="{E77A82E6-DE95-4768-805C-F6EA4917FF67}" name="Year" dataDxfId="2"/>
    <tableColumn id="2" xr3:uid="{2C755F47-EDAE-4EFD-9D67-FD8F7F7AA56C}" name="Annual" dataDxfId="1"/>
    <tableColumn id="3" xr3:uid="{A27190E2-272A-47D7-A347-89CFAF53E5CF}" name="multiplier" dataDxfId="0">
      <calculatedColumnFormula>B$14/B4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ata.bls.gov/timeseries/CUUR0000SAM?output_view=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28BB-B173-47C5-BD0F-C8F6C94D054A}">
  <dimension ref="A1:H83"/>
  <sheetViews>
    <sheetView tabSelected="1" workbookViewId="0"/>
  </sheetViews>
  <sheetFormatPr baseColWidth="10" defaultColWidth="8.83203125" defaultRowHeight="15" x14ac:dyDescent="0.2"/>
  <cols>
    <col min="1" max="1" width="12.6640625" customWidth="1"/>
    <col min="2" max="2" width="11.5" customWidth="1"/>
    <col min="3" max="3" width="16" customWidth="1"/>
    <col min="4" max="4" width="17.6640625" customWidth="1"/>
    <col min="5" max="5" width="14.33203125" customWidth="1"/>
    <col min="7" max="7" width="15.1640625" customWidth="1"/>
    <col min="8" max="8" width="105" bestFit="1" customWidth="1"/>
  </cols>
  <sheetData>
    <row r="1" spans="1:8" x14ac:dyDescent="0.2">
      <c r="A1" s="10" t="s">
        <v>122</v>
      </c>
    </row>
    <row r="2" spans="1:8" x14ac:dyDescent="0.2">
      <c r="A2" t="s">
        <v>129</v>
      </c>
      <c r="B2" t="s">
        <v>166</v>
      </c>
      <c r="C2" t="s">
        <v>130</v>
      </c>
      <c r="D2" t="s">
        <v>131</v>
      </c>
      <c r="E2" t="s">
        <v>132</v>
      </c>
      <c r="F2" t="s">
        <v>142</v>
      </c>
      <c r="G2" t="s">
        <v>139</v>
      </c>
      <c r="H2" t="s">
        <v>141</v>
      </c>
    </row>
    <row r="3" spans="1:8" x14ac:dyDescent="0.2">
      <c r="A3">
        <v>1</v>
      </c>
      <c r="B3">
        <v>1</v>
      </c>
      <c r="C3" t="s">
        <v>133</v>
      </c>
      <c r="D3" s="25" cm="1">
        <f t="array" ref="D3">_xlfn.XLOOKUP(F3,Table1[[#All],[Year]],Table1[[#All],[multiplier]])*Fonseca_2021!W86</f>
        <v>29089.712327240992</v>
      </c>
      <c r="E3" s="25" cm="1">
        <f t="array" ref="E3">_xlfn.XLOOKUP(F3,Table1[[#All],[Year]],Table1[[#All],[multiplier]])*Fonseca_2021!X86</f>
        <v>4601.7965063567917</v>
      </c>
      <c r="F3">
        <v>2018</v>
      </c>
      <c r="G3" t="s">
        <v>150</v>
      </c>
      <c r="H3" t="s">
        <v>151</v>
      </c>
    </row>
    <row r="4" spans="1:8" x14ac:dyDescent="0.2">
      <c r="A4">
        <v>2</v>
      </c>
      <c r="B4">
        <v>1</v>
      </c>
      <c r="C4" t="s">
        <v>134</v>
      </c>
      <c r="D4" s="25" cm="1">
        <f t="array" ref="D4">_xlfn.XLOOKUP(F4,Table1[[#All],[Year]],Table1[[#All],[multiplier]])*Fonseca_2021!AA86</f>
        <v>52876.241503044672</v>
      </c>
      <c r="E4" s="25" cm="1">
        <f t="array" ref="E4">_xlfn.XLOOKUP(F3,Table1[[#All],[Year]],Table1[[#All],[multiplier]])*Fonseca_2021!AB86</f>
        <v>5990.6873659127232</v>
      </c>
      <c r="F4">
        <v>2018</v>
      </c>
      <c r="G4" t="s">
        <v>150</v>
      </c>
      <c r="H4" t="s">
        <v>153</v>
      </c>
    </row>
    <row r="5" spans="1:8" x14ac:dyDescent="0.2">
      <c r="A5">
        <v>3</v>
      </c>
      <c r="B5">
        <v>1</v>
      </c>
      <c r="C5" t="s">
        <v>135</v>
      </c>
      <c r="D5" s="25" cm="1">
        <f t="array" ref="D5">_xlfn.XLOOKUP(F5,Table1[[#All],[Year]],Table1[[#All],[multiplier]])*Fonseca_2021!AF86</f>
        <v>97455.058450421173</v>
      </c>
      <c r="E5" s="25" cm="1">
        <f t="array" ref="E5">_xlfn.XLOOKUP(F3,Table1[[#All],[Year]],Table1[[#All],[multiplier]])*Fonseca_2021!AG86</f>
        <v>10984.060980272065</v>
      </c>
      <c r="F5">
        <v>2018</v>
      </c>
      <c r="G5" t="s">
        <v>150</v>
      </c>
      <c r="H5" t="s">
        <v>154</v>
      </c>
    </row>
    <row r="6" spans="1:8" x14ac:dyDescent="0.2">
      <c r="A6">
        <v>4</v>
      </c>
      <c r="B6">
        <v>1</v>
      </c>
      <c r="C6" t="s">
        <v>136</v>
      </c>
      <c r="D6" s="25" cm="1">
        <f t="array" ref="D6">_xlfn.XLOOKUP(F6,Table1[[#All],[Year]],Table1[[#All],[multiplier]])*Fonseca_2021!AK86</f>
        <v>115083.53863983808</v>
      </c>
      <c r="E6" s="25" cm="1">
        <f t="array" ref="E6">_xlfn.XLOOKUP(F3,Table1[[#All],[Year]],Table1[[#All],[multiplier]])*Fonseca_2021!AL86</f>
        <v>19727.341442542544</v>
      </c>
      <c r="F6">
        <v>2018</v>
      </c>
      <c r="G6" t="s">
        <v>150</v>
      </c>
      <c r="H6" t="s">
        <v>154</v>
      </c>
    </row>
    <row r="7" spans="1:8" x14ac:dyDescent="0.2">
      <c r="A7">
        <v>5</v>
      </c>
      <c r="B7">
        <v>1</v>
      </c>
      <c r="C7" t="s">
        <v>137</v>
      </c>
      <c r="D7" s="25" cm="1">
        <f t="array" ref="D7">_xlfn.XLOOKUP(F7,Table1[[#All],[Year]],Table1[[#All],[multiplier]])*Fonseca_2021!AP86</f>
        <v>135900.80470378976</v>
      </c>
      <c r="E7" s="25" cm="1">
        <f t="array" ref="E7">_xlfn.XLOOKUP(F3,Table1[[#All],[Year]],Table1[[#All],[multiplier]])*Fonseca_2021!AQ86</f>
        <v>18003.366560992803</v>
      </c>
      <c r="F7">
        <v>2018</v>
      </c>
      <c r="G7" t="s">
        <v>150</v>
      </c>
      <c r="H7" t="s">
        <v>161</v>
      </c>
    </row>
    <row r="8" spans="1:8" x14ac:dyDescent="0.2">
      <c r="A8">
        <v>6</v>
      </c>
      <c r="B8">
        <v>1</v>
      </c>
      <c r="C8" t="s">
        <v>138</v>
      </c>
      <c r="D8" s="25">
        <v>0</v>
      </c>
      <c r="E8" s="25">
        <v>0</v>
      </c>
      <c r="G8" s="39" t="s">
        <v>155</v>
      </c>
    </row>
    <row r="9" spans="1:8" x14ac:dyDescent="0.2">
      <c r="A9">
        <v>1</v>
      </c>
      <c r="B9">
        <v>2</v>
      </c>
      <c r="C9" t="s">
        <v>133</v>
      </c>
      <c r="D9" s="25">
        <f t="shared" ref="D9:E20" si="0">D3</f>
        <v>29089.712327240992</v>
      </c>
      <c r="E9" s="25">
        <f t="shared" si="0"/>
        <v>4601.7965063567917</v>
      </c>
      <c r="F9">
        <v>2018</v>
      </c>
      <c r="G9" t="s">
        <v>150</v>
      </c>
      <c r="H9" t="s">
        <v>151</v>
      </c>
    </row>
    <row r="10" spans="1:8" x14ac:dyDescent="0.2">
      <c r="A10">
        <v>2</v>
      </c>
      <c r="B10">
        <v>2</v>
      </c>
      <c r="C10" t="s">
        <v>134</v>
      </c>
      <c r="D10" s="25">
        <f t="shared" si="0"/>
        <v>52876.241503044672</v>
      </c>
      <c r="E10" s="25">
        <f t="shared" si="0"/>
        <v>5990.6873659127232</v>
      </c>
      <c r="F10">
        <v>2018</v>
      </c>
      <c r="G10" t="s">
        <v>150</v>
      </c>
      <c r="H10" t="s">
        <v>153</v>
      </c>
    </row>
    <row r="11" spans="1:8" x14ac:dyDescent="0.2">
      <c r="A11">
        <v>3</v>
      </c>
      <c r="B11">
        <v>2</v>
      </c>
      <c r="C11" t="s">
        <v>135</v>
      </c>
      <c r="D11" s="25">
        <f t="shared" si="0"/>
        <v>97455.058450421173</v>
      </c>
      <c r="E11" s="25">
        <f t="shared" si="0"/>
        <v>10984.060980272065</v>
      </c>
      <c r="F11">
        <v>2018</v>
      </c>
      <c r="G11" t="s">
        <v>150</v>
      </c>
      <c r="H11" t="s">
        <v>154</v>
      </c>
    </row>
    <row r="12" spans="1:8" x14ac:dyDescent="0.2">
      <c r="A12">
        <v>4</v>
      </c>
      <c r="B12">
        <v>2</v>
      </c>
      <c r="C12" t="s">
        <v>136</v>
      </c>
      <c r="D12" s="25">
        <f t="shared" si="0"/>
        <v>115083.53863983808</v>
      </c>
      <c r="E12" s="25">
        <f t="shared" si="0"/>
        <v>19727.341442542544</v>
      </c>
      <c r="F12">
        <v>2018</v>
      </c>
      <c r="G12" t="s">
        <v>150</v>
      </c>
      <c r="H12" t="s">
        <v>154</v>
      </c>
    </row>
    <row r="13" spans="1:8" x14ac:dyDescent="0.2">
      <c r="A13">
        <v>5</v>
      </c>
      <c r="B13">
        <v>2</v>
      </c>
      <c r="C13" t="s">
        <v>137</v>
      </c>
      <c r="D13" s="25">
        <f t="shared" si="0"/>
        <v>135900.80470378976</v>
      </c>
      <c r="E13" s="25">
        <f t="shared" si="0"/>
        <v>18003.366560992803</v>
      </c>
      <c r="F13">
        <v>2018</v>
      </c>
      <c r="G13" t="s">
        <v>150</v>
      </c>
      <c r="H13" t="s">
        <v>161</v>
      </c>
    </row>
    <row r="14" spans="1:8" x14ac:dyDescent="0.2">
      <c r="A14">
        <v>6</v>
      </c>
      <c r="B14">
        <v>2</v>
      </c>
      <c r="C14" t="s">
        <v>138</v>
      </c>
      <c r="D14" s="25">
        <f t="shared" si="0"/>
        <v>0</v>
      </c>
      <c r="E14" s="25">
        <f t="shared" si="0"/>
        <v>0</v>
      </c>
      <c r="G14" s="39" t="s">
        <v>155</v>
      </c>
    </row>
    <row r="15" spans="1:8" x14ac:dyDescent="0.2">
      <c r="A15">
        <v>1</v>
      </c>
      <c r="B15">
        <v>3</v>
      </c>
      <c r="C15" t="s">
        <v>133</v>
      </c>
      <c r="D15" s="25">
        <f t="shared" si="0"/>
        <v>29089.712327240992</v>
      </c>
      <c r="E15" s="25">
        <f t="shared" si="0"/>
        <v>4601.7965063567917</v>
      </c>
      <c r="F15">
        <v>2018</v>
      </c>
      <c r="G15" t="s">
        <v>150</v>
      </c>
      <c r="H15" t="s">
        <v>151</v>
      </c>
    </row>
    <row r="16" spans="1:8" x14ac:dyDescent="0.2">
      <c r="A16">
        <v>2</v>
      </c>
      <c r="B16">
        <v>3</v>
      </c>
      <c r="C16" t="s">
        <v>134</v>
      </c>
      <c r="D16" s="25">
        <f t="shared" si="0"/>
        <v>52876.241503044672</v>
      </c>
      <c r="E16" s="25">
        <f t="shared" si="0"/>
        <v>5990.6873659127232</v>
      </c>
      <c r="F16">
        <v>2018</v>
      </c>
      <c r="G16" t="s">
        <v>150</v>
      </c>
      <c r="H16" t="s">
        <v>153</v>
      </c>
    </row>
    <row r="17" spans="1:8" x14ac:dyDescent="0.2">
      <c r="A17">
        <v>3</v>
      </c>
      <c r="B17">
        <v>3</v>
      </c>
      <c r="C17" t="s">
        <v>135</v>
      </c>
      <c r="D17" s="25">
        <f t="shared" si="0"/>
        <v>97455.058450421173</v>
      </c>
      <c r="E17" s="25">
        <f t="shared" si="0"/>
        <v>10984.060980272065</v>
      </c>
      <c r="F17">
        <v>2018</v>
      </c>
      <c r="G17" t="s">
        <v>150</v>
      </c>
      <c r="H17" t="s">
        <v>154</v>
      </c>
    </row>
    <row r="18" spans="1:8" x14ac:dyDescent="0.2">
      <c r="A18">
        <v>4</v>
      </c>
      <c r="B18">
        <v>3</v>
      </c>
      <c r="C18" t="s">
        <v>136</v>
      </c>
      <c r="D18" s="25">
        <f t="shared" si="0"/>
        <v>115083.53863983808</v>
      </c>
      <c r="E18" s="25">
        <f t="shared" si="0"/>
        <v>19727.341442542544</v>
      </c>
      <c r="F18">
        <v>2018</v>
      </c>
      <c r="G18" t="s">
        <v>150</v>
      </c>
      <c r="H18" t="s">
        <v>154</v>
      </c>
    </row>
    <row r="19" spans="1:8" x14ac:dyDescent="0.2">
      <c r="A19">
        <v>5</v>
      </c>
      <c r="B19">
        <v>3</v>
      </c>
      <c r="C19" t="s">
        <v>137</v>
      </c>
      <c r="D19" s="25">
        <f t="shared" si="0"/>
        <v>135900.80470378976</v>
      </c>
      <c r="E19" s="25">
        <f t="shared" si="0"/>
        <v>18003.366560992803</v>
      </c>
      <c r="F19">
        <v>2018</v>
      </c>
      <c r="G19" t="s">
        <v>150</v>
      </c>
      <c r="H19" t="s">
        <v>161</v>
      </c>
    </row>
    <row r="20" spans="1:8" x14ac:dyDescent="0.2">
      <c r="A20">
        <v>6</v>
      </c>
      <c r="B20">
        <v>3</v>
      </c>
      <c r="C20" t="s">
        <v>138</v>
      </c>
      <c r="D20" s="25">
        <f t="shared" si="0"/>
        <v>0</v>
      </c>
      <c r="E20" s="25">
        <f t="shared" si="0"/>
        <v>0</v>
      </c>
      <c r="G20" s="39" t="s">
        <v>155</v>
      </c>
    </row>
    <row r="22" spans="1:8" x14ac:dyDescent="0.2">
      <c r="A22" s="10" t="s">
        <v>123</v>
      </c>
    </row>
    <row r="23" spans="1:8" x14ac:dyDescent="0.2">
      <c r="A23" t="s">
        <v>129</v>
      </c>
      <c r="B23" t="s">
        <v>166</v>
      </c>
      <c r="C23" t="s">
        <v>130</v>
      </c>
      <c r="D23" t="s">
        <v>131</v>
      </c>
      <c r="E23" t="s">
        <v>132</v>
      </c>
      <c r="F23" t="s">
        <v>142</v>
      </c>
      <c r="G23" t="s">
        <v>139</v>
      </c>
      <c r="H23" t="s">
        <v>141</v>
      </c>
    </row>
    <row r="24" spans="1:8" x14ac:dyDescent="0.2">
      <c r="A24">
        <v>1</v>
      </c>
      <c r="B24">
        <v>1</v>
      </c>
      <c r="C24" t="s">
        <v>133</v>
      </c>
      <c r="D24" s="25" cm="1">
        <f t="array" ref="D24">_xlfn.XLOOKUP(F3,Table1[[#All],[Year]],Table1[[#All],[multiplier]])*Fonseca_2021!W87</f>
        <v>26368.824047311053</v>
      </c>
      <c r="E24" s="25" cm="1">
        <f t="array" ref="E24">_xlfn.XLOOKUP(F3,Table1[[#All],[Year]],Table1[[#All],[multiplier]])*Fonseca_2021!X87</f>
        <v>1483.8228824224011</v>
      </c>
      <c r="F24">
        <v>2018</v>
      </c>
      <c r="G24" t="s">
        <v>150</v>
      </c>
      <c r="H24" t="s">
        <v>151</v>
      </c>
    </row>
    <row r="25" spans="1:8" x14ac:dyDescent="0.2">
      <c r="A25">
        <v>2</v>
      </c>
      <c r="B25">
        <v>1</v>
      </c>
      <c r="C25" t="s">
        <v>134</v>
      </c>
      <c r="D25" s="25" cm="1">
        <f t="array" ref="D25">_xlfn.XLOOKUP(F3,Table1[[#All],[Year]],Table1[[#All],[multiplier]])*Fonseca_2021!AA87</f>
        <v>42602.413405350053</v>
      </c>
      <c r="E25" s="25" cm="1">
        <f t="array" ref="E25">_xlfn.XLOOKUP(F3,Table1[[#All],[Year]],Table1[[#All],[multiplier]])*Fonseca_2021!AB87</f>
        <v>3503.256518034787</v>
      </c>
      <c r="F25">
        <v>2018</v>
      </c>
      <c r="G25" t="s">
        <v>150</v>
      </c>
      <c r="H25" t="s">
        <v>153</v>
      </c>
    </row>
    <row r="26" spans="1:8" x14ac:dyDescent="0.2">
      <c r="A26">
        <v>3</v>
      </c>
      <c r="B26">
        <v>1</v>
      </c>
      <c r="C26" t="s">
        <v>135</v>
      </c>
      <c r="D26" s="25" cm="1">
        <f t="array" ref="D26">_xlfn.XLOOKUP(F3,Table1[[#All],[Year]],Table1[[#All],[multiplier]])*Fonseca_2021!AF87</f>
        <v>64461.733928233894</v>
      </c>
      <c r="E26" s="25" cm="1">
        <f t="array" ref="E26">_xlfn.XLOOKUP(F3,Table1[[#All],[Year]],Table1[[#All],[multiplier]])*Fonseca_2021!AG87</f>
        <v>4051.6509925723885</v>
      </c>
      <c r="F26">
        <v>2018</v>
      </c>
      <c r="G26" t="s">
        <v>150</v>
      </c>
      <c r="H26" t="s">
        <v>154</v>
      </c>
    </row>
    <row r="27" spans="1:8" x14ac:dyDescent="0.2">
      <c r="A27">
        <v>4</v>
      </c>
      <c r="B27">
        <v>1</v>
      </c>
      <c r="C27" t="s">
        <v>136</v>
      </c>
      <c r="D27" s="25" cm="1">
        <f t="array" ref="D27">_xlfn.XLOOKUP(F3,Table1[[#All],[Year]],Table1[[#All],[multiplier]])*Fonseca_2021!AK87</f>
        <v>59304.765103454243</v>
      </c>
      <c r="E27" s="25" cm="1">
        <f t="array" ref="E27">_xlfn.XLOOKUP(F3,Table1[[#All],[Year]],Table1[[#All],[multiplier]])*Fonseca_2021!AL87</f>
        <v>5768.3798653893109</v>
      </c>
      <c r="F27">
        <v>2018</v>
      </c>
      <c r="G27" t="s">
        <v>150</v>
      </c>
      <c r="H27" t="s">
        <v>154</v>
      </c>
    </row>
    <row r="28" spans="1:8" x14ac:dyDescent="0.2">
      <c r="A28">
        <v>5</v>
      </c>
      <c r="B28">
        <v>1</v>
      </c>
      <c r="C28" t="s">
        <v>137</v>
      </c>
      <c r="D28" s="25" cm="1">
        <f t="array" ref="D28">_xlfn.XLOOKUP(F3,Table1[[#All],[Year]],Table1[[#All],[multiplier]])*Fonseca_2021!AP87</f>
        <v>54560.3561935127</v>
      </c>
      <c r="E28" s="25" cm="1">
        <f t="array" ref="E28">_xlfn.XLOOKUP(F3,Table1[[#All],[Year]],Table1[[#All],[multiplier]])*Fonseca_2021!AQ87</f>
        <v>4407.598570710079</v>
      </c>
      <c r="F28">
        <v>2018</v>
      </c>
      <c r="G28" t="s">
        <v>150</v>
      </c>
      <c r="H28" t="s">
        <v>161</v>
      </c>
    </row>
    <row r="29" spans="1:8" x14ac:dyDescent="0.2">
      <c r="A29">
        <v>6</v>
      </c>
      <c r="B29">
        <v>1</v>
      </c>
      <c r="C29" t="s">
        <v>138</v>
      </c>
      <c r="D29" s="25">
        <v>0</v>
      </c>
      <c r="E29" s="25">
        <v>0</v>
      </c>
      <c r="G29" s="39" t="s">
        <v>155</v>
      </c>
    </row>
    <row r="30" spans="1:8" x14ac:dyDescent="0.2">
      <c r="A30">
        <v>1</v>
      </c>
      <c r="B30">
        <v>2</v>
      </c>
      <c r="C30" t="s">
        <v>133</v>
      </c>
      <c r="D30" s="25">
        <f t="shared" ref="D30:E41" si="1">D24</f>
        <v>26368.824047311053</v>
      </c>
      <c r="E30" s="25">
        <f t="shared" si="1"/>
        <v>1483.8228824224011</v>
      </c>
      <c r="F30">
        <v>2018</v>
      </c>
      <c r="G30" t="s">
        <v>150</v>
      </c>
      <c r="H30" t="s">
        <v>151</v>
      </c>
    </row>
    <row r="31" spans="1:8" x14ac:dyDescent="0.2">
      <c r="A31">
        <v>2</v>
      </c>
      <c r="B31">
        <v>2</v>
      </c>
      <c r="C31" t="s">
        <v>134</v>
      </c>
      <c r="D31" s="25">
        <f t="shared" si="1"/>
        <v>42602.413405350053</v>
      </c>
      <c r="E31" s="25">
        <f t="shared" si="1"/>
        <v>3503.256518034787</v>
      </c>
      <c r="F31">
        <v>2018</v>
      </c>
      <c r="G31" t="s">
        <v>150</v>
      </c>
      <c r="H31" t="s">
        <v>153</v>
      </c>
    </row>
    <row r="32" spans="1:8" x14ac:dyDescent="0.2">
      <c r="A32">
        <v>3</v>
      </c>
      <c r="B32">
        <v>2</v>
      </c>
      <c r="C32" t="s">
        <v>135</v>
      </c>
      <c r="D32" s="25">
        <f t="shared" si="1"/>
        <v>64461.733928233894</v>
      </c>
      <c r="E32" s="25">
        <f t="shared" si="1"/>
        <v>4051.6509925723885</v>
      </c>
      <c r="F32">
        <v>2018</v>
      </c>
      <c r="G32" t="s">
        <v>150</v>
      </c>
      <c r="H32" t="s">
        <v>154</v>
      </c>
    </row>
    <row r="33" spans="1:8" x14ac:dyDescent="0.2">
      <c r="A33">
        <v>4</v>
      </c>
      <c r="B33">
        <v>2</v>
      </c>
      <c r="C33" t="s">
        <v>136</v>
      </c>
      <c r="D33" s="25">
        <f t="shared" si="1"/>
        <v>59304.765103454243</v>
      </c>
      <c r="E33" s="25">
        <f t="shared" si="1"/>
        <v>5768.3798653893109</v>
      </c>
      <c r="F33">
        <v>2018</v>
      </c>
      <c r="G33" t="s">
        <v>150</v>
      </c>
      <c r="H33" t="s">
        <v>154</v>
      </c>
    </row>
    <row r="34" spans="1:8" x14ac:dyDescent="0.2">
      <c r="A34">
        <v>5</v>
      </c>
      <c r="B34">
        <v>2</v>
      </c>
      <c r="C34" t="s">
        <v>137</v>
      </c>
      <c r="D34" s="25">
        <f t="shared" si="1"/>
        <v>54560.3561935127</v>
      </c>
      <c r="E34" s="25">
        <f t="shared" si="1"/>
        <v>4407.598570710079</v>
      </c>
      <c r="F34">
        <v>2018</v>
      </c>
      <c r="G34" t="s">
        <v>150</v>
      </c>
      <c r="H34" t="s">
        <v>161</v>
      </c>
    </row>
    <row r="35" spans="1:8" x14ac:dyDescent="0.2">
      <c r="A35">
        <v>6</v>
      </c>
      <c r="B35">
        <v>2</v>
      </c>
      <c r="C35" t="s">
        <v>138</v>
      </c>
      <c r="D35" s="25">
        <f t="shared" si="1"/>
        <v>0</v>
      </c>
      <c r="E35" s="25">
        <f t="shared" si="1"/>
        <v>0</v>
      </c>
      <c r="G35" s="39" t="s">
        <v>155</v>
      </c>
    </row>
    <row r="36" spans="1:8" x14ac:dyDescent="0.2">
      <c r="A36">
        <v>1</v>
      </c>
      <c r="B36">
        <v>3</v>
      </c>
      <c r="C36" t="s">
        <v>133</v>
      </c>
      <c r="D36" s="25">
        <f t="shared" si="1"/>
        <v>26368.824047311053</v>
      </c>
      <c r="E36" s="25">
        <f t="shared" si="1"/>
        <v>1483.8228824224011</v>
      </c>
      <c r="F36">
        <v>2018</v>
      </c>
      <c r="G36" t="s">
        <v>150</v>
      </c>
      <c r="H36" t="s">
        <v>151</v>
      </c>
    </row>
    <row r="37" spans="1:8" x14ac:dyDescent="0.2">
      <c r="A37">
        <v>2</v>
      </c>
      <c r="B37">
        <v>3</v>
      </c>
      <c r="C37" t="s">
        <v>134</v>
      </c>
      <c r="D37" s="25">
        <f t="shared" si="1"/>
        <v>42602.413405350053</v>
      </c>
      <c r="E37" s="25">
        <f t="shared" si="1"/>
        <v>3503.256518034787</v>
      </c>
      <c r="F37">
        <v>2018</v>
      </c>
      <c r="G37" t="s">
        <v>150</v>
      </c>
      <c r="H37" t="s">
        <v>153</v>
      </c>
    </row>
    <row r="38" spans="1:8" x14ac:dyDescent="0.2">
      <c r="A38">
        <v>3</v>
      </c>
      <c r="B38">
        <v>3</v>
      </c>
      <c r="C38" t="s">
        <v>135</v>
      </c>
      <c r="D38" s="25">
        <f t="shared" si="1"/>
        <v>64461.733928233894</v>
      </c>
      <c r="E38" s="25">
        <f t="shared" si="1"/>
        <v>4051.6509925723885</v>
      </c>
      <c r="F38">
        <v>2018</v>
      </c>
      <c r="G38" t="s">
        <v>150</v>
      </c>
      <c r="H38" t="s">
        <v>154</v>
      </c>
    </row>
    <row r="39" spans="1:8" x14ac:dyDescent="0.2">
      <c r="A39">
        <v>4</v>
      </c>
      <c r="B39">
        <v>3</v>
      </c>
      <c r="C39" t="s">
        <v>136</v>
      </c>
      <c r="D39" s="25">
        <f t="shared" si="1"/>
        <v>59304.765103454243</v>
      </c>
      <c r="E39" s="25">
        <f t="shared" si="1"/>
        <v>5768.3798653893109</v>
      </c>
      <c r="F39">
        <v>2018</v>
      </c>
      <c r="G39" t="s">
        <v>150</v>
      </c>
      <c r="H39" t="s">
        <v>154</v>
      </c>
    </row>
    <row r="40" spans="1:8" x14ac:dyDescent="0.2">
      <c r="A40">
        <v>5</v>
      </c>
      <c r="B40">
        <v>3</v>
      </c>
      <c r="C40" t="s">
        <v>137</v>
      </c>
      <c r="D40" s="25">
        <f t="shared" si="1"/>
        <v>54560.3561935127</v>
      </c>
      <c r="E40" s="25">
        <f t="shared" si="1"/>
        <v>4407.598570710079</v>
      </c>
      <c r="F40">
        <v>2018</v>
      </c>
      <c r="G40" t="s">
        <v>150</v>
      </c>
      <c r="H40" t="s">
        <v>161</v>
      </c>
    </row>
    <row r="41" spans="1:8" x14ac:dyDescent="0.2">
      <c r="A41">
        <v>6</v>
      </c>
      <c r="B41">
        <v>3</v>
      </c>
      <c r="C41" t="s">
        <v>138</v>
      </c>
      <c r="D41" s="25">
        <f t="shared" si="1"/>
        <v>0</v>
      </c>
      <c r="E41" s="25">
        <f t="shared" si="1"/>
        <v>0</v>
      </c>
      <c r="G41" s="39" t="s">
        <v>155</v>
      </c>
    </row>
    <row r="43" spans="1:8" x14ac:dyDescent="0.2">
      <c r="A43" s="10" t="s">
        <v>146</v>
      </c>
    </row>
    <row r="44" spans="1:8" x14ac:dyDescent="0.2">
      <c r="A44" t="s">
        <v>129</v>
      </c>
      <c r="B44" t="s">
        <v>166</v>
      </c>
      <c r="C44" t="s">
        <v>130</v>
      </c>
      <c r="D44" t="s">
        <v>131</v>
      </c>
      <c r="E44" t="s">
        <v>132</v>
      </c>
      <c r="F44" t="s">
        <v>142</v>
      </c>
      <c r="G44" t="s">
        <v>139</v>
      </c>
      <c r="H44" t="s">
        <v>141</v>
      </c>
    </row>
    <row r="45" spans="1:8" x14ac:dyDescent="0.2">
      <c r="A45">
        <v>1</v>
      </c>
      <c r="B45">
        <v>1</v>
      </c>
      <c r="C45" t="s">
        <v>133</v>
      </c>
      <c r="D45" s="25" cm="1">
        <f t="array" ref="D45">_xlfn.XLOOKUP(F3,Table1[[#All],[Year]],Table1[[#All],[multiplier]])*Fonseca_2021!W88</f>
        <v>11336.846567101362</v>
      </c>
      <c r="E45" s="25" cm="1">
        <f t="array" ref="E45">_xlfn.XLOOKUP(F3,Table1[[#All],[Year]],Table1[[#All],[multiplier]])*Fonseca_2021!X88</f>
        <v>1176.5550849050574</v>
      </c>
      <c r="F45">
        <v>2018</v>
      </c>
      <c r="G45" t="s">
        <v>150</v>
      </c>
      <c r="H45" t="s">
        <v>151</v>
      </c>
    </row>
    <row r="46" spans="1:8" x14ac:dyDescent="0.2">
      <c r="A46">
        <v>2</v>
      </c>
      <c r="B46">
        <v>1</v>
      </c>
      <c r="C46" t="s">
        <v>134</v>
      </c>
      <c r="D46" s="25" cm="1">
        <f t="array" ref="D46">_xlfn.XLOOKUP(F3,Table1[[#All],[Year]],Table1[[#All],[multiplier]])*Fonseca_2021!AA88</f>
        <v>12989.159414359323</v>
      </c>
      <c r="E46" s="25" cm="1">
        <f t="array" ref="E46">_xlfn.XLOOKUP(F3,Table1[[#All],[Year]],Table1[[#All],[multiplier]])*Fonseca_2021!AB88</f>
        <v>981.9047715719762</v>
      </c>
      <c r="F46">
        <v>2018</v>
      </c>
      <c r="G46" t="s">
        <v>150</v>
      </c>
      <c r="H46" t="s">
        <v>153</v>
      </c>
    </row>
    <row r="47" spans="1:8" x14ac:dyDescent="0.2">
      <c r="A47">
        <v>3</v>
      </c>
      <c r="B47">
        <v>1</v>
      </c>
      <c r="C47" t="s">
        <v>135</v>
      </c>
      <c r="D47" s="25" cm="1">
        <f t="array" ref="D47">_xlfn.XLOOKUP(F3,Table1[[#All],[Year]],Table1[[#All],[multiplier]])*Fonseca_2021!AF88</f>
        <v>19559.515603461765</v>
      </c>
      <c r="E47" s="25" cm="1">
        <f t="array" ref="E47">_xlfn.XLOOKUP(F3,Table1[[#All],[Year]],Table1[[#All],[multiplier]])*Fonseca_2021!AG88</f>
        <v>2077.8947028006937</v>
      </c>
      <c r="F47">
        <v>2018</v>
      </c>
      <c r="G47" t="s">
        <v>150</v>
      </c>
      <c r="H47" t="s">
        <v>154</v>
      </c>
    </row>
    <row r="48" spans="1:8" x14ac:dyDescent="0.2">
      <c r="A48">
        <v>4</v>
      </c>
      <c r="B48">
        <v>1</v>
      </c>
      <c r="C48" t="s">
        <v>136</v>
      </c>
      <c r="D48" s="25" cm="1">
        <f t="array" ref="D48">_xlfn.XLOOKUP(F3,Table1[[#All],[Year]],Table1[[#All],[multiplier]])*Fonseca_2021!AK88</f>
        <v>21475.058968614027</v>
      </c>
      <c r="E48" s="25" cm="1">
        <f t="array" ref="E48">_xlfn.XLOOKUP(F3,Table1[[#All],[Year]],Table1[[#All],[multiplier]])*Fonseca_2021!AL88</f>
        <v>4159.3014691398066</v>
      </c>
      <c r="F48">
        <v>2018</v>
      </c>
      <c r="G48" t="s">
        <v>150</v>
      </c>
      <c r="H48" t="s">
        <v>154</v>
      </c>
    </row>
    <row r="49" spans="1:8" x14ac:dyDescent="0.2">
      <c r="A49">
        <v>5</v>
      </c>
      <c r="B49">
        <v>1</v>
      </c>
      <c r="C49" t="s">
        <v>137</v>
      </c>
      <c r="D49" s="25" cm="1">
        <f t="array" ref="D49">_xlfn.XLOOKUP(F3,Table1[[#All],[Year]],Table1[[#All],[multiplier]])*Fonseca_2021!AP88</f>
        <v>23578.199330449042</v>
      </c>
      <c r="E49" s="25" cm="1">
        <f t="array" ref="E49">_xlfn.XLOOKUP(F3,Table1[[#All],[Year]],Table1[[#All],[multiplier]])*Fonseca_2021!AQ88</f>
        <v>2951.2769305274264</v>
      </c>
      <c r="F49">
        <v>2018</v>
      </c>
      <c r="G49" t="s">
        <v>150</v>
      </c>
      <c r="H49" t="s">
        <v>161</v>
      </c>
    </row>
    <row r="50" spans="1:8" x14ac:dyDescent="0.2">
      <c r="A50">
        <v>6</v>
      </c>
      <c r="B50">
        <v>1</v>
      </c>
      <c r="C50" t="s">
        <v>138</v>
      </c>
      <c r="D50" s="25">
        <v>0</v>
      </c>
      <c r="E50" s="25">
        <v>0</v>
      </c>
      <c r="G50" s="39" t="s">
        <v>155</v>
      </c>
    </row>
    <row r="51" spans="1:8" x14ac:dyDescent="0.2">
      <c r="A51">
        <v>1</v>
      </c>
      <c r="B51">
        <v>2</v>
      </c>
      <c r="C51" t="s">
        <v>133</v>
      </c>
      <c r="D51" s="25">
        <f t="shared" ref="D51:E62" si="2">D45</f>
        <v>11336.846567101362</v>
      </c>
      <c r="E51" s="25">
        <f t="shared" si="2"/>
        <v>1176.5550849050574</v>
      </c>
      <c r="F51">
        <v>2018</v>
      </c>
      <c r="G51" t="s">
        <v>150</v>
      </c>
      <c r="H51" t="s">
        <v>151</v>
      </c>
    </row>
    <row r="52" spans="1:8" x14ac:dyDescent="0.2">
      <c r="A52">
        <v>2</v>
      </c>
      <c r="B52">
        <v>2</v>
      </c>
      <c r="C52" t="s">
        <v>134</v>
      </c>
      <c r="D52" s="25">
        <f t="shared" si="2"/>
        <v>12989.159414359323</v>
      </c>
      <c r="E52" s="25">
        <f t="shared" si="2"/>
        <v>981.9047715719762</v>
      </c>
      <c r="F52">
        <v>2018</v>
      </c>
      <c r="G52" t="s">
        <v>150</v>
      </c>
      <c r="H52" t="s">
        <v>153</v>
      </c>
    </row>
    <row r="53" spans="1:8" x14ac:dyDescent="0.2">
      <c r="A53">
        <v>3</v>
      </c>
      <c r="B53">
        <v>2</v>
      </c>
      <c r="C53" t="s">
        <v>135</v>
      </c>
      <c r="D53" s="25">
        <f t="shared" si="2"/>
        <v>19559.515603461765</v>
      </c>
      <c r="E53" s="25">
        <f t="shared" si="2"/>
        <v>2077.8947028006937</v>
      </c>
      <c r="F53">
        <v>2018</v>
      </c>
      <c r="G53" t="s">
        <v>150</v>
      </c>
      <c r="H53" t="s">
        <v>154</v>
      </c>
    </row>
    <row r="54" spans="1:8" x14ac:dyDescent="0.2">
      <c r="A54">
        <v>4</v>
      </c>
      <c r="B54">
        <v>2</v>
      </c>
      <c r="C54" t="s">
        <v>136</v>
      </c>
      <c r="D54" s="25">
        <f t="shared" si="2"/>
        <v>21475.058968614027</v>
      </c>
      <c r="E54" s="25">
        <f t="shared" si="2"/>
        <v>4159.3014691398066</v>
      </c>
      <c r="F54">
        <v>2018</v>
      </c>
      <c r="G54" t="s">
        <v>150</v>
      </c>
      <c r="H54" t="s">
        <v>154</v>
      </c>
    </row>
    <row r="55" spans="1:8" x14ac:dyDescent="0.2">
      <c r="A55">
        <v>5</v>
      </c>
      <c r="B55">
        <v>2</v>
      </c>
      <c r="C55" t="s">
        <v>137</v>
      </c>
      <c r="D55" s="25">
        <f t="shared" si="2"/>
        <v>23578.199330449042</v>
      </c>
      <c r="E55" s="25">
        <f t="shared" si="2"/>
        <v>2951.2769305274264</v>
      </c>
      <c r="F55">
        <v>2018</v>
      </c>
      <c r="G55" t="s">
        <v>150</v>
      </c>
      <c r="H55" t="s">
        <v>161</v>
      </c>
    </row>
    <row r="56" spans="1:8" x14ac:dyDescent="0.2">
      <c r="A56">
        <v>6</v>
      </c>
      <c r="B56">
        <v>2</v>
      </c>
      <c r="C56" t="s">
        <v>138</v>
      </c>
      <c r="D56" s="25">
        <f t="shared" si="2"/>
        <v>0</v>
      </c>
      <c r="E56" s="25">
        <f t="shared" si="2"/>
        <v>0</v>
      </c>
      <c r="G56" s="39" t="s">
        <v>155</v>
      </c>
    </row>
    <row r="57" spans="1:8" x14ac:dyDescent="0.2">
      <c r="A57">
        <v>1</v>
      </c>
      <c r="B57">
        <v>3</v>
      </c>
      <c r="C57" t="s">
        <v>133</v>
      </c>
      <c r="D57" s="25">
        <f t="shared" si="2"/>
        <v>11336.846567101362</v>
      </c>
      <c r="E57" s="25">
        <f t="shared" si="2"/>
        <v>1176.5550849050574</v>
      </c>
      <c r="F57">
        <v>2018</v>
      </c>
      <c r="G57" t="s">
        <v>150</v>
      </c>
      <c r="H57" t="s">
        <v>151</v>
      </c>
    </row>
    <row r="58" spans="1:8" x14ac:dyDescent="0.2">
      <c r="A58">
        <v>2</v>
      </c>
      <c r="B58">
        <v>3</v>
      </c>
      <c r="C58" t="s">
        <v>134</v>
      </c>
      <c r="D58" s="25">
        <f t="shared" si="2"/>
        <v>12989.159414359323</v>
      </c>
      <c r="E58" s="25">
        <f t="shared" si="2"/>
        <v>981.9047715719762</v>
      </c>
      <c r="F58">
        <v>2018</v>
      </c>
      <c r="G58" t="s">
        <v>150</v>
      </c>
      <c r="H58" t="s">
        <v>153</v>
      </c>
    </row>
    <row r="59" spans="1:8" x14ac:dyDescent="0.2">
      <c r="A59">
        <v>3</v>
      </c>
      <c r="B59">
        <v>3</v>
      </c>
      <c r="C59" t="s">
        <v>135</v>
      </c>
      <c r="D59" s="25">
        <f t="shared" si="2"/>
        <v>19559.515603461765</v>
      </c>
      <c r="E59" s="25">
        <f t="shared" si="2"/>
        <v>2077.8947028006937</v>
      </c>
      <c r="F59">
        <v>2018</v>
      </c>
      <c r="G59" t="s">
        <v>150</v>
      </c>
      <c r="H59" t="s">
        <v>154</v>
      </c>
    </row>
    <row r="60" spans="1:8" x14ac:dyDescent="0.2">
      <c r="A60">
        <v>4</v>
      </c>
      <c r="B60">
        <v>3</v>
      </c>
      <c r="C60" t="s">
        <v>136</v>
      </c>
      <c r="D60" s="25">
        <f t="shared" si="2"/>
        <v>21475.058968614027</v>
      </c>
      <c r="E60" s="25">
        <f t="shared" si="2"/>
        <v>4159.3014691398066</v>
      </c>
      <c r="F60">
        <v>2018</v>
      </c>
      <c r="G60" t="s">
        <v>150</v>
      </c>
      <c r="H60" t="s">
        <v>154</v>
      </c>
    </row>
    <row r="61" spans="1:8" x14ac:dyDescent="0.2">
      <c r="A61">
        <v>5</v>
      </c>
      <c r="B61">
        <v>3</v>
      </c>
      <c r="C61" t="s">
        <v>137</v>
      </c>
      <c r="D61" s="25">
        <f t="shared" si="2"/>
        <v>23578.199330449042</v>
      </c>
      <c r="E61" s="25">
        <f t="shared" si="2"/>
        <v>2951.2769305274264</v>
      </c>
      <c r="F61">
        <v>2018</v>
      </c>
      <c r="G61" t="s">
        <v>150</v>
      </c>
      <c r="H61" t="s">
        <v>161</v>
      </c>
    </row>
    <row r="62" spans="1:8" x14ac:dyDescent="0.2">
      <c r="A62">
        <v>6</v>
      </c>
      <c r="B62">
        <v>3</v>
      </c>
      <c r="C62" t="s">
        <v>138</v>
      </c>
      <c r="D62" s="25">
        <f t="shared" si="2"/>
        <v>0</v>
      </c>
      <c r="E62" s="25">
        <f t="shared" si="2"/>
        <v>0</v>
      </c>
      <c r="G62" s="39" t="s">
        <v>155</v>
      </c>
    </row>
    <row r="64" spans="1:8" x14ac:dyDescent="0.2">
      <c r="A64" s="10" t="s">
        <v>149</v>
      </c>
    </row>
    <row r="65" spans="1:8" x14ac:dyDescent="0.2">
      <c r="A65" t="s">
        <v>129</v>
      </c>
      <c r="B65" t="s">
        <v>166</v>
      </c>
      <c r="C65" t="s">
        <v>130</v>
      </c>
      <c r="D65" t="s">
        <v>131</v>
      </c>
      <c r="E65" t="s">
        <v>132</v>
      </c>
    </row>
    <row r="66" spans="1:8" x14ac:dyDescent="0.2">
      <c r="A66">
        <v>1</v>
      </c>
      <c r="B66">
        <v>1</v>
      </c>
      <c r="C66" t="s">
        <v>133</v>
      </c>
      <c r="D66" s="5">
        <v>0</v>
      </c>
      <c r="E66" s="5">
        <v>0</v>
      </c>
    </row>
    <row r="67" spans="1:8" x14ac:dyDescent="0.2">
      <c r="A67">
        <v>2</v>
      </c>
      <c r="B67">
        <v>1</v>
      </c>
      <c r="C67" t="s">
        <v>134</v>
      </c>
      <c r="D67" s="5">
        <v>0</v>
      </c>
      <c r="E67" s="5">
        <v>0</v>
      </c>
    </row>
    <row r="68" spans="1:8" x14ac:dyDescent="0.2">
      <c r="A68">
        <v>3</v>
      </c>
      <c r="B68">
        <v>1</v>
      </c>
      <c r="C68" t="s">
        <v>135</v>
      </c>
      <c r="D68" s="5">
        <v>0</v>
      </c>
      <c r="E68" s="5">
        <v>0</v>
      </c>
    </row>
    <row r="69" spans="1:8" x14ac:dyDescent="0.2">
      <c r="A69">
        <v>4</v>
      </c>
      <c r="B69">
        <v>1</v>
      </c>
      <c r="C69" t="s">
        <v>136</v>
      </c>
      <c r="D69" s="5">
        <v>0</v>
      </c>
      <c r="E69" s="5">
        <v>0</v>
      </c>
    </row>
    <row r="70" spans="1:8" x14ac:dyDescent="0.2">
      <c r="A70">
        <v>5</v>
      </c>
      <c r="B70">
        <v>1</v>
      </c>
      <c r="C70" t="s">
        <v>137</v>
      </c>
      <c r="D70" s="5">
        <v>0</v>
      </c>
      <c r="E70" s="5">
        <v>0</v>
      </c>
    </row>
    <row r="71" spans="1:8" x14ac:dyDescent="0.2">
      <c r="A71">
        <v>6</v>
      </c>
      <c r="B71">
        <v>1</v>
      </c>
      <c r="C71" t="s">
        <v>138</v>
      </c>
      <c r="D71" s="25" cm="1">
        <f t="array" ref="D71">_xlfn.XLOOKUP(F71,Table1[[#All],[Year]],Table1[[#All],[multiplier]])*110100</f>
        <v>115972.87280583415</v>
      </c>
      <c r="E71" s="25" cm="1">
        <f t="array" ref="E71">_xlfn.XLOOKUP(F71,Table1[[#All],[Year]],Table1[[#All],[multiplier]])*27525</f>
        <v>28993.218201458538</v>
      </c>
      <c r="F71">
        <v>2020</v>
      </c>
      <c r="G71" t="s">
        <v>140</v>
      </c>
      <c r="H71" t="s">
        <v>143</v>
      </c>
    </row>
    <row r="72" spans="1:8" x14ac:dyDescent="0.2">
      <c r="A72">
        <v>1</v>
      </c>
      <c r="B72">
        <v>2</v>
      </c>
      <c r="C72" t="s">
        <v>133</v>
      </c>
      <c r="D72" s="5">
        <v>0</v>
      </c>
      <c r="E72" s="5">
        <v>0</v>
      </c>
    </row>
    <row r="73" spans="1:8" x14ac:dyDescent="0.2">
      <c r="A73">
        <v>2</v>
      </c>
      <c r="B73">
        <v>2</v>
      </c>
      <c r="C73" t="s">
        <v>134</v>
      </c>
      <c r="D73" s="5">
        <v>0</v>
      </c>
      <c r="E73" s="5">
        <v>0</v>
      </c>
    </row>
    <row r="74" spans="1:8" x14ac:dyDescent="0.2">
      <c r="A74">
        <v>3</v>
      </c>
      <c r="B74">
        <v>2</v>
      </c>
      <c r="C74" t="s">
        <v>135</v>
      </c>
      <c r="D74" s="5">
        <v>0</v>
      </c>
      <c r="E74" s="5">
        <v>0</v>
      </c>
    </row>
    <row r="75" spans="1:8" x14ac:dyDescent="0.2">
      <c r="A75">
        <v>4</v>
      </c>
      <c r="B75">
        <v>2</v>
      </c>
      <c r="C75" t="s">
        <v>136</v>
      </c>
      <c r="D75" s="5">
        <v>0</v>
      </c>
      <c r="E75" s="5">
        <v>0</v>
      </c>
    </row>
    <row r="76" spans="1:8" x14ac:dyDescent="0.2">
      <c r="A76">
        <v>5</v>
      </c>
      <c r="B76">
        <v>2</v>
      </c>
      <c r="C76" t="s">
        <v>137</v>
      </c>
      <c r="D76" s="5">
        <v>0</v>
      </c>
      <c r="E76" s="5">
        <v>0</v>
      </c>
    </row>
    <row r="77" spans="1:8" x14ac:dyDescent="0.2">
      <c r="A77">
        <v>6</v>
      </c>
      <c r="B77">
        <v>2</v>
      </c>
      <c r="C77" t="s">
        <v>138</v>
      </c>
      <c r="D77" s="25" cm="1">
        <f t="array" ref="D77">_xlfn.XLOOKUP(F77,Table1[[#All],[Year]],Table1[[#All],[multiplier]])*110100</f>
        <v>115972.87280583415</v>
      </c>
      <c r="E77" s="25" cm="1">
        <f t="array" ref="E77">_xlfn.XLOOKUP(F77,Table1[[#All],[Year]],Table1[[#All],[multiplier]])*27525</f>
        <v>28993.218201458538</v>
      </c>
      <c r="F77">
        <v>2020</v>
      </c>
      <c r="G77" t="s">
        <v>140</v>
      </c>
      <c r="H77" t="s">
        <v>143</v>
      </c>
    </row>
    <row r="78" spans="1:8" x14ac:dyDescent="0.2">
      <c r="A78">
        <v>1</v>
      </c>
      <c r="B78">
        <v>3</v>
      </c>
      <c r="C78" t="s">
        <v>133</v>
      </c>
      <c r="D78" s="5">
        <v>0</v>
      </c>
      <c r="E78" s="5">
        <v>0</v>
      </c>
    </row>
    <row r="79" spans="1:8" x14ac:dyDescent="0.2">
      <c r="A79">
        <v>2</v>
      </c>
      <c r="B79">
        <v>3</v>
      </c>
      <c r="C79" t="s">
        <v>134</v>
      </c>
      <c r="D79" s="5">
        <v>0</v>
      </c>
      <c r="E79" s="5">
        <v>0</v>
      </c>
    </row>
    <row r="80" spans="1:8" x14ac:dyDescent="0.2">
      <c r="A80">
        <v>3</v>
      </c>
      <c r="B80">
        <v>3</v>
      </c>
      <c r="C80" t="s">
        <v>135</v>
      </c>
      <c r="D80" s="5">
        <v>0</v>
      </c>
      <c r="E80" s="5">
        <v>0</v>
      </c>
    </row>
    <row r="81" spans="1:8" x14ac:dyDescent="0.2">
      <c r="A81">
        <v>4</v>
      </c>
      <c r="B81">
        <v>3</v>
      </c>
      <c r="C81" t="s">
        <v>136</v>
      </c>
      <c r="D81" s="5">
        <v>0</v>
      </c>
      <c r="E81" s="5">
        <v>0</v>
      </c>
    </row>
    <row r="82" spans="1:8" x14ac:dyDescent="0.2">
      <c r="A82">
        <v>5</v>
      </c>
      <c r="B82">
        <v>3</v>
      </c>
      <c r="C82" t="s">
        <v>137</v>
      </c>
      <c r="D82" s="5">
        <v>0</v>
      </c>
      <c r="E82" s="5">
        <v>0</v>
      </c>
    </row>
    <row r="83" spans="1:8" x14ac:dyDescent="0.2">
      <c r="A83">
        <v>6</v>
      </c>
      <c r="B83">
        <v>3</v>
      </c>
      <c r="C83" t="s">
        <v>138</v>
      </c>
      <c r="D83" s="25" cm="1">
        <f t="array" ref="D83">_xlfn.XLOOKUP(F83,Table1[[#All],[Year]],Table1[[#All],[multiplier]])*110100</f>
        <v>115972.87280583415</v>
      </c>
      <c r="E83" s="25" cm="1">
        <f t="array" ref="E83">_xlfn.XLOOKUP(F83,Table1[[#All],[Year]],Table1[[#All],[multiplier]])*27525</f>
        <v>28993.218201458538</v>
      </c>
      <c r="F83">
        <v>2020</v>
      </c>
      <c r="G83" t="s">
        <v>140</v>
      </c>
      <c r="H83" t="s">
        <v>143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30A8-F52D-4181-839C-7B566015133E}">
  <dimension ref="A1:H30"/>
  <sheetViews>
    <sheetView workbookViewId="0">
      <selection activeCell="B14" sqref="B14:D16"/>
    </sheetView>
  </sheetViews>
  <sheetFormatPr baseColWidth="10" defaultColWidth="8.83203125" defaultRowHeight="15" x14ac:dyDescent="0.2"/>
  <cols>
    <col min="2" max="2" width="21.5" customWidth="1"/>
    <col min="3" max="3" width="20.83203125" customWidth="1"/>
    <col min="4" max="4" width="26.33203125" bestFit="1" customWidth="1"/>
  </cols>
  <sheetData>
    <row r="1" spans="1:8" x14ac:dyDescent="0.2">
      <c r="A1" s="10" t="s">
        <v>20</v>
      </c>
    </row>
    <row r="2" spans="1:8" x14ac:dyDescent="0.2">
      <c r="B2" s="1" t="s">
        <v>0</v>
      </c>
      <c r="D2" s="1" t="s">
        <v>2</v>
      </c>
      <c r="E2" s="1" t="s">
        <v>3</v>
      </c>
      <c r="G2" s="1" t="s">
        <v>5</v>
      </c>
      <c r="H2" s="1" t="s">
        <v>6</v>
      </c>
    </row>
    <row r="3" spans="1:8" x14ac:dyDescent="0.2">
      <c r="B3" s="2" t="s">
        <v>7</v>
      </c>
    </row>
    <row r="4" spans="1:8" x14ac:dyDescent="0.2">
      <c r="C4" s="1" t="s">
        <v>1</v>
      </c>
      <c r="D4" s="1" t="s">
        <v>4</v>
      </c>
    </row>
    <row r="5" spans="1:8" ht="30" x14ac:dyDescent="0.2">
      <c r="B5" s="3" t="s">
        <v>8</v>
      </c>
      <c r="C5">
        <v>21.9</v>
      </c>
      <c r="D5">
        <v>22.2</v>
      </c>
    </row>
    <row r="6" spans="1:8" x14ac:dyDescent="0.2">
      <c r="B6" s="9" t="s">
        <v>19</v>
      </c>
      <c r="C6" s="5">
        <v>757386</v>
      </c>
      <c r="D6" s="5">
        <v>793640</v>
      </c>
    </row>
    <row r="7" spans="1:8" x14ac:dyDescent="0.2">
      <c r="B7" s="9" t="s">
        <v>19</v>
      </c>
      <c r="C7" s="5">
        <v>34610</v>
      </c>
      <c r="D7" s="5">
        <v>35760</v>
      </c>
    </row>
    <row r="8" spans="1:8" ht="17" x14ac:dyDescent="0.2">
      <c r="B8" s="3" t="s">
        <v>9</v>
      </c>
    </row>
    <row r="10" spans="1:8" ht="16" x14ac:dyDescent="0.2">
      <c r="B10" s="48" t="s">
        <v>10</v>
      </c>
      <c r="C10" s="48"/>
      <c r="D10" s="48"/>
    </row>
    <row r="11" spans="1:8" x14ac:dyDescent="0.2">
      <c r="B11" s="4" t="s">
        <v>11</v>
      </c>
      <c r="C11" s="6">
        <v>79001</v>
      </c>
      <c r="D11" s="6">
        <v>85415</v>
      </c>
    </row>
    <row r="12" spans="1:8" x14ac:dyDescent="0.2">
      <c r="B12" s="4" t="s">
        <v>12</v>
      </c>
      <c r="C12" s="6">
        <v>862</v>
      </c>
      <c r="D12" s="6">
        <v>926</v>
      </c>
    </row>
    <row r="13" spans="1:8" x14ac:dyDescent="0.2">
      <c r="B13" s="4" t="s">
        <v>13</v>
      </c>
      <c r="C13" s="6">
        <v>115084</v>
      </c>
      <c r="D13" s="7">
        <v>125214</v>
      </c>
    </row>
    <row r="14" spans="1:8" x14ac:dyDescent="0.2">
      <c r="B14" s="4" t="s">
        <v>14</v>
      </c>
      <c r="C14" s="6">
        <v>434526</v>
      </c>
      <c r="D14" s="7">
        <v>444715</v>
      </c>
    </row>
    <row r="15" spans="1:8" x14ac:dyDescent="0.2">
      <c r="B15" s="8" t="s">
        <v>15</v>
      </c>
      <c r="C15" s="6">
        <v>16426</v>
      </c>
      <c r="D15" s="6">
        <v>17472</v>
      </c>
    </row>
    <row r="16" spans="1:8" x14ac:dyDescent="0.2">
      <c r="B16" s="8" t="s">
        <v>16</v>
      </c>
      <c r="C16" s="6">
        <v>18674</v>
      </c>
      <c r="D16" s="6">
        <v>20481</v>
      </c>
    </row>
    <row r="17" spans="2:4" x14ac:dyDescent="0.2">
      <c r="B17" s="4" t="s">
        <v>17</v>
      </c>
      <c r="C17" s="6">
        <v>5988</v>
      </c>
      <c r="D17" s="6">
        <v>6317</v>
      </c>
    </row>
    <row r="18" spans="2:4" x14ac:dyDescent="0.2">
      <c r="B18" s="4" t="s">
        <v>18</v>
      </c>
      <c r="C18" s="11">
        <v>670561</v>
      </c>
      <c r="D18" s="12">
        <v>700541</v>
      </c>
    </row>
    <row r="20" spans="2:4" x14ac:dyDescent="0.2">
      <c r="B20" s="10" t="s">
        <v>21</v>
      </c>
      <c r="C20" s="5">
        <f>C18-SUM(C14:C16)</f>
        <v>200935</v>
      </c>
      <c r="D20" s="5">
        <f>D18-SUM(D14:D16)</f>
        <v>217873</v>
      </c>
    </row>
    <row r="22" spans="2:4" x14ac:dyDescent="0.2">
      <c r="B22" s="32" t="s">
        <v>116</v>
      </c>
    </row>
    <row r="23" spans="2:4" x14ac:dyDescent="0.2">
      <c r="B23" s="4" t="s">
        <v>11</v>
      </c>
      <c r="C23" s="42">
        <f>12*C11/C$5</f>
        <v>43288.219178082196</v>
      </c>
      <c r="D23" s="42">
        <f>12*D11/D$5</f>
        <v>46170.270270270274</v>
      </c>
    </row>
    <row r="24" spans="2:4" x14ac:dyDescent="0.2">
      <c r="B24" s="4" t="s">
        <v>12</v>
      </c>
      <c r="C24" s="42">
        <f t="shared" ref="C24:D24" si="0">12*C12/C$5</f>
        <v>472.32876712328772</v>
      </c>
      <c r="D24" s="42">
        <f t="shared" si="0"/>
        <v>500.54054054054058</v>
      </c>
    </row>
    <row r="25" spans="2:4" x14ac:dyDescent="0.2">
      <c r="B25" s="4" t="s">
        <v>13</v>
      </c>
      <c r="C25" s="42">
        <f t="shared" ref="C25:D25" si="1">12*C13/C$5</f>
        <v>63059.726027397264</v>
      </c>
      <c r="D25" s="42">
        <f t="shared" si="1"/>
        <v>67683.24324324324</v>
      </c>
    </row>
    <row r="26" spans="2:4" x14ac:dyDescent="0.2">
      <c r="B26" s="4" t="s">
        <v>14</v>
      </c>
      <c r="C26" s="42">
        <f t="shared" ref="C26:D26" si="2">12*C14/C$5</f>
        <v>238096.43835616441</v>
      </c>
      <c r="D26" s="42">
        <f t="shared" si="2"/>
        <v>240386.48648648651</v>
      </c>
    </row>
    <row r="27" spans="2:4" x14ac:dyDescent="0.2">
      <c r="B27" s="8" t="s">
        <v>15</v>
      </c>
      <c r="C27" s="42">
        <f t="shared" ref="C27:D27" si="3">12*C15/C$5</f>
        <v>9000.5479452054806</v>
      </c>
      <c r="D27" s="42">
        <f t="shared" si="3"/>
        <v>9444.3243243243251</v>
      </c>
    </row>
    <row r="28" spans="2:4" x14ac:dyDescent="0.2">
      <c r="B28" s="8" t="s">
        <v>16</v>
      </c>
      <c r="C28" s="42">
        <f t="shared" ref="C28:D28" si="4">12*C16/C$5</f>
        <v>10232.328767123288</v>
      </c>
      <c r="D28" s="42">
        <f t="shared" si="4"/>
        <v>11070.810810810812</v>
      </c>
    </row>
    <row r="29" spans="2:4" x14ac:dyDescent="0.2">
      <c r="B29" s="4" t="s">
        <v>17</v>
      </c>
      <c r="C29" s="42">
        <f t="shared" ref="C29:D29" si="5">12*C17/C$5</f>
        <v>3281.0958904109593</v>
      </c>
      <c r="D29" s="42">
        <f t="shared" si="5"/>
        <v>3414.5945945945946</v>
      </c>
    </row>
    <row r="30" spans="2:4" x14ac:dyDescent="0.2">
      <c r="B30" s="4" t="s">
        <v>18</v>
      </c>
      <c r="C30" s="11">
        <v>670561</v>
      </c>
      <c r="D30" s="12">
        <v>700541</v>
      </c>
    </row>
  </sheetData>
  <mergeCells count="1">
    <mergeCell ref="B10:D10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B112-E743-45B1-B845-B679A8510A7D}">
  <dimension ref="B1:F26"/>
  <sheetViews>
    <sheetView zoomScale="124" zoomScaleNormal="124" workbookViewId="0">
      <selection activeCell="E10" sqref="E10:E14"/>
    </sheetView>
  </sheetViews>
  <sheetFormatPr baseColWidth="10" defaultColWidth="8.83203125" defaultRowHeight="15" x14ac:dyDescent="0.2"/>
  <cols>
    <col min="2" max="5" width="39.33203125" customWidth="1"/>
    <col min="6" max="6" width="22.83203125" bestFit="1" customWidth="1"/>
  </cols>
  <sheetData>
    <row r="1" spans="2:6" ht="17" thickBot="1" x14ac:dyDescent="0.25">
      <c r="B1" s="14" t="s">
        <v>99</v>
      </c>
      <c r="C1" s="15"/>
      <c r="D1" s="15"/>
      <c r="E1" s="15"/>
    </row>
    <row r="2" spans="2:6" ht="18" thickBot="1" x14ac:dyDescent="0.25">
      <c r="B2" s="49" t="s">
        <v>22</v>
      </c>
      <c r="C2" s="16" t="s">
        <v>23</v>
      </c>
      <c r="D2" s="16"/>
      <c r="E2" s="16"/>
      <c r="F2" s="16"/>
    </row>
    <row r="3" spans="2:6" ht="18" thickBot="1" x14ac:dyDescent="0.25">
      <c r="B3" s="50"/>
      <c r="C3" s="17" t="s">
        <v>24</v>
      </c>
      <c r="D3" s="17" t="s">
        <v>25</v>
      </c>
      <c r="E3" s="18" t="s">
        <v>26</v>
      </c>
      <c r="F3" s="18" t="s">
        <v>101</v>
      </c>
    </row>
    <row r="4" spans="2:6" ht="18" thickBot="1" x14ac:dyDescent="0.25">
      <c r="B4" s="19" t="s">
        <v>27</v>
      </c>
      <c r="C4" s="19" t="s">
        <v>28</v>
      </c>
      <c r="D4" s="19" t="s">
        <v>29</v>
      </c>
      <c r="E4" s="19" t="s">
        <v>30</v>
      </c>
      <c r="F4" s="31">
        <f>LEFT(E4,FIND("(",E4)-1)*1</f>
        <v>184495</v>
      </c>
    </row>
    <row r="5" spans="2:6" ht="18" thickBot="1" x14ac:dyDescent="0.25">
      <c r="B5" s="20" t="s">
        <v>31</v>
      </c>
      <c r="C5" s="20" t="s">
        <v>32</v>
      </c>
      <c r="D5" s="20" t="s">
        <v>33</v>
      </c>
      <c r="E5" s="20" t="s">
        <v>34</v>
      </c>
      <c r="F5" s="29">
        <f t="shared" ref="F5:F24" si="0">LEFT(E5,FIND("(",E5)-1)*12</f>
        <v>14928</v>
      </c>
    </row>
    <row r="6" spans="2:6" ht="18" thickBot="1" x14ac:dyDescent="0.25">
      <c r="B6" s="21" t="s">
        <v>35</v>
      </c>
      <c r="C6" s="20" t="s">
        <v>36</v>
      </c>
      <c r="D6" s="20" t="s">
        <v>37</v>
      </c>
      <c r="E6" s="20" t="s">
        <v>38</v>
      </c>
      <c r="F6" s="27">
        <f t="shared" si="0"/>
        <v>6096</v>
      </c>
    </row>
    <row r="7" spans="2:6" ht="18" thickBot="1" x14ac:dyDescent="0.25">
      <c r="B7" s="21" t="s">
        <v>39</v>
      </c>
      <c r="C7" s="20" t="s">
        <v>40</v>
      </c>
      <c r="D7" s="20" t="s">
        <v>41</v>
      </c>
      <c r="E7" s="20" t="s">
        <v>42</v>
      </c>
      <c r="F7" s="27">
        <f t="shared" si="0"/>
        <v>8448</v>
      </c>
    </row>
    <row r="8" spans="2:6" ht="18" thickBot="1" x14ac:dyDescent="0.25">
      <c r="B8" s="21" t="s">
        <v>43</v>
      </c>
      <c r="C8" s="20" t="s">
        <v>44</v>
      </c>
      <c r="D8" s="20" t="s">
        <v>45</v>
      </c>
      <c r="E8" s="20" t="s">
        <v>46</v>
      </c>
      <c r="F8" s="30">
        <f t="shared" si="0"/>
        <v>252</v>
      </c>
    </row>
    <row r="9" spans="2:6" ht="18" thickBot="1" x14ac:dyDescent="0.25">
      <c r="B9" s="21" t="s">
        <v>47</v>
      </c>
      <c r="C9" s="20" t="s">
        <v>48</v>
      </c>
      <c r="D9" s="20" t="s">
        <v>49</v>
      </c>
      <c r="E9" s="20" t="s">
        <v>50</v>
      </c>
      <c r="F9" s="27">
        <f t="shared" si="0"/>
        <v>348</v>
      </c>
    </row>
    <row r="10" spans="2:6" ht="18" thickBot="1" x14ac:dyDescent="0.25">
      <c r="B10" s="19" t="s">
        <v>51</v>
      </c>
      <c r="C10" s="19" t="s">
        <v>52</v>
      </c>
      <c r="D10" s="19" t="s">
        <v>53</v>
      </c>
      <c r="E10" s="19" t="s">
        <v>54</v>
      </c>
      <c r="F10" s="31">
        <f t="shared" si="0"/>
        <v>134172</v>
      </c>
    </row>
    <row r="11" spans="2:6" ht="18" thickBot="1" x14ac:dyDescent="0.25">
      <c r="B11" s="22" t="s">
        <v>35</v>
      </c>
      <c r="C11" s="19" t="s">
        <v>55</v>
      </c>
      <c r="D11" s="19" t="s">
        <v>56</v>
      </c>
      <c r="E11" s="19" t="s">
        <v>57</v>
      </c>
      <c r="F11" s="26">
        <f t="shared" si="0"/>
        <v>47676</v>
      </c>
    </row>
    <row r="12" spans="2:6" ht="18" thickBot="1" x14ac:dyDescent="0.25">
      <c r="B12" s="22" t="s">
        <v>39</v>
      </c>
      <c r="C12" s="19" t="s">
        <v>58</v>
      </c>
      <c r="D12" s="19" t="s">
        <v>59</v>
      </c>
      <c r="E12" s="19" t="s">
        <v>60</v>
      </c>
      <c r="F12" s="26">
        <f t="shared" si="0"/>
        <v>51300</v>
      </c>
    </row>
    <row r="13" spans="2:6" ht="18" thickBot="1" x14ac:dyDescent="0.25">
      <c r="B13" s="22" t="s">
        <v>43</v>
      </c>
      <c r="C13" s="19" t="s">
        <v>61</v>
      </c>
      <c r="D13" s="19" t="s">
        <v>62</v>
      </c>
      <c r="E13" s="19" t="s">
        <v>63</v>
      </c>
      <c r="F13" s="26">
        <f t="shared" si="0"/>
        <v>26844</v>
      </c>
    </row>
    <row r="14" spans="2:6" ht="18" thickBot="1" x14ac:dyDescent="0.25">
      <c r="B14" s="22" t="s">
        <v>47</v>
      </c>
      <c r="C14" s="19" t="s">
        <v>64</v>
      </c>
      <c r="D14" s="19" t="s">
        <v>65</v>
      </c>
      <c r="E14" s="19" t="s">
        <v>66</v>
      </c>
      <c r="F14" s="26">
        <f t="shared" si="0"/>
        <v>8652</v>
      </c>
    </row>
    <row r="15" spans="2:6" ht="18" thickBot="1" x14ac:dyDescent="0.25">
      <c r="B15" s="20" t="s">
        <v>67</v>
      </c>
      <c r="C15" s="20" t="s">
        <v>68</v>
      </c>
      <c r="D15" s="20" t="s">
        <v>69</v>
      </c>
      <c r="E15" s="20" t="s">
        <v>70</v>
      </c>
      <c r="F15" s="29">
        <f t="shared" si="0"/>
        <v>67608</v>
      </c>
    </row>
    <row r="16" spans="2:6" ht="18" thickBot="1" x14ac:dyDescent="0.25">
      <c r="B16" s="21" t="s">
        <v>35</v>
      </c>
      <c r="C16" s="20" t="s">
        <v>71</v>
      </c>
      <c r="D16" s="20" t="s">
        <v>72</v>
      </c>
      <c r="E16" s="20" t="s">
        <v>73</v>
      </c>
      <c r="F16" s="27">
        <f t="shared" si="0"/>
        <v>21624</v>
      </c>
    </row>
    <row r="17" spans="2:6" ht="18" thickBot="1" x14ac:dyDescent="0.25">
      <c r="B17" s="21" t="s">
        <v>39</v>
      </c>
      <c r="C17" s="20" t="s">
        <v>74</v>
      </c>
      <c r="D17" s="20" t="s">
        <v>75</v>
      </c>
      <c r="E17" s="20" t="s">
        <v>76</v>
      </c>
      <c r="F17" s="27">
        <f t="shared" si="0"/>
        <v>13044</v>
      </c>
    </row>
    <row r="18" spans="2:6" ht="18" thickBot="1" x14ac:dyDescent="0.25">
      <c r="B18" s="21" t="s">
        <v>43</v>
      </c>
      <c r="C18" s="20" t="s">
        <v>77</v>
      </c>
      <c r="D18" s="20" t="s">
        <v>78</v>
      </c>
      <c r="E18" s="20" t="s">
        <v>79</v>
      </c>
      <c r="F18" s="27">
        <f t="shared" si="0"/>
        <v>30312</v>
      </c>
    </row>
    <row r="19" spans="2:6" ht="18" thickBot="1" x14ac:dyDescent="0.25">
      <c r="B19" s="21" t="s">
        <v>47</v>
      </c>
      <c r="C19" s="20" t="s">
        <v>80</v>
      </c>
      <c r="D19" s="20" t="s">
        <v>81</v>
      </c>
      <c r="E19" s="20" t="s">
        <v>82</v>
      </c>
      <c r="F19" s="27">
        <f t="shared" si="0"/>
        <v>2568</v>
      </c>
    </row>
    <row r="20" spans="2:6" ht="18" thickBot="1" x14ac:dyDescent="0.25">
      <c r="B20" s="19" t="s">
        <v>83</v>
      </c>
      <c r="C20" s="19" t="s">
        <v>84</v>
      </c>
      <c r="D20" s="19" t="s">
        <v>85</v>
      </c>
      <c r="E20" s="19" t="s">
        <v>86</v>
      </c>
      <c r="F20" s="31">
        <f t="shared" si="0"/>
        <v>75360</v>
      </c>
    </row>
    <row r="21" spans="2:6" ht="18" thickBot="1" x14ac:dyDescent="0.25">
      <c r="B21" s="22" t="s">
        <v>35</v>
      </c>
      <c r="C21" s="19" t="s">
        <v>87</v>
      </c>
      <c r="D21" s="19" t="s">
        <v>88</v>
      </c>
      <c r="E21" s="19" t="s">
        <v>89</v>
      </c>
      <c r="F21" s="26">
        <f t="shared" si="0"/>
        <v>26172</v>
      </c>
    </row>
    <row r="22" spans="2:6" ht="18" thickBot="1" x14ac:dyDescent="0.25">
      <c r="B22" s="22" t="s">
        <v>39</v>
      </c>
      <c r="C22" s="19" t="s">
        <v>90</v>
      </c>
      <c r="D22" s="19" t="s">
        <v>91</v>
      </c>
      <c r="E22" s="19" t="s">
        <v>92</v>
      </c>
      <c r="F22" s="26">
        <f t="shared" si="0"/>
        <v>24720</v>
      </c>
    </row>
    <row r="23" spans="2:6" ht="18" thickBot="1" x14ac:dyDescent="0.25">
      <c r="B23" s="22" t="s">
        <v>43</v>
      </c>
      <c r="C23" s="19" t="s">
        <v>93</v>
      </c>
      <c r="D23" s="19" t="s">
        <v>94</v>
      </c>
      <c r="E23" s="19" t="s">
        <v>95</v>
      </c>
      <c r="F23" s="26">
        <f t="shared" si="0"/>
        <v>19200</v>
      </c>
    </row>
    <row r="24" spans="2:6" ht="18" thickBot="1" x14ac:dyDescent="0.25">
      <c r="B24" s="23" t="s">
        <v>47</v>
      </c>
      <c r="C24" s="24" t="s">
        <v>96</v>
      </c>
      <c r="D24" s="24" t="s">
        <v>97</v>
      </c>
      <c r="E24" s="24" t="s">
        <v>98</v>
      </c>
      <c r="F24" s="28">
        <f t="shared" si="0"/>
        <v>5532</v>
      </c>
    </row>
    <row r="26" spans="2:6" x14ac:dyDescent="0.2">
      <c r="B26" s="13" t="s">
        <v>100</v>
      </c>
    </row>
  </sheetData>
  <mergeCells count="1">
    <mergeCell ref="B2:B3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AA07-B38C-4CF7-B587-59780DCA469F}">
  <dimension ref="B2:E19"/>
  <sheetViews>
    <sheetView workbookViewId="0">
      <selection activeCell="B30" sqref="B30"/>
    </sheetView>
  </sheetViews>
  <sheetFormatPr baseColWidth="10" defaultColWidth="8.83203125" defaultRowHeight="15" x14ac:dyDescent="0.2"/>
  <cols>
    <col min="2" max="2" width="55" bestFit="1" customWidth="1"/>
    <col min="3" max="3" width="17.83203125" customWidth="1"/>
    <col min="4" max="4" width="20" customWidth="1"/>
    <col min="5" max="5" width="25.6640625" customWidth="1"/>
  </cols>
  <sheetData>
    <row r="2" spans="2:5" x14ac:dyDescent="0.2">
      <c r="B2" s="32" t="s">
        <v>114</v>
      </c>
    </row>
    <row r="3" spans="2:5" x14ac:dyDescent="0.2">
      <c r="B3" t="s">
        <v>113</v>
      </c>
    </row>
    <row r="4" spans="2:5" x14ac:dyDescent="0.2">
      <c r="C4" t="s">
        <v>102</v>
      </c>
      <c r="D4" t="s">
        <v>103</v>
      </c>
      <c r="E4" t="s">
        <v>104</v>
      </c>
    </row>
    <row r="5" spans="2:5" x14ac:dyDescent="0.2">
      <c r="B5" t="s">
        <v>105</v>
      </c>
      <c r="C5" s="25">
        <v>50704</v>
      </c>
      <c r="D5" s="25">
        <v>55805</v>
      </c>
      <c r="E5" s="25">
        <v>12236</v>
      </c>
    </row>
    <row r="6" spans="2:5" x14ac:dyDescent="0.2">
      <c r="B6" t="s">
        <v>106</v>
      </c>
      <c r="C6" s="25">
        <v>6</v>
      </c>
      <c r="D6" s="25">
        <v>79988</v>
      </c>
      <c r="E6" s="25">
        <v>10623</v>
      </c>
    </row>
    <row r="7" spans="2:5" x14ac:dyDescent="0.2">
      <c r="B7" t="s">
        <v>107</v>
      </c>
      <c r="C7" s="25">
        <v>117069</v>
      </c>
      <c r="D7" s="25">
        <v>0</v>
      </c>
      <c r="E7" s="25">
        <v>9083</v>
      </c>
    </row>
    <row r="8" spans="2:5" x14ac:dyDescent="0.2">
      <c r="B8" t="s">
        <v>108</v>
      </c>
      <c r="C8" s="25">
        <v>97554</v>
      </c>
      <c r="D8" s="25">
        <v>85568</v>
      </c>
      <c r="E8" s="25">
        <v>6161</v>
      </c>
    </row>
    <row r="9" spans="2:5" x14ac:dyDescent="0.2">
      <c r="B9" t="s">
        <v>109</v>
      </c>
      <c r="C9" s="25">
        <v>100811</v>
      </c>
      <c r="D9" s="25">
        <v>148326</v>
      </c>
      <c r="E9" s="25">
        <v>7279</v>
      </c>
    </row>
    <row r="10" spans="2:5" x14ac:dyDescent="0.2">
      <c r="B10" t="s">
        <v>110</v>
      </c>
      <c r="C10" s="25">
        <v>0</v>
      </c>
      <c r="D10" s="25">
        <v>136878</v>
      </c>
      <c r="E10" s="25">
        <v>21670</v>
      </c>
    </row>
    <row r="11" spans="2:5" x14ac:dyDescent="0.2">
      <c r="B11" t="s">
        <v>111</v>
      </c>
      <c r="C11" s="25">
        <v>135774</v>
      </c>
      <c r="D11" s="25">
        <v>0</v>
      </c>
      <c r="E11" s="25">
        <v>24372</v>
      </c>
    </row>
    <row r="12" spans="2:5" x14ac:dyDescent="0.2">
      <c r="B12" s="34" t="s">
        <v>112</v>
      </c>
      <c r="C12" s="35"/>
      <c r="D12" s="35"/>
      <c r="E12" s="35"/>
    </row>
    <row r="13" spans="2:5" x14ac:dyDescent="0.2">
      <c r="B13" t="s">
        <v>105</v>
      </c>
      <c r="C13" s="25">
        <v>50704</v>
      </c>
      <c r="D13" s="25">
        <v>45187</v>
      </c>
      <c r="E13" s="25">
        <v>11855</v>
      </c>
    </row>
    <row r="14" spans="2:5" x14ac:dyDescent="0.2">
      <c r="B14" t="s">
        <v>106</v>
      </c>
      <c r="C14" s="25">
        <v>6</v>
      </c>
      <c r="D14" s="25">
        <v>64768</v>
      </c>
      <c r="E14" s="25">
        <v>10024</v>
      </c>
    </row>
    <row r="15" spans="2:5" x14ac:dyDescent="0.2">
      <c r="B15" t="s">
        <v>107</v>
      </c>
      <c r="C15" s="25">
        <v>117069</v>
      </c>
      <c r="D15" s="25">
        <v>0</v>
      </c>
      <c r="E15" s="25">
        <v>8906</v>
      </c>
    </row>
    <row r="16" spans="2:5" x14ac:dyDescent="0.2">
      <c r="B16" t="s">
        <v>108</v>
      </c>
      <c r="C16" s="25">
        <v>97554</v>
      </c>
      <c r="D16" s="25">
        <v>69286</v>
      </c>
      <c r="E16" s="25">
        <v>5507</v>
      </c>
    </row>
    <row r="17" spans="2:5" x14ac:dyDescent="0.2">
      <c r="B17" t="s">
        <v>109</v>
      </c>
      <c r="C17" s="25">
        <v>100811</v>
      </c>
      <c r="D17" s="25">
        <v>120102</v>
      </c>
      <c r="E17" s="25">
        <v>6240</v>
      </c>
    </row>
    <row r="18" spans="2:5" x14ac:dyDescent="0.2">
      <c r="B18" t="s">
        <v>110</v>
      </c>
      <c r="C18" s="25">
        <v>0</v>
      </c>
      <c r="D18" s="25">
        <v>110833</v>
      </c>
      <c r="E18" s="25">
        <v>20599</v>
      </c>
    </row>
    <row r="19" spans="2:5" x14ac:dyDescent="0.2">
      <c r="B19" t="s">
        <v>111</v>
      </c>
      <c r="C19" s="25">
        <v>135774</v>
      </c>
      <c r="D19" s="25">
        <v>0</v>
      </c>
      <c r="E19" s="25">
        <v>24176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F6FA-9A27-4F68-AAC1-E6EFBAB00CBC}">
  <dimension ref="D2:H3"/>
  <sheetViews>
    <sheetView workbookViewId="0">
      <selection activeCell="D33" sqref="D33"/>
    </sheetView>
  </sheetViews>
  <sheetFormatPr baseColWidth="10" defaultColWidth="8.83203125" defaultRowHeight="15" x14ac:dyDescent="0.2"/>
  <cols>
    <col min="4" max="4" width="28" bestFit="1" customWidth="1"/>
  </cols>
  <sheetData>
    <row r="2" spans="4:8" x14ac:dyDescent="0.2">
      <c r="D2" t="s">
        <v>115</v>
      </c>
      <c r="E2">
        <v>9175</v>
      </c>
      <c r="F2">
        <f>(H2-G2)/4</f>
        <v>2293.75</v>
      </c>
      <c r="G2">
        <f>E2*0.5</f>
        <v>4587.5</v>
      </c>
      <c r="H2">
        <f>E2*1.5</f>
        <v>13762.5</v>
      </c>
    </row>
    <row r="3" spans="4:8" x14ac:dyDescent="0.2">
      <c r="D3" s="32" t="s">
        <v>116</v>
      </c>
      <c r="E3">
        <f>E2*12</f>
        <v>110100</v>
      </c>
      <c r="F3">
        <f>(H3-G3)/4</f>
        <v>27525</v>
      </c>
      <c r="G3">
        <f>G2*12</f>
        <v>55050</v>
      </c>
      <c r="H3">
        <f>H2*12</f>
        <v>165150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22A9-F0FC-432A-92E1-709041EA8FEF}">
  <dimension ref="V1:AR88"/>
  <sheetViews>
    <sheetView topLeftCell="X61" zoomScale="90" zoomScaleNormal="90" workbookViewId="0">
      <selection activeCell="AK86" sqref="AK86"/>
    </sheetView>
  </sheetViews>
  <sheetFormatPr baseColWidth="10" defaultColWidth="8.83203125" defaultRowHeight="15" x14ac:dyDescent="0.2"/>
  <cols>
    <col min="1" max="1" width="15.83203125" bestFit="1" customWidth="1"/>
    <col min="2" max="2" width="23.33203125" customWidth="1"/>
    <col min="21" max="21" width="42.83203125" customWidth="1"/>
    <col min="22" max="22" width="23.1640625" bestFit="1" customWidth="1"/>
    <col min="23" max="23" width="14.5" bestFit="1" customWidth="1"/>
    <col min="24" max="24" width="12.1640625" customWidth="1"/>
    <col min="27" max="27" width="14.5" bestFit="1" customWidth="1"/>
    <col min="28" max="28" width="12.5" bestFit="1" customWidth="1"/>
    <col min="32" max="32" width="14.5" bestFit="1" customWidth="1"/>
    <col min="33" max="33" width="13.1640625" bestFit="1" customWidth="1"/>
    <col min="36" max="36" width="13.5" bestFit="1" customWidth="1"/>
    <col min="37" max="37" width="14" bestFit="1" customWidth="1"/>
    <col min="38" max="38" width="13.1640625" bestFit="1" customWidth="1"/>
    <col min="39" max="39" width="8.1640625" bestFit="1" customWidth="1"/>
    <col min="40" max="40" width="8.5" bestFit="1" customWidth="1"/>
    <col min="41" max="41" width="12.33203125" bestFit="1" customWidth="1"/>
    <col min="42" max="42" width="14.5" bestFit="1" customWidth="1"/>
    <col min="43" max="43" width="13.5" bestFit="1" customWidth="1"/>
    <col min="44" max="44" width="12.33203125" bestFit="1" customWidth="1"/>
  </cols>
  <sheetData>
    <row r="1" spans="22:34" x14ac:dyDescent="0.2">
      <c r="V1" s="10" t="s">
        <v>144</v>
      </c>
    </row>
    <row r="2" spans="22:34" x14ac:dyDescent="0.2">
      <c r="W2" t="s">
        <v>117</v>
      </c>
      <c r="X2" t="s">
        <v>120</v>
      </c>
      <c r="Y2" t="s">
        <v>147</v>
      </c>
      <c r="AA2" t="s">
        <v>117</v>
      </c>
      <c r="AB2" t="s">
        <v>120</v>
      </c>
      <c r="AF2" t="s">
        <v>117</v>
      </c>
      <c r="AG2" t="s">
        <v>120</v>
      </c>
    </row>
    <row r="3" spans="22:34" x14ac:dyDescent="0.2">
      <c r="V3" s="32" t="s">
        <v>125</v>
      </c>
    </row>
    <row r="4" spans="22:34" x14ac:dyDescent="0.2">
      <c r="V4" s="10" t="s">
        <v>118</v>
      </c>
      <c r="W4" s="10">
        <v>369</v>
      </c>
      <c r="X4" s="10">
        <f>W4</f>
        <v>369</v>
      </c>
      <c r="Y4" s="10"/>
      <c r="Z4" s="10"/>
      <c r="AA4" s="10">
        <v>341</v>
      </c>
      <c r="AB4" s="10">
        <f>AA4</f>
        <v>341</v>
      </c>
      <c r="AC4" s="10"/>
      <c r="AD4" s="10"/>
      <c r="AE4" s="10"/>
      <c r="AF4" s="10">
        <v>182</v>
      </c>
      <c r="AG4" s="10">
        <f>AF4</f>
        <v>182</v>
      </c>
      <c r="AH4" s="10"/>
    </row>
    <row r="5" spans="22:34" x14ac:dyDescent="0.2">
      <c r="V5" s="10" t="s">
        <v>128</v>
      </c>
      <c r="W5">
        <v>22.96</v>
      </c>
      <c r="X5">
        <v>0.86</v>
      </c>
      <c r="AA5">
        <v>15.42</v>
      </c>
      <c r="AB5">
        <v>0.81</v>
      </c>
      <c r="AF5">
        <v>10.25</v>
      </c>
      <c r="AG5">
        <v>0.85</v>
      </c>
    </row>
    <row r="6" spans="22:34" x14ac:dyDescent="0.2">
      <c r="V6" t="s">
        <v>119</v>
      </c>
      <c r="W6" s="33">
        <v>106619</v>
      </c>
      <c r="X6" s="33">
        <v>4120</v>
      </c>
      <c r="Y6" s="33">
        <f>X6/W6</f>
        <v>3.8642268263630312E-2</v>
      </c>
      <c r="Z6" s="33"/>
      <c r="AA6" s="33">
        <v>89615</v>
      </c>
      <c r="AB6" s="33">
        <v>4834</v>
      </c>
      <c r="AC6" s="33">
        <f>AB6/AA6</f>
        <v>5.3941862411426657E-2</v>
      </c>
      <c r="AD6" s="33"/>
      <c r="AE6" s="33"/>
      <c r="AF6" s="33">
        <v>153769</v>
      </c>
      <c r="AG6" s="33">
        <v>8466</v>
      </c>
      <c r="AH6" s="33">
        <f>AG6/AF6</f>
        <v>5.505661089036152E-2</v>
      </c>
    </row>
    <row r="7" spans="22:34" x14ac:dyDescent="0.2">
      <c r="V7" t="s">
        <v>121</v>
      </c>
      <c r="W7" s="33">
        <v>17193</v>
      </c>
      <c r="X7" s="33">
        <v>2380</v>
      </c>
      <c r="Y7" s="33">
        <f>X7/W7</f>
        <v>0.13842843017507125</v>
      </c>
      <c r="Z7" s="33"/>
      <c r="AA7" s="33">
        <v>37333</v>
      </c>
      <c r="AB7" s="33">
        <v>3606</v>
      </c>
      <c r="AC7" s="33">
        <f>AB7/AA7</f>
        <v>9.659014812632255E-2</v>
      </c>
      <c r="AD7" s="33"/>
      <c r="AE7" s="33"/>
      <c r="AF7" s="33">
        <v>362</v>
      </c>
      <c r="AG7" s="33">
        <v>175</v>
      </c>
      <c r="AH7" s="33">
        <f>AG7/AF7</f>
        <v>0.48342541436464087</v>
      </c>
    </row>
    <row r="8" spans="22:34" x14ac:dyDescent="0.2"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</row>
    <row r="9" spans="22:34" x14ac:dyDescent="0.2">
      <c r="V9" t="s">
        <v>122</v>
      </c>
      <c r="W9" s="33">
        <v>14457</v>
      </c>
      <c r="X9" s="33">
        <v>2287</v>
      </c>
      <c r="Y9" s="33">
        <f>X9/W9</f>
        <v>0.15819326277927648</v>
      </c>
      <c r="Z9" s="33"/>
      <c r="AA9" s="33">
        <v>25583</v>
      </c>
      <c r="AB9" s="33">
        <v>3162</v>
      </c>
      <c r="AC9" s="33">
        <f>AB9/AA9</f>
        <v>0.1235977015987179</v>
      </c>
      <c r="AD9" s="33"/>
      <c r="AE9" s="33"/>
      <c r="AF9" s="33">
        <v>19122</v>
      </c>
      <c r="AG9" s="33">
        <v>5420</v>
      </c>
      <c r="AH9" s="33">
        <f>AG9/AF9</f>
        <v>0.28344315448174878</v>
      </c>
    </row>
    <row r="10" spans="22:34" x14ac:dyDescent="0.2">
      <c r="V10" t="s">
        <v>123</v>
      </c>
      <c r="W10" s="33">
        <v>40020</v>
      </c>
      <c r="X10" s="33">
        <v>2252</v>
      </c>
      <c r="Y10" s="33">
        <f>X10/W10</f>
        <v>5.627186406796602E-2</v>
      </c>
      <c r="Z10" s="33"/>
      <c r="AA10" s="33">
        <v>70845</v>
      </c>
      <c r="AB10" s="33">
        <v>5619</v>
      </c>
      <c r="AC10" s="33">
        <f>AB10/AA10</f>
        <v>7.931399534194368E-2</v>
      </c>
      <c r="AD10" s="33"/>
      <c r="AE10" s="33"/>
      <c r="AF10" s="33">
        <v>59787</v>
      </c>
      <c r="AG10" s="33">
        <v>6536</v>
      </c>
      <c r="AH10" s="33">
        <f>AG10/AF10</f>
        <v>0.10932142438991754</v>
      </c>
    </row>
    <row r="11" spans="22:34" x14ac:dyDescent="0.2">
      <c r="V11" t="s">
        <v>124</v>
      </c>
      <c r="W11" s="33">
        <v>4760</v>
      </c>
      <c r="X11" s="33">
        <v>494</v>
      </c>
      <c r="Y11" s="33">
        <f>X11/W11</f>
        <v>0.10378151260504202</v>
      </c>
      <c r="Z11" s="33"/>
      <c r="AA11" s="33">
        <v>5697</v>
      </c>
      <c r="AB11" s="33">
        <v>570</v>
      </c>
      <c r="AC11" s="33">
        <f>AB11/AA11</f>
        <v>0.10005265929436545</v>
      </c>
      <c r="AD11" s="33"/>
      <c r="AE11" s="33"/>
      <c r="AF11" s="33">
        <v>6521</v>
      </c>
      <c r="AG11" s="33">
        <v>1119</v>
      </c>
      <c r="AH11" s="33">
        <f>AG11/AF11</f>
        <v>0.1715994479374329</v>
      </c>
    </row>
    <row r="12" spans="22:34" x14ac:dyDescent="0.2"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</row>
    <row r="13" spans="22:34" x14ac:dyDescent="0.2">
      <c r="W13" s="33">
        <f>SUM(W6:W11)</f>
        <v>183049</v>
      </c>
      <c r="X13" s="33"/>
      <c r="Y13" s="33"/>
      <c r="Z13" s="33"/>
      <c r="AA13" s="33">
        <f>SUM(AA6:AA11)</f>
        <v>229073</v>
      </c>
      <c r="AB13" s="33"/>
      <c r="AC13" s="33"/>
      <c r="AD13" s="33"/>
      <c r="AE13" s="33"/>
      <c r="AF13" s="33">
        <f>SUM(AF6:AF11)</f>
        <v>239561</v>
      </c>
      <c r="AG13" s="33"/>
      <c r="AH13" s="33"/>
    </row>
    <row r="15" spans="22:34" x14ac:dyDescent="0.2">
      <c r="V15" s="32" t="s">
        <v>126</v>
      </c>
    </row>
    <row r="16" spans="22:34" x14ac:dyDescent="0.2">
      <c r="V16" s="10" t="s">
        <v>118</v>
      </c>
      <c r="W16" s="10">
        <v>433</v>
      </c>
      <c r="X16" s="10">
        <f>W16</f>
        <v>433</v>
      </c>
      <c r="Y16" s="10"/>
      <c r="Z16" s="10"/>
      <c r="AA16" s="10">
        <v>291</v>
      </c>
      <c r="AB16" s="10">
        <f>AA16</f>
        <v>291</v>
      </c>
      <c r="AC16" s="10"/>
      <c r="AD16" s="10"/>
      <c r="AE16" s="10"/>
      <c r="AF16" s="10">
        <v>159</v>
      </c>
      <c r="AG16" s="10">
        <f>AF16</f>
        <v>159</v>
      </c>
      <c r="AH16" s="10"/>
    </row>
    <row r="17" spans="22:34" x14ac:dyDescent="0.2">
      <c r="W17">
        <v>17.329999999999998</v>
      </c>
      <c r="X17">
        <v>0.77</v>
      </c>
      <c r="AA17">
        <v>12.2</v>
      </c>
      <c r="AB17">
        <v>0.65</v>
      </c>
      <c r="AF17">
        <v>10.8</v>
      </c>
      <c r="AG17">
        <v>0.88</v>
      </c>
    </row>
    <row r="18" spans="22:34" x14ac:dyDescent="0.2">
      <c r="V18" t="s">
        <v>119</v>
      </c>
      <c r="W18" s="33">
        <v>147558</v>
      </c>
      <c r="X18" s="33">
        <v>5594</v>
      </c>
      <c r="Y18" s="33">
        <f>X18/W18</f>
        <v>3.7910516542647633E-2</v>
      </c>
      <c r="Z18" s="33"/>
      <c r="AA18" s="33">
        <v>154440</v>
      </c>
      <c r="AB18" s="33">
        <v>7140</v>
      </c>
      <c r="AC18" s="33">
        <f>AB18/AA18</f>
        <v>4.6231546231546232E-2</v>
      </c>
      <c r="AD18" s="33"/>
      <c r="AE18" s="33"/>
      <c r="AF18" s="33">
        <v>152910</v>
      </c>
      <c r="AG18" s="33">
        <v>11142</v>
      </c>
      <c r="AH18" s="33">
        <f>AG18/AF18</f>
        <v>7.2866391995291352E-2</v>
      </c>
    </row>
    <row r="19" spans="22:34" x14ac:dyDescent="0.2">
      <c r="V19" t="s">
        <v>121</v>
      </c>
      <c r="W19" s="33">
        <v>1321</v>
      </c>
      <c r="X19" s="33">
        <v>552</v>
      </c>
      <c r="Y19" s="33">
        <f>X19/W19</f>
        <v>0.41786525359576077</v>
      </c>
      <c r="Z19" s="33"/>
      <c r="AA19" s="33">
        <v>9594</v>
      </c>
      <c r="AB19" s="33">
        <v>3765</v>
      </c>
      <c r="AC19" s="33">
        <f>AB19/AA19</f>
        <v>0.39243277048155095</v>
      </c>
      <c r="AD19" s="33"/>
      <c r="AE19" s="33"/>
      <c r="AF19" s="33">
        <v>14892</v>
      </c>
      <c r="AG19" s="33">
        <v>6326</v>
      </c>
      <c r="AH19" s="33">
        <f>AG19/AF19</f>
        <v>0.42479183454203601</v>
      </c>
    </row>
    <row r="20" spans="22:34" x14ac:dyDescent="0.2"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</row>
    <row r="21" spans="22:34" x14ac:dyDescent="0.2">
      <c r="V21" t="s">
        <v>122</v>
      </c>
      <c r="W21" s="33">
        <v>11632</v>
      </c>
      <c r="X21" s="33">
        <v>1733</v>
      </c>
      <c r="Y21" s="33">
        <f>X21/W21</f>
        <v>0.14898555708390646</v>
      </c>
      <c r="Z21" s="33"/>
      <c r="AA21" s="33">
        <v>50396</v>
      </c>
      <c r="AB21" s="33">
        <v>6332</v>
      </c>
      <c r="AC21" s="33">
        <f>AB21/AA21</f>
        <v>0.1256448924517819</v>
      </c>
      <c r="AD21" s="33"/>
      <c r="AE21" s="33"/>
      <c r="AF21" s="33">
        <v>62374</v>
      </c>
      <c r="AG21" s="33">
        <v>10692</v>
      </c>
      <c r="AH21" s="33">
        <f>AG21/AF21</f>
        <v>0.17141757783691922</v>
      </c>
    </row>
    <row r="22" spans="22:34" x14ac:dyDescent="0.2">
      <c r="V22" t="s">
        <v>123</v>
      </c>
      <c r="W22" s="33">
        <v>47200</v>
      </c>
      <c r="X22" s="33">
        <v>5943</v>
      </c>
      <c r="Y22" s="33">
        <f>X22/W22</f>
        <v>0.12591101694915255</v>
      </c>
      <c r="Z22" s="33"/>
      <c r="AA22" s="33">
        <v>88365</v>
      </c>
      <c r="AB22" s="33">
        <v>6873</v>
      </c>
      <c r="AC22" s="33">
        <f>AB22/AA22</f>
        <v>7.7779663894075715E-2</v>
      </c>
      <c r="AD22" s="33"/>
      <c r="AE22" s="33"/>
      <c r="AF22" s="33">
        <v>98636</v>
      </c>
      <c r="AG22" s="33">
        <v>9594</v>
      </c>
      <c r="AH22" s="33">
        <f>AG22/AF22</f>
        <v>9.726671803398354E-2</v>
      </c>
    </row>
    <row r="23" spans="22:34" x14ac:dyDescent="0.2">
      <c r="V23" t="s">
        <v>124</v>
      </c>
      <c r="W23" s="33">
        <v>3877</v>
      </c>
      <c r="X23" s="33">
        <v>282</v>
      </c>
      <c r="Y23" s="33">
        <f>X23/W23</f>
        <v>7.2736652050554559E-2</v>
      </c>
      <c r="Z23" s="33"/>
      <c r="AA23" s="33">
        <v>9123</v>
      </c>
      <c r="AB23" s="33">
        <v>1243</v>
      </c>
      <c r="AC23" s="33">
        <f>AB23/AA23</f>
        <v>0.13624904088567358</v>
      </c>
      <c r="AD23" s="33"/>
      <c r="AE23" s="33"/>
      <c r="AF23" s="33">
        <v>12691</v>
      </c>
      <c r="AG23" s="33">
        <v>2458</v>
      </c>
      <c r="AH23" s="33">
        <f>AG23/AF23</f>
        <v>0.19368056102749981</v>
      </c>
    </row>
    <row r="24" spans="22:34" x14ac:dyDescent="0.2"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</row>
    <row r="25" spans="22:34" x14ac:dyDescent="0.2">
      <c r="W25" s="33">
        <f>SUM(W18:W23)</f>
        <v>211588</v>
      </c>
      <c r="X25" s="33"/>
      <c r="Y25" s="33"/>
      <c r="Z25" s="33"/>
      <c r="AA25" s="33">
        <f>SUM(AA18:AA23)</f>
        <v>311918</v>
      </c>
      <c r="AB25" s="33"/>
      <c r="AC25" s="33"/>
      <c r="AD25" s="33"/>
      <c r="AE25" s="33"/>
      <c r="AF25" s="33">
        <f>SUM(AF18:AF23)</f>
        <v>341503</v>
      </c>
      <c r="AG25" s="33"/>
      <c r="AH25" s="33"/>
    </row>
    <row r="26" spans="22:34" x14ac:dyDescent="0.2"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 spans="22:34" x14ac:dyDescent="0.2">
      <c r="V27" s="32" t="s">
        <v>127</v>
      </c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</row>
    <row r="28" spans="22:34" x14ac:dyDescent="0.2">
      <c r="V28" t="s">
        <v>119</v>
      </c>
      <c r="W28" s="33">
        <f>(W$4*W6+W$16*W18)/(W$4+W$16)</f>
        <v>128721.97630922693</v>
      </c>
      <c r="X28" s="33">
        <f>SQRT((X$4*X6^2+X$16*X18^2)/(X$4+X$16))</f>
        <v>4970.4051310815994</v>
      </c>
      <c r="Y28" s="33">
        <f>X28/W28</f>
        <v>3.8613492999371508E-2</v>
      </c>
      <c r="Z28" s="33"/>
      <c r="AA28" s="33">
        <f>(AA$4*AA6+AA$16*AA18)/(AA$4+AA$16)</f>
        <v>119463.21993670886</v>
      </c>
      <c r="AB28" s="33">
        <f>SQRT((AB$4*AB6^2+AB$16*AB18^2)/(AB$4+AB$16))</f>
        <v>6006.7736285006313</v>
      </c>
      <c r="AC28" s="33">
        <f>AB28/AA28</f>
        <v>5.0281363851426369E-2</v>
      </c>
      <c r="AD28" s="33"/>
      <c r="AE28" s="33"/>
      <c r="AF28" s="33">
        <f>(AF$4*AF6+AF$16*AF18)/(AF$4+AF$16)</f>
        <v>153368.46920821114</v>
      </c>
      <c r="AG28" s="33">
        <f>SQRT((AG$4*AG6^2+AG$16*AG18^2)/(AG$4+AG$16))</f>
        <v>9805.0553224769137</v>
      </c>
      <c r="AH28" s="33">
        <f>AG28/AF28</f>
        <v>6.3931363291927307E-2</v>
      </c>
    </row>
    <row r="29" spans="22:34" x14ac:dyDescent="0.2">
      <c r="V29" t="s">
        <v>121</v>
      </c>
      <c r="W29" s="33">
        <f>(W$4*W7+W$16*W19)/(W$4+W$16)</f>
        <v>8623.7032418952622</v>
      </c>
      <c r="X29" s="33">
        <f>SQRT((X$4*X7^2+X$16*X19^2)/(X$4+X$16))</f>
        <v>1664.5416164870906</v>
      </c>
      <c r="Y29" s="33">
        <f>X29/W29</f>
        <v>0.19301935256775699</v>
      </c>
      <c r="Z29" s="33"/>
      <c r="AA29" s="33">
        <f>(AA$4*AA7+AA$16*AA19)/(AA$4+AA$16)</f>
        <v>24560.770569620254</v>
      </c>
      <c r="AB29" s="33">
        <f>SQRT((AB$4*AB7^2+AB$16*AB19^2)/(AB$4+AB$16))</f>
        <v>3680.0638820043478</v>
      </c>
      <c r="AC29" s="33">
        <f>AB29/AA29</f>
        <v>0.14983503353743705</v>
      </c>
      <c r="AD29" s="33"/>
      <c r="AE29" s="33"/>
      <c r="AF29" s="33">
        <f>(AF$4*AF7+AF$16*AF19)/(AF$4+AF$16)</f>
        <v>7136.9853372434018</v>
      </c>
      <c r="AG29" s="33">
        <f>SQRT((AG$4*AG7^2+AG$16*AG19^2)/(AG$4+AG$16))</f>
        <v>4321.5614486940613</v>
      </c>
      <c r="AH29" s="33">
        <f>AG29/AF29</f>
        <v>0.60551636923542096</v>
      </c>
    </row>
    <row r="30" spans="22:34" x14ac:dyDescent="0.2"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</row>
    <row r="31" spans="22:34" x14ac:dyDescent="0.2">
      <c r="V31" t="s">
        <v>122</v>
      </c>
      <c r="W31" s="33">
        <f>(W$4*W9+W$16*W21)/(W$4+W$16)</f>
        <v>12931.781795511222</v>
      </c>
      <c r="X31" s="33">
        <f>SQRT((X$4*X9^2+X$16*X21^2)/(X$4+X$16))</f>
        <v>2006.9798087221639</v>
      </c>
      <c r="Y31" s="33">
        <f>X31/W31</f>
        <v>0.15519746934013462</v>
      </c>
      <c r="Z31" s="33"/>
      <c r="AA31" s="33">
        <f>(AA$4*AA9+AA$16*AA21)/(AA$4+AA$16)</f>
        <v>37007.973101265823</v>
      </c>
      <c r="AB31" s="33">
        <f>SQRT((AB$4*AB9^2+AB$16*AB21^2)/(AB$4+AB$16))</f>
        <v>4884.2326379919004</v>
      </c>
      <c r="AC31" s="33">
        <f>AB31/AA31</f>
        <v>0.13197784770938562</v>
      </c>
      <c r="AD31" s="33"/>
      <c r="AE31" s="33"/>
      <c r="AF31" s="33">
        <f>(AF$4*AF9+AF$16*AF21)/(AF$4+AF$16)</f>
        <v>39289.354838709674</v>
      </c>
      <c r="AG31" s="33">
        <f>SQRT((AG$4*AG9^2+AG$16*AG21^2)/(AG$4+AG$16))</f>
        <v>8305.6007277427179</v>
      </c>
      <c r="AH31" s="33">
        <f>AG31/AF31</f>
        <v>0.21139570150334103</v>
      </c>
    </row>
    <row r="32" spans="22:34" x14ac:dyDescent="0.2">
      <c r="V32" t="s">
        <v>123</v>
      </c>
      <c r="W32" s="33">
        <f>(W$4*W10+W$16*W22)/(W$4+W$16)</f>
        <v>43896.483790523693</v>
      </c>
      <c r="X32" s="33">
        <f>SQRT((X$4*X10^2+X$16*X22^2)/(X$4+X$16))</f>
        <v>4626.2586469606895</v>
      </c>
      <c r="Y32" s="33">
        <f>X32/W32</f>
        <v>0.10539018726505377</v>
      </c>
      <c r="Z32" s="33"/>
      <c r="AA32" s="33">
        <f>(AA$4*AA10+AA$16*AA22)/(AA$4+AA$16)</f>
        <v>78911.962025316461</v>
      </c>
      <c r="AB32" s="33">
        <f>SQRT((AB$4*AB10^2+AB$16*AB22^2)/(AB$4+AB$16))</f>
        <v>6227.8396298954422</v>
      </c>
      <c r="AC32" s="33">
        <f>AB32/AA32</f>
        <v>7.892136337831053E-2</v>
      </c>
      <c r="AD32" s="33"/>
      <c r="AE32" s="33"/>
      <c r="AF32" s="33">
        <f>(AF$4*AF10+AF$16*AF22)/(AF$4+AF$16)</f>
        <v>77901.343108504399</v>
      </c>
      <c r="AG32" s="33">
        <f>SQRT((AG$4*AG10^2+AG$16*AG22^2)/(AG$4+AG$16))</f>
        <v>8106.7006056519331</v>
      </c>
      <c r="AH32" s="33">
        <f>AG32/AF32</f>
        <v>0.10406368211598824</v>
      </c>
    </row>
    <row r="33" spans="22:38" x14ac:dyDescent="0.2">
      <c r="V33" t="s">
        <v>146</v>
      </c>
      <c r="W33" s="33">
        <f>(W$4*W11+W$16*W23)/(W$4+W$16)</f>
        <v>4283.2680798004985</v>
      </c>
      <c r="X33" s="33">
        <f>SQRT((X$4*X11^2+X$16*X23^2)/(X$4+X$16))</f>
        <v>393.97452985512098</v>
      </c>
      <c r="Y33" s="33">
        <f>X33/W33</f>
        <v>9.1979890708468362E-2</v>
      </c>
      <c r="Z33" s="33"/>
      <c r="AA33" s="33">
        <f>(AA$4*AA11+AA$16*AA23)/(AA$4+AA$16)</f>
        <v>7274.4778481012654</v>
      </c>
      <c r="AB33" s="33">
        <f>SQRT((AB$4*AB11^2+AB$16*AB23^2)/(AB$4+AB$16))</f>
        <v>941.65233092780704</v>
      </c>
      <c r="AC33" s="33">
        <f>AB33/AA33</f>
        <v>0.12944603730886206</v>
      </c>
      <c r="AD33" s="33"/>
      <c r="AE33" s="33"/>
      <c r="AF33" s="33">
        <f>(AF$4*AF11+AF$16*AF23)/(AF$4+AF$16)</f>
        <v>9397.9208211143687</v>
      </c>
      <c r="AG33" s="33">
        <f>SQRT((AG$4*AG11^2+AG$16*AG23^2)/(AG$4+AG$16))</f>
        <v>1866.9323231226767</v>
      </c>
      <c r="AH33" s="33">
        <f>AG33/AF33</f>
        <v>0.19865376168399163</v>
      </c>
    </row>
    <row r="34" spans="22:38" x14ac:dyDescent="0.2">
      <c r="V34" s="10"/>
    </row>
    <row r="35" spans="22:38" x14ac:dyDescent="0.2">
      <c r="V35" s="32" t="s">
        <v>152</v>
      </c>
    </row>
    <row r="36" spans="22:38" x14ac:dyDescent="0.2">
      <c r="V36" s="10" t="s">
        <v>118</v>
      </c>
    </row>
    <row r="38" spans="22:38" x14ac:dyDescent="0.2">
      <c r="V38" t="s">
        <v>119</v>
      </c>
      <c r="AA38" s="33">
        <f>(AA$4*AA6+W$16*W18)/(AA$4+AA$16)</f>
        <v>149448.30537974683</v>
      </c>
      <c r="AB38" s="25">
        <f>SQRT((AA$4*AB6^2+W$16*X18^2)/(AA$4+W$16))</f>
        <v>5272.6850344836848</v>
      </c>
      <c r="AC38" s="33">
        <f>AB38/AA38</f>
        <v>3.5280995800426367E-2</v>
      </c>
      <c r="AF38" s="33">
        <f>(AF$4*AF6+AA$16*AA18)/(AF$4+AF$16)</f>
        <v>213865.09677419355</v>
      </c>
      <c r="AG38" s="25">
        <f>SQRT((AF$4*AG6^2+AA$16*AB18^2)/(AF$4+AA$16))</f>
        <v>7677.3709922775997</v>
      </c>
      <c r="AH38" s="33">
        <f>AG38/AF38</f>
        <v>3.5898195208466599E-2</v>
      </c>
      <c r="AJ38" s="33">
        <f>AF18</f>
        <v>152910</v>
      </c>
      <c r="AK38" s="33">
        <f>AG18</f>
        <v>11142</v>
      </c>
      <c r="AL38" s="33">
        <f>AK38/AJ38</f>
        <v>7.2866391995291352E-2</v>
      </c>
    </row>
    <row r="39" spans="22:38" x14ac:dyDescent="0.2">
      <c r="V39" t="s">
        <v>121</v>
      </c>
      <c r="AA39" s="33">
        <f>(AA$4*AA7+W$16*W19)/(AA$4+AA$16)</f>
        <v>21048.332278481012</v>
      </c>
      <c r="AB39" s="25">
        <f>SQRT((AA$4*AB7^2+W$16*X19^2)/(AA$4+W$16))</f>
        <v>2428.8427046066467</v>
      </c>
      <c r="AC39" s="33">
        <f>AB39/AA39</f>
        <v>0.11539359377606369</v>
      </c>
      <c r="AF39" s="33">
        <f>(AF$4*AF7+AA$16*AA19)/(AF$4+AF$16)</f>
        <v>8380.463343108504</v>
      </c>
      <c r="AG39" s="25">
        <f>SQRT((AF$4*AG7^2+AA$16*AB19^2)/(AF$4+AA$16))</f>
        <v>2955.1131825660923</v>
      </c>
      <c r="AH39" s="33">
        <f>AG39/AF39</f>
        <v>0.35261930773746142</v>
      </c>
      <c r="AJ39" s="33">
        <f>AF19</f>
        <v>14892</v>
      </c>
      <c r="AK39" s="33">
        <f>AG19</f>
        <v>6326</v>
      </c>
      <c r="AL39" s="33">
        <f>AK39/AJ39</f>
        <v>0.42479183454203601</v>
      </c>
    </row>
    <row r="41" spans="22:38" x14ac:dyDescent="0.2">
      <c r="V41" t="s">
        <v>122</v>
      </c>
      <c r="AA41" s="33">
        <f>(AA$4*AA9+W$16*W21)/(AA$4+AA$16)</f>
        <v>21772.878164556962</v>
      </c>
      <c r="AB41" s="25">
        <f>SQRT((AA$4*AB9^2+W$16*X21^2)/(AA$4+W$16))</f>
        <v>2466.7885317162309</v>
      </c>
      <c r="AC41" s="33">
        <f>AB41/AA41</f>
        <v>0.11329639164250684</v>
      </c>
      <c r="AF41" s="33">
        <f>(AF$4*AF9+AA$16*AA21)/(AF$4+AF$16)</f>
        <v>53212.434017595311</v>
      </c>
      <c r="AG41" s="25">
        <f>SQRT((AF$4*AG9^2+AA$16*AB21^2)/(AF$4+AA$16))</f>
        <v>5997.5195690362289</v>
      </c>
      <c r="AH41" s="33">
        <f>AG41/AF41</f>
        <v>0.11270898765978417</v>
      </c>
      <c r="AJ41" s="33">
        <f t="shared" ref="AJ41:AK43" si="0">AF21</f>
        <v>62374</v>
      </c>
      <c r="AK41" s="33">
        <f t="shared" si="0"/>
        <v>10692</v>
      </c>
      <c r="AL41" s="33">
        <f>AK41/AJ41</f>
        <v>0.17141757783691922</v>
      </c>
    </row>
    <row r="42" spans="22:38" x14ac:dyDescent="0.2">
      <c r="V42" t="s">
        <v>123</v>
      </c>
      <c r="AA42" s="33">
        <f>(AA$4*AA10+W$16*W22)/(AA$4+AA$16)</f>
        <v>70562.887658227846</v>
      </c>
      <c r="AB42" s="25">
        <f>SQRT((AA$4*AB10^2+W$16*X22^2)/(AA$4+W$16))</f>
        <v>5802.4857363831779</v>
      </c>
      <c r="AC42" s="33">
        <f>AB42/AA42</f>
        <v>8.2231409866438343E-2</v>
      </c>
      <c r="AF42" s="33">
        <f>(AF$4*AF10+AA$16*AA22)/(AF$4+AF$16)</f>
        <v>107318.03225806452</v>
      </c>
      <c r="AG42" s="25">
        <f>SQRT((AF$4*AG10^2+AA$16*AB22^2)/(AF$4+AA$16))</f>
        <v>6745.3229291565167</v>
      </c>
      <c r="AH42" s="33">
        <f>AG42/AF42</f>
        <v>6.2853583756886613E-2</v>
      </c>
      <c r="AJ42" s="33">
        <f t="shared" si="0"/>
        <v>98636</v>
      </c>
      <c r="AK42" s="33">
        <f t="shared" si="0"/>
        <v>9594</v>
      </c>
      <c r="AL42" s="33">
        <f>AK42/AJ42</f>
        <v>9.726671803398354E-2</v>
      </c>
    </row>
    <row r="43" spans="22:38" x14ac:dyDescent="0.2">
      <c r="V43" t="s">
        <v>124</v>
      </c>
      <c r="AA43" s="33">
        <f>(AA$4*AA11+W$16*W23)/(AA$4+AA$16)</f>
        <v>5730.091772151899</v>
      </c>
      <c r="AB43" s="25">
        <f>SQRT((AA$4*AB11^2+W$16*X23^2)/(AA$4+W$16))</f>
        <v>433.16155211717273</v>
      </c>
      <c r="AC43" s="33">
        <f>AB43/AA43</f>
        <v>7.5594173591132852E-2</v>
      </c>
      <c r="AF43" s="33">
        <f>(AF$4*AF11+AA$16*AA23)/(AF$4+AF$16)</f>
        <v>11265.733137829911</v>
      </c>
      <c r="AG43" s="25">
        <f>SQRT((AF$4*AG11^2+AA$16*AB23^2)/(AF$4+AA$16))</f>
        <v>1196.8091482858572</v>
      </c>
      <c r="AH43" s="33">
        <f>AG43/AF43</f>
        <v>0.10623446638080009</v>
      </c>
      <c r="AJ43" s="33">
        <f t="shared" si="0"/>
        <v>12691</v>
      </c>
      <c r="AK43" s="33">
        <f t="shared" si="0"/>
        <v>2458</v>
      </c>
      <c r="AL43" s="33">
        <f>AK43/AJ43</f>
        <v>0.19368056102749981</v>
      </c>
    </row>
    <row r="46" spans="22:38" x14ac:dyDescent="0.2">
      <c r="V46" s="10" t="s">
        <v>145</v>
      </c>
    </row>
    <row r="47" spans="22:38" x14ac:dyDescent="0.2">
      <c r="W47" t="s">
        <v>117</v>
      </c>
      <c r="X47" s="36" t="s">
        <v>148</v>
      </c>
      <c r="AA47" t="s">
        <v>117</v>
      </c>
      <c r="AB47" s="36" t="s">
        <v>148</v>
      </c>
      <c r="AF47" t="s">
        <v>117</v>
      </c>
      <c r="AG47" s="36" t="s">
        <v>148</v>
      </c>
    </row>
    <row r="48" spans="22:38" x14ac:dyDescent="0.2">
      <c r="V48" s="32" t="s">
        <v>125</v>
      </c>
    </row>
    <row r="49" spans="22:34" x14ac:dyDescent="0.2">
      <c r="V49" s="10" t="s">
        <v>118</v>
      </c>
      <c r="W49" s="10">
        <v>369</v>
      </c>
      <c r="X49" s="10"/>
      <c r="Y49" s="10"/>
      <c r="Z49" s="10"/>
      <c r="AA49" s="10">
        <v>341</v>
      </c>
      <c r="AB49" s="10">
        <v>318</v>
      </c>
      <c r="AC49" s="10"/>
      <c r="AD49" s="10"/>
      <c r="AE49" s="10"/>
      <c r="AF49" s="10">
        <v>182</v>
      </c>
      <c r="AG49" s="10">
        <v>171</v>
      </c>
      <c r="AH49" s="10"/>
    </row>
    <row r="50" spans="22:34" x14ac:dyDescent="0.2">
      <c r="V50" s="10" t="s">
        <v>128</v>
      </c>
    </row>
    <row r="51" spans="22:34" x14ac:dyDescent="0.2">
      <c r="V51" t="s">
        <v>119</v>
      </c>
      <c r="W51" s="33">
        <v>106619</v>
      </c>
      <c r="X51" s="33">
        <f>W51*Y6</f>
        <v>4120</v>
      </c>
      <c r="Y51" s="33"/>
      <c r="Z51" s="33"/>
      <c r="AA51" s="33">
        <v>147558</v>
      </c>
      <c r="AB51" s="33">
        <f>AA51*AC6</f>
        <v>7959.5533337052948</v>
      </c>
      <c r="AC51" s="33"/>
      <c r="AD51" s="33"/>
      <c r="AE51" s="33"/>
      <c r="AF51" s="33">
        <v>153769</v>
      </c>
      <c r="AG51" s="33">
        <f>AF51*AH6</f>
        <v>8466</v>
      </c>
    </row>
    <row r="52" spans="22:34" x14ac:dyDescent="0.2">
      <c r="V52" t="s">
        <v>121</v>
      </c>
      <c r="W52" s="33">
        <v>17193</v>
      </c>
      <c r="X52" s="33">
        <f>W52*Y7</f>
        <v>2380</v>
      </c>
      <c r="Y52" s="33"/>
      <c r="Z52" s="33"/>
      <c r="AA52" s="33">
        <v>1321</v>
      </c>
      <c r="AB52" s="33">
        <f>AA52*AC7</f>
        <v>127.59558567487208</v>
      </c>
      <c r="AC52" s="33"/>
      <c r="AD52" s="33"/>
      <c r="AE52" s="33"/>
      <c r="AF52" s="33">
        <v>362</v>
      </c>
      <c r="AG52" s="33">
        <f>AF52*AH7</f>
        <v>175</v>
      </c>
    </row>
    <row r="53" spans="22:34" x14ac:dyDescent="0.2"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</row>
    <row r="54" spans="22:34" x14ac:dyDescent="0.2">
      <c r="V54" t="s">
        <v>122</v>
      </c>
      <c r="W54" s="33">
        <v>25798</v>
      </c>
      <c r="X54" s="33">
        <f>W54*Y9</f>
        <v>4081.0697931797745</v>
      </c>
      <c r="Y54" s="33"/>
      <c r="Z54" s="33"/>
      <c r="AA54" s="33">
        <v>29585</v>
      </c>
      <c r="AB54" s="33">
        <f>AA54*AC9</f>
        <v>3656.6380017980691</v>
      </c>
      <c r="AC54" s="33"/>
      <c r="AD54" s="33"/>
      <c r="AE54" s="33"/>
      <c r="AF54" s="33">
        <v>41353</v>
      </c>
      <c r="AG54" s="33">
        <f>AF54*AH9</f>
        <v>11721.224767283757</v>
      </c>
    </row>
    <row r="55" spans="22:34" x14ac:dyDescent="0.2">
      <c r="V55" t="s">
        <v>123</v>
      </c>
      <c r="W55" s="33">
        <v>23385</v>
      </c>
      <c r="X55" s="33">
        <f>W55*Y10</f>
        <v>1315.9175412293853</v>
      </c>
      <c r="Y55" s="33"/>
      <c r="Z55" s="33"/>
      <c r="AA55" s="33">
        <v>24788</v>
      </c>
      <c r="AB55" s="33">
        <f>AA55*AC10</f>
        <v>1966.0353165361</v>
      </c>
      <c r="AC55" s="33"/>
      <c r="AD55" s="33"/>
      <c r="AE55" s="33"/>
      <c r="AF55" s="33">
        <v>34369</v>
      </c>
      <c r="AG55" s="33">
        <f>AF55*AH10</f>
        <v>3757.2680348570761</v>
      </c>
    </row>
    <row r="56" spans="22:34" x14ac:dyDescent="0.2">
      <c r="V56" t="s">
        <v>124</v>
      </c>
      <c r="W56" s="33">
        <v>10054</v>
      </c>
      <c r="X56" s="33">
        <f>W56*Y11</f>
        <v>1043.4193277310926</v>
      </c>
      <c r="Y56" s="33"/>
      <c r="Z56" s="33"/>
      <c r="AA56" s="33">
        <v>8337</v>
      </c>
      <c r="AB56" s="33">
        <f>AA56*AC11</f>
        <v>834.13902053712479</v>
      </c>
      <c r="AC56" s="33"/>
      <c r="AD56" s="33"/>
      <c r="AE56" s="33"/>
      <c r="AF56" s="33">
        <v>9708</v>
      </c>
      <c r="AG56" s="33">
        <f>AF56*AH11</f>
        <v>1665.8874405765985</v>
      </c>
    </row>
    <row r="57" spans="22:34" x14ac:dyDescent="0.2"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</row>
    <row r="58" spans="22:34" x14ac:dyDescent="0.2">
      <c r="W58" s="33">
        <f>SUM(W51:W56)</f>
        <v>183049</v>
      </c>
      <c r="X58" s="33"/>
      <c r="Y58" s="33"/>
      <c r="Z58" s="33"/>
      <c r="AA58" s="33">
        <f>SUM(AA51:AA56)</f>
        <v>211589</v>
      </c>
      <c r="AB58" s="33"/>
      <c r="AC58" s="33"/>
      <c r="AD58" s="33"/>
      <c r="AE58" s="33"/>
      <c r="AF58" s="33">
        <f>SUM(AF51:AF56)</f>
        <v>239561</v>
      </c>
      <c r="AG58" s="33"/>
    </row>
    <row r="60" spans="22:34" x14ac:dyDescent="0.2">
      <c r="V60" s="32" t="s">
        <v>126</v>
      </c>
    </row>
    <row r="61" spans="22:34" x14ac:dyDescent="0.2">
      <c r="V61" s="10" t="s">
        <v>118</v>
      </c>
      <c r="W61" s="10">
        <v>433</v>
      </c>
      <c r="X61" s="10"/>
      <c r="Y61" s="10"/>
      <c r="Z61" s="10"/>
      <c r="AA61" s="10">
        <v>291</v>
      </c>
      <c r="AB61" s="10"/>
      <c r="AC61" s="10"/>
      <c r="AD61" s="10"/>
      <c r="AE61" s="10"/>
      <c r="AF61" s="10">
        <v>159</v>
      </c>
      <c r="AG61" s="10"/>
    </row>
    <row r="63" spans="22:34" x14ac:dyDescent="0.2">
      <c r="V63" t="s">
        <v>119</v>
      </c>
      <c r="W63" s="33">
        <v>89615</v>
      </c>
      <c r="X63" s="33">
        <f>W63*Y18</f>
        <v>3397.3509399693676</v>
      </c>
      <c r="Y63" s="33"/>
      <c r="Z63" s="33"/>
      <c r="AA63" s="33">
        <v>154440</v>
      </c>
      <c r="AB63" s="33">
        <f>AA63*AC18</f>
        <v>7140</v>
      </c>
      <c r="AC63" s="33"/>
      <c r="AD63" s="33"/>
      <c r="AE63" s="33"/>
      <c r="AF63" s="33">
        <v>152910</v>
      </c>
      <c r="AG63" s="33">
        <f>AF63*AH18</f>
        <v>11142</v>
      </c>
    </row>
    <row r="64" spans="22:34" x14ac:dyDescent="0.2">
      <c r="V64" t="s">
        <v>121</v>
      </c>
      <c r="W64" s="33">
        <v>37333</v>
      </c>
      <c r="X64" s="33">
        <f>W64*Y19</f>
        <v>15600.163512490537</v>
      </c>
      <c r="Y64" s="33"/>
      <c r="Z64" s="33"/>
      <c r="AA64" s="33">
        <v>9594</v>
      </c>
      <c r="AB64" s="33">
        <f>AA64*AC19</f>
        <v>3765</v>
      </c>
      <c r="AC64" s="33"/>
      <c r="AD64" s="33"/>
      <c r="AE64" s="33"/>
      <c r="AF64" s="33">
        <v>14892</v>
      </c>
      <c r="AG64" s="33">
        <f>AF64*AH19</f>
        <v>6326</v>
      </c>
    </row>
    <row r="65" spans="22:38" x14ac:dyDescent="0.2"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</row>
    <row r="66" spans="22:38" x14ac:dyDescent="0.2">
      <c r="V66" t="s">
        <v>122</v>
      </c>
      <c r="W66" s="33">
        <v>50560</v>
      </c>
      <c r="X66" s="33">
        <f>W66*Y21</f>
        <v>7532.7097661623102</v>
      </c>
      <c r="Y66" s="33"/>
      <c r="Z66" s="33"/>
      <c r="AA66" s="33">
        <v>82245</v>
      </c>
      <c r="AB66" s="33">
        <f>AA66*AC21</f>
        <v>10333.664179696802</v>
      </c>
      <c r="AC66" s="33"/>
      <c r="AD66" s="33"/>
      <c r="AE66" s="33"/>
      <c r="AF66" s="33">
        <v>102061</v>
      </c>
      <c r="AG66" s="33">
        <f>AF66*AH21</f>
        <v>17495.049411613811</v>
      </c>
    </row>
    <row r="67" spans="22:38" x14ac:dyDescent="0.2">
      <c r="V67" t="s">
        <v>123</v>
      </c>
      <c r="W67" s="33">
        <v>39987</v>
      </c>
      <c r="X67" s="33">
        <f>W67*Y22</f>
        <v>5034.8038347457632</v>
      </c>
      <c r="Y67" s="33"/>
      <c r="Z67" s="33"/>
      <c r="AA67" s="33">
        <v>50013</v>
      </c>
      <c r="AB67" s="33">
        <f>AA67*AC22</f>
        <v>3889.9943303344089</v>
      </c>
      <c r="AC67" s="33"/>
      <c r="AD67" s="33"/>
      <c r="AE67" s="33"/>
      <c r="AF67" s="33">
        <v>52594</v>
      </c>
      <c r="AG67" s="33">
        <f>AF67*AH22</f>
        <v>5115.6457682793307</v>
      </c>
    </row>
    <row r="68" spans="22:38" x14ac:dyDescent="0.2">
      <c r="V68" t="s">
        <v>124</v>
      </c>
      <c r="W68" s="33">
        <v>11578</v>
      </c>
      <c r="X68" s="33">
        <f>W68*Y23</f>
        <v>842.14495744132068</v>
      </c>
      <c r="Y68" s="33"/>
      <c r="Z68" s="33"/>
      <c r="AA68" s="33">
        <v>15626</v>
      </c>
      <c r="AB68" s="33">
        <f>AA68*AC23</f>
        <v>2129.0275128795352</v>
      </c>
      <c r="AC68" s="33"/>
      <c r="AD68" s="33"/>
      <c r="AE68" s="33"/>
      <c r="AF68" s="33">
        <v>19045</v>
      </c>
      <c r="AG68" s="33">
        <f>AF68*AH23</f>
        <v>3688.6462847687339</v>
      </c>
    </row>
    <row r="69" spans="22:38" x14ac:dyDescent="0.2"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</row>
    <row r="70" spans="22:38" x14ac:dyDescent="0.2">
      <c r="W70" s="33">
        <f>SUM(W63:W68)</f>
        <v>229073</v>
      </c>
      <c r="X70" s="33"/>
      <c r="Y70" s="33"/>
      <c r="Z70" s="33"/>
      <c r="AA70" s="33">
        <f>SUM(AA63:AA68)</f>
        <v>311918</v>
      </c>
      <c r="AB70" s="33"/>
      <c r="AC70" s="33"/>
      <c r="AD70" s="33"/>
      <c r="AE70" s="33"/>
      <c r="AF70" s="33">
        <f>SUM(AF63:AF68)</f>
        <v>341502</v>
      </c>
      <c r="AG70" s="33"/>
    </row>
    <row r="71" spans="22:38" x14ac:dyDescent="0.2"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</row>
    <row r="72" spans="22:38" x14ac:dyDescent="0.2">
      <c r="V72" s="32" t="s">
        <v>127</v>
      </c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</row>
    <row r="73" spans="22:38" x14ac:dyDescent="0.2">
      <c r="V73" t="s">
        <v>119</v>
      </c>
      <c r="W73" s="33">
        <f>(W$4*W51+W$16*W63)/(W$4+W$16)</f>
        <v>97438.536159601004</v>
      </c>
      <c r="X73" s="33">
        <f>W73*Y28</f>
        <v>3762.4422338677609</v>
      </c>
      <c r="Y73" s="33"/>
      <c r="Z73" s="33"/>
      <c r="AA73" s="33">
        <f>(AA$4*AA51+AA$16*AA63)/(AA$4+AA$16)</f>
        <v>150726.76898734178</v>
      </c>
      <c r="AB73" s="33">
        <f>AA73*AC28</f>
        <v>7578.7475136024204</v>
      </c>
      <c r="AC73" s="33"/>
      <c r="AD73" s="33"/>
      <c r="AE73" s="33"/>
      <c r="AF73" s="33">
        <f>(AF$4*AF51+AF$16*AF63)/(AF$4+AF$16)</f>
        <v>153368.46920821114</v>
      </c>
      <c r="AG73" s="33">
        <f>AF73*AH28</f>
        <v>9805.0553224769137</v>
      </c>
    </row>
    <row r="74" spans="22:38" x14ac:dyDescent="0.2">
      <c r="V74" t="s">
        <v>121</v>
      </c>
      <c r="W74" s="33">
        <f>(W$4*W52+W$16*W64)/(W$4+W$16)</f>
        <v>28066.591022443889</v>
      </c>
      <c r="X74" s="33">
        <f>W74*Y29</f>
        <v>5417.3952279361401</v>
      </c>
      <c r="Y74" s="33"/>
      <c r="Z74" s="33"/>
      <c r="AA74" s="33">
        <f>(AA$4*AA52+AA$16*AA64)/(AA$4+AA$16)</f>
        <v>5130.2452531645567</v>
      </c>
      <c r="AB74" s="33">
        <f>AA74*AC29</f>
        <v>768.69046956318857</v>
      </c>
      <c r="AC74" s="33"/>
      <c r="AD74" s="33"/>
      <c r="AE74" s="33"/>
      <c r="AF74" s="33">
        <f>(AF$4*AF52+AF$16*AF64)/(AF$4+AF$16)</f>
        <v>7136.9853372434018</v>
      </c>
      <c r="AG74" s="33">
        <f>AF74*AH29</f>
        <v>4321.5614486940613</v>
      </c>
    </row>
    <row r="75" spans="22:38" x14ac:dyDescent="0.2"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</row>
    <row r="76" spans="22:38" x14ac:dyDescent="0.2">
      <c r="V76" t="s">
        <v>122</v>
      </c>
      <c r="W76" s="33">
        <f>(W$4*W54+W$16*W66)/(W$4+W$16)</f>
        <v>39167.009975062341</v>
      </c>
      <c r="X76" s="33">
        <f>W76*Y31</f>
        <v>6078.6208297494841</v>
      </c>
      <c r="Y76" s="33"/>
      <c r="Z76" s="33"/>
      <c r="AA76" s="33">
        <f>(AA$4*AA54+AA$16*AA66)/(AA$4+AA$16)</f>
        <v>53831.930379746838</v>
      </c>
      <c r="AB76" s="33">
        <f>AA76*AC31</f>
        <v>7104.6223095604773</v>
      </c>
      <c r="AC76" s="33"/>
      <c r="AD76" s="33"/>
      <c r="AE76" s="33"/>
      <c r="AF76" s="33">
        <f>(AF$4*AF54+AF$16*AF66)/(AF$4+AF$16)</f>
        <v>69659.662756598234</v>
      </c>
      <c r="AG76" s="33">
        <f>AF76*AH31</f>
        <v>14725.753274917242</v>
      </c>
    </row>
    <row r="77" spans="22:38" x14ac:dyDescent="0.2">
      <c r="V77" t="s">
        <v>123</v>
      </c>
      <c r="W77" s="33">
        <f>(W$4*W55+W$16*W67)/(W$4+W$16)</f>
        <v>32348.423940149627</v>
      </c>
      <c r="X77" s="33">
        <f>W77*Y32</f>
        <v>3409.2064567817174</v>
      </c>
      <c r="Y77" s="33"/>
      <c r="Z77" s="33"/>
      <c r="AA77" s="33">
        <f>(AA$4*AA55+AA$16*AA67)/(AA$4+AA$16)</f>
        <v>36402.675632911392</v>
      </c>
      <c r="AB77" s="33">
        <f>AA77*AC32</f>
        <v>2872.9487915677701</v>
      </c>
      <c r="AC77" s="33"/>
      <c r="AD77" s="33"/>
      <c r="AE77" s="33"/>
      <c r="AF77" s="33">
        <f>(AF$4*AF55+AF$16*AF67)/(AF$4+AF$16)</f>
        <v>42866.873900293256</v>
      </c>
      <c r="AG77" s="33">
        <f>AF77*AH32</f>
        <v>4460.8847388662707</v>
      </c>
    </row>
    <row r="78" spans="22:38" x14ac:dyDescent="0.2">
      <c r="V78" t="s">
        <v>124</v>
      </c>
      <c r="W78" s="33">
        <f>(W$4*W56+W$16*W68)/(W$4+W$16)</f>
        <v>10876.807980049874</v>
      </c>
      <c r="X78" s="33">
        <f>W78*Y33</f>
        <v>1000.447609261984</v>
      </c>
      <c r="Y78" s="33"/>
      <c r="Z78" s="33"/>
      <c r="AA78" s="33">
        <f>(AA$4*AA56+AA$16*AA68)/(AA$4+AA$16)</f>
        <v>11693.169303797469</v>
      </c>
      <c r="AB78" s="33">
        <f>AA78*AC33</f>
        <v>1513.6344299582079</v>
      </c>
      <c r="AC78" s="33"/>
      <c r="AD78" s="33"/>
      <c r="AE78" s="33"/>
      <c r="AF78" s="33">
        <f>(AF$4*AF56+AF$16*AF68)/(AF$4+AF$16)</f>
        <v>14061.615835777126</v>
      </c>
      <c r="AG78" s="33">
        <f>AF78*AH33</f>
        <v>2793.3928811323117</v>
      </c>
    </row>
    <row r="79" spans="22:38" x14ac:dyDescent="0.2">
      <c r="V79" s="10"/>
    </row>
    <row r="80" spans="22:38" x14ac:dyDescent="0.2">
      <c r="V80" s="38" t="s">
        <v>152</v>
      </c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</row>
    <row r="81" spans="22:44" x14ac:dyDescent="0.2">
      <c r="V81" s="10" t="s">
        <v>118</v>
      </c>
    </row>
    <row r="82" spans="22:44" x14ac:dyDescent="0.2">
      <c r="W82" s="32" t="s">
        <v>156</v>
      </c>
      <c r="AA82" s="32" t="s">
        <v>157</v>
      </c>
      <c r="AF82" s="32" t="s">
        <v>158</v>
      </c>
      <c r="AK82" s="32" t="s">
        <v>159</v>
      </c>
      <c r="AP82" s="32" t="s">
        <v>160</v>
      </c>
    </row>
    <row r="83" spans="22:44" x14ac:dyDescent="0.2">
      <c r="V83" t="s">
        <v>119</v>
      </c>
      <c r="W83" s="33">
        <f>W51</f>
        <v>106619</v>
      </c>
      <c r="X83" s="33">
        <f>X51</f>
        <v>4120</v>
      </c>
      <c r="AA83" s="33">
        <f>(AA$49*AA51+W$61*W63)/(AA$49+AA$49)</f>
        <v>130675.32697947214</v>
      </c>
      <c r="AB83" s="33">
        <f>AA83*AC38</f>
        <v>4610.3556623820987</v>
      </c>
      <c r="AC83" s="33">
        <f>AB83/AA83</f>
        <v>3.5280995800426367E-2</v>
      </c>
      <c r="AD83" s="40">
        <f>(AA83-W83)/W83</f>
        <v>0.22562889334426456</v>
      </c>
      <c r="AF83" s="33">
        <f>(AF$49*AF51+AA$61*AA63)/(AF$49+AF$49)</f>
        <v>200351.64285714287</v>
      </c>
      <c r="AG83" s="33">
        <f>AF83*AH38</f>
        <v>7192.2623856226974</v>
      </c>
      <c r="AH83" s="33">
        <f>AG83/AF83</f>
        <v>3.5898195208466599E-2</v>
      </c>
      <c r="AI83" s="40">
        <f>(AF83-AA83)/AA83</f>
        <v>0.53320177181279382</v>
      </c>
      <c r="AK83" s="33">
        <f>AF63</f>
        <v>152910</v>
      </c>
      <c r="AL83" s="33">
        <f>AG63</f>
        <v>11142</v>
      </c>
      <c r="AM83" s="33">
        <f>AL83/AK83</f>
        <v>7.2866391995291352E-2</v>
      </c>
      <c r="AN83" s="40">
        <f>(AK83-AF83)/AF83</f>
        <v>-0.23679188341355542</v>
      </c>
      <c r="AP83" s="33">
        <f>(1+AR83)*AK83</f>
        <v>179518.31670546636</v>
      </c>
      <c r="AQ83" s="25">
        <f>AVERAGE(AC83,AH83,AM83)*AP83</f>
        <v>8619.6068632562346</v>
      </c>
      <c r="AR83" s="41">
        <f>AVERAGE(AD83,AI83,AN83)</f>
        <v>0.17401292724783435</v>
      </c>
    </row>
    <row r="84" spans="22:44" x14ac:dyDescent="0.2">
      <c r="V84" t="s">
        <v>121</v>
      </c>
      <c r="W84" s="33">
        <f>W52</f>
        <v>17193</v>
      </c>
      <c r="X84" s="33">
        <f>X52</f>
        <v>2380</v>
      </c>
      <c r="AA84" s="33">
        <f>(AA$49*AA52+W$61*W64)/(AA$49+AA$49)</f>
        <v>24363.123167155427</v>
      </c>
      <c r="AB84" s="33">
        <f>AA84*AC39</f>
        <v>2811.3483378669393</v>
      </c>
      <c r="AC84" s="33">
        <f>AB84/AA84</f>
        <v>0.11539359377606367</v>
      </c>
      <c r="AD84" s="40">
        <f>(AA84-W84)/W84</f>
        <v>0.41703735050051921</v>
      </c>
      <c r="AF84" s="33">
        <f>(AF$49*AF52+AA$61*AA64)/(AF$49+AF$49)</f>
        <v>7850.9285714285716</v>
      </c>
      <c r="AG84" s="33">
        <f>AF84*AH39</f>
        <v>2768.3889979533997</v>
      </c>
      <c r="AH84" s="33">
        <f>AG84/AF84</f>
        <v>0.35261930773746142</v>
      </c>
      <c r="AI84" s="40">
        <f>(AF84-AA84)/AA84</f>
        <v>-0.67775360664708961</v>
      </c>
      <c r="AK84" s="33">
        <f>AF64</f>
        <v>14892</v>
      </c>
      <c r="AL84" s="33">
        <f>AG64</f>
        <v>6326</v>
      </c>
      <c r="AM84" s="33">
        <f>AL84/AK84</f>
        <v>0.42479183454203601</v>
      </c>
      <c r="AN84" s="40">
        <f>(AK84-AF84)/AF84</f>
        <v>0.89684568704338885</v>
      </c>
      <c r="AP84" s="33">
        <f>(1+AR84)*AK84</f>
        <v>18049.746494971805</v>
      </c>
      <c r="AQ84" s="25">
        <f>AVERAGE(AC84,AH84,AM84)*AP84</f>
        <v>5371.6330517710312</v>
      </c>
      <c r="AR84" s="41">
        <f>AVERAGE(AD84,AI84,AN84)</f>
        <v>0.21204314363227281</v>
      </c>
    </row>
    <row r="85" spans="22:44" x14ac:dyDescent="0.2">
      <c r="AI85" s="40"/>
      <c r="AN85" s="40"/>
    </row>
    <row r="86" spans="22:44" x14ac:dyDescent="0.2">
      <c r="V86" t="s">
        <v>122</v>
      </c>
      <c r="W86" s="33">
        <f t="shared" ref="W86:X88" si="1">W54</f>
        <v>25798</v>
      </c>
      <c r="X86" s="33">
        <f t="shared" si="1"/>
        <v>4081.0697931797745</v>
      </c>
      <c r="AA86" s="33">
        <f>(AA$49*AA54+W$61*W66)/(AA$49+AA$49)</f>
        <v>46892.910557184754</v>
      </c>
      <c r="AB86" s="33">
        <f t="shared" ref="AB86:AB88" si="2">AA86*AC41</f>
        <v>5312.7975597438472</v>
      </c>
      <c r="AC86" s="33">
        <f>AB86/AA86</f>
        <v>0.11329639164250684</v>
      </c>
      <c r="AD86" s="40">
        <f>(AA86-W86)/W86</f>
        <v>0.81769557939316051</v>
      </c>
      <c r="AF86" s="33">
        <f>(AF$49*AF54+AA$61*AA66)/(AF$49+AF$49)</f>
        <v>86427.310439560446</v>
      </c>
      <c r="AG86" s="33">
        <f t="shared" ref="AG86:AG88" si="3">AF86*AH41</f>
        <v>9741.1346658007533</v>
      </c>
      <c r="AH86" s="33">
        <f>AG86/AF86</f>
        <v>0.11270898765978417</v>
      </c>
      <c r="AI86" s="40">
        <f>(AF86-AA86)/AA86</f>
        <v>0.84307839740859036</v>
      </c>
      <c r="AK86" s="33">
        <f t="shared" ref="AK86:AL88" si="4">AF66</f>
        <v>102061</v>
      </c>
      <c r="AL86" s="33">
        <f t="shared" si="4"/>
        <v>17495.049411613811</v>
      </c>
      <c r="AM86" s="33">
        <f>AL86/AK86</f>
        <v>0.17141757783691919</v>
      </c>
      <c r="AN86" s="40">
        <f>(AK86-AF86)/AF86</f>
        <v>0.18088830348796245</v>
      </c>
      <c r="AP86" s="33">
        <f>(1+AR86)*AK86</f>
        <v>120522.64114228493</v>
      </c>
      <c r="AQ86" s="25">
        <f>AVERAGE(AC86,AH86,AM86)*AP86</f>
        <v>15966.154814998237</v>
      </c>
      <c r="AR86" s="41">
        <f>MIN(AD86,AI86,AN86)</f>
        <v>0.18088830348796245</v>
      </c>
    </row>
    <row r="87" spans="22:44" x14ac:dyDescent="0.2">
      <c r="V87" t="s">
        <v>123</v>
      </c>
      <c r="W87" s="33">
        <f t="shared" si="1"/>
        <v>23385</v>
      </c>
      <c r="X87" s="33">
        <f t="shared" si="1"/>
        <v>1315.9175412293853</v>
      </c>
      <c r="AA87" s="33">
        <f>(AA$49*AA55+W$61*W67)/(AA$49+AA$49)</f>
        <v>37781.640762463343</v>
      </c>
      <c r="AB87" s="33">
        <f t="shared" si="2"/>
        <v>3106.837586964657</v>
      </c>
      <c r="AC87" s="33">
        <f>AB87/AA87</f>
        <v>8.2231409866438343E-2</v>
      </c>
      <c r="AD87" s="40">
        <f>(AA87-W87)/W87</f>
        <v>0.61563569649191119</v>
      </c>
      <c r="AF87" s="33">
        <f>(AF$49*AF55+AA$61*AA67)/(AF$49+AF$49)</f>
        <v>57167.420329670327</v>
      </c>
      <c r="AG87" s="33">
        <f t="shared" si="3"/>
        <v>3593.1772418560763</v>
      </c>
      <c r="AH87" s="33">
        <f>AG87/AF87</f>
        <v>6.2853583756886613E-2</v>
      </c>
      <c r="AI87" s="40">
        <f>(AF87-AA87)/AA87</f>
        <v>0.51310052120518446</v>
      </c>
      <c r="AK87" s="33">
        <f t="shared" si="4"/>
        <v>52594</v>
      </c>
      <c r="AL87" s="33">
        <f t="shared" si="4"/>
        <v>5115.6457682793307</v>
      </c>
      <c r="AM87" s="33">
        <f>AL87/AK87</f>
        <v>9.7266718033983554E-2</v>
      </c>
      <c r="AN87" s="40">
        <f>(AK87-AF87)/AF87</f>
        <v>-8.0000467106903672E-2</v>
      </c>
      <c r="AP87" s="33">
        <f>(1+AR87)*AK87</f>
        <v>48386.455432979506</v>
      </c>
      <c r="AQ87" s="25">
        <f>AVERAGE(AC87,AH87,AM87)*AP87</f>
        <v>3908.8467650708862</v>
      </c>
      <c r="AR87" s="41">
        <f>MIN(AD87,AI87,AN87)</f>
        <v>-8.0000467106903672E-2</v>
      </c>
    </row>
    <row r="88" spans="22:44" x14ac:dyDescent="0.2">
      <c r="V88" t="s">
        <v>146</v>
      </c>
      <c r="W88" s="33">
        <f t="shared" si="1"/>
        <v>10054</v>
      </c>
      <c r="X88" s="33">
        <f t="shared" si="1"/>
        <v>1043.4193277310926</v>
      </c>
      <c r="AA88" s="33">
        <f>(AA$49*AA56+W$61*W68)/(AA$49+AA$49)</f>
        <v>11519.341642228739</v>
      </c>
      <c r="AB88" s="33">
        <f t="shared" si="2"/>
        <v>870.79511175820471</v>
      </c>
      <c r="AC88" s="33">
        <f>AB88/AA88</f>
        <v>7.5594173591132852E-2</v>
      </c>
      <c r="AD88" s="40">
        <f>(AA88-W88)/W88</f>
        <v>0.14574712972237311</v>
      </c>
      <c r="AF88" s="33">
        <f>(AF$49*AF56+AA$61*AA68)/(AF$49+AF$49)</f>
        <v>17346.214285714286</v>
      </c>
      <c r="AG88" s="33">
        <f t="shared" si="3"/>
        <v>1842.7658183698686</v>
      </c>
      <c r="AH88" s="33">
        <f>AG88/AF88</f>
        <v>0.10623446638080009</v>
      </c>
      <c r="AI88" s="40">
        <f>(AF88-AA88)/AA88</f>
        <v>0.50583382492319029</v>
      </c>
      <c r="AK88" s="33">
        <f t="shared" si="4"/>
        <v>19045</v>
      </c>
      <c r="AL88" s="33">
        <f t="shared" si="4"/>
        <v>3688.6462847687339</v>
      </c>
      <c r="AM88" s="33">
        <f>AL88/AK88</f>
        <v>0.19368056102749981</v>
      </c>
      <c r="AN88" s="40">
        <f>(AK88-AF88)/AF88</f>
        <v>9.7934090188472545E-2</v>
      </c>
      <c r="AP88" s="33">
        <f>(1+AR88)*AK88</f>
        <v>20910.154747639463</v>
      </c>
      <c r="AQ88" s="25">
        <f>AVERAGE(AC88,AH88,AM88)*AP88</f>
        <v>2617.318500686863</v>
      </c>
      <c r="AR88" s="41">
        <f>MIN(AD88,AI88,AN88)</f>
        <v>9.7934090188472545E-2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C0F6-7D2D-45DB-AE52-48870039C84B}">
  <dimension ref="A1:C14"/>
  <sheetViews>
    <sheetView workbookViewId="0">
      <selection activeCell="C4" sqref="C4"/>
    </sheetView>
  </sheetViews>
  <sheetFormatPr baseColWidth="10" defaultColWidth="8.83203125" defaultRowHeight="15" x14ac:dyDescent="0.2"/>
  <cols>
    <col min="2" max="2" width="14.5" customWidth="1"/>
    <col min="3" max="3" width="11.5" customWidth="1"/>
  </cols>
  <sheetData>
    <row r="1" spans="1:3" x14ac:dyDescent="0.2">
      <c r="A1" t="s">
        <v>162</v>
      </c>
      <c r="C1" s="43" t="s">
        <v>163</v>
      </c>
    </row>
    <row r="3" spans="1:3" ht="16" x14ac:dyDescent="0.2">
      <c r="A3" s="44" t="s">
        <v>142</v>
      </c>
      <c r="B3" s="44" t="s">
        <v>164</v>
      </c>
      <c r="C3" t="s">
        <v>165</v>
      </c>
    </row>
    <row r="4" spans="1:3" x14ac:dyDescent="0.2">
      <c r="A4" s="45">
        <v>2012</v>
      </c>
      <c r="B4" s="46">
        <v>414.92399999999998</v>
      </c>
      <c r="C4" s="47">
        <f>B$14/B4</f>
        <v>1.3172376145993001</v>
      </c>
    </row>
    <row r="5" spans="1:3" x14ac:dyDescent="0.2">
      <c r="A5" s="45">
        <v>2013</v>
      </c>
      <c r="B5" s="46">
        <v>425.13400000000001</v>
      </c>
      <c r="C5" s="47">
        <f t="shared" ref="C5:C14" si="0">B$14/B5</f>
        <v>1.2856028922645566</v>
      </c>
    </row>
    <row r="6" spans="1:3" x14ac:dyDescent="0.2">
      <c r="A6" s="45">
        <v>2014</v>
      </c>
      <c r="B6" s="46">
        <v>435.29199999999997</v>
      </c>
      <c r="C6" s="47">
        <f t="shared" si="0"/>
        <v>1.2556019867123678</v>
      </c>
    </row>
    <row r="7" spans="1:3" x14ac:dyDescent="0.2">
      <c r="A7" s="45">
        <v>2015</v>
      </c>
      <c r="B7" s="46">
        <v>446.75200000000001</v>
      </c>
      <c r="C7" s="47">
        <f t="shared" si="0"/>
        <v>1.2233935158656255</v>
      </c>
    </row>
    <row r="8" spans="1:3" x14ac:dyDescent="0.2">
      <c r="A8" s="45">
        <v>2016</v>
      </c>
      <c r="B8" s="46">
        <v>463.67500000000001</v>
      </c>
      <c r="C8" s="47">
        <f t="shared" si="0"/>
        <v>1.178742653798458</v>
      </c>
    </row>
    <row r="9" spans="1:3" x14ac:dyDescent="0.2">
      <c r="A9" s="45">
        <v>2017</v>
      </c>
      <c r="B9" s="46">
        <v>475.322</v>
      </c>
      <c r="C9" s="47">
        <f t="shared" si="0"/>
        <v>1.1498594636898776</v>
      </c>
    </row>
    <row r="10" spans="1:3" x14ac:dyDescent="0.2">
      <c r="A10" s="45">
        <v>2018</v>
      </c>
      <c r="B10" s="46">
        <v>484.70699999999999</v>
      </c>
      <c r="C10" s="47">
        <f t="shared" si="0"/>
        <v>1.1275956402527711</v>
      </c>
    </row>
    <row r="11" spans="1:3" x14ac:dyDescent="0.2">
      <c r="A11" s="45">
        <v>2019</v>
      </c>
      <c r="B11" s="46">
        <v>498.41300000000001</v>
      </c>
      <c r="C11" s="47">
        <f t="shared" si="0"/>
        <v>1.0965875689438276</v>
      </c>
    </row>
    <row r="12" spans="1:3" x14ac:dyDescent="0.2">
      <c r="A12" s="45">
        <v>2020</v>
      </c>
      <c r="B12" s="46">
        <v>518.87599999999998</v>
      </c>
      <c r="C12" s="47">
        <f t="shared" si="0"/>
        <v>1.0533412607251058</v>
      </c>
    </row>
    <row r="13" spans="1:3" x14ac:dyDescent="0.2">
      <c r="A13" s="45">
        <v>2021</v>
      </c>
      <c r="B13" s="46">
        <v>525.27599999999995</v>
      </c>
      <c r="C13" s="47">
        <f t="shared" si="0"/>
        <v>1.0405072761748111</v>
      </c>
    </row>
    <row r="14" spans="1:3" x14ac:dyDescent="0.2">
      <c r="A14" s="45">
        <v>2022</v>
      </c>
      <c r="B14" s="46">
        <f>(540.573+552.534)/2</f>
        <v>546.55349999999999</v>
      </c>
      <c r="C14" s="47">
        <f t="shared" si="0"/>
        <v>1</v>
      </c>
    </row>
  </sheetData>
  <hyperlinks>
    <hyperlink ref="C1" r:id="rId1" xr:uid="{F71B9ABC-180C-4C44-89A2-7BBE7D9BE4BD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20291D-0127-442F-B7C6-E302328591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CompilationWithYearVariation</vt:lpstr>
      <vt:lpstr>Jagannath_2022_Line5+</vt:lpstr>
      <vt:lpstr>Bhattacharya_2021</vt:lpstr>
      <vt:lpstr>Roy_2015</vt:lpstr>
      <vt:lpstr>Fiala_2020</vt:lpstr>
      <vt:lpstr>Fonseca_2021</vt:lpstr>
      <vt:lpstr>CPI-adjuster</vt:lpstr>
      <vt:lpstr>TBL_CPI_Convert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Flottemesch, Thomas</dc:creator>
  <cp:lastModifiedBy>Diaz, Oliver</cp:lastModifiedBy>
  <cp:lastPrinted>2023-09-19T20:47:31Z</cp:lastPrinted>
  <dcterms:created xsi:type="dcterms:W3CDTF">2023-09-11T16:10:17Z</dcterms:created>
  <dcterms:modified xsi:type="dcterms:W3CDTF">2023-10-03T16:41:29Z</dcterms:modified>
</cp:coreProperties>
</file>