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40984.FHOOE\Desktop\TESTEval\FIN\"/>
    </mc:Choice>
  </mc:AlternateContent>
  <bookViews>
    <workbookView xWindow="0" yWindow="0" windowWidth="28800" windowHeight="13785" activeTab="1"/>
  </bookViews>
  <sheets>
    <sheet name="Comparison Sheet" sheetId="1" r:id="rId1"/>
    <sheet name="Comparison of Medians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3" l="1"/>
  <c r="B128" i="3"/>
  <c r="C127" i="3"/>
  <c r="B127" i="3"/>
  <c r="C126" i="3"/>
  <c r="B126" i="3"/>
  <c r="N124" i="3"/>
  <c r="M124" i="3"/>
  <c r="N123" i="3"/>
  <c r="M123" i="3"/>
  <c r="N122" i="3"/>
  <c r="M122" i="3"/>
  <c r="R121" i="3"/>
  <c r="Q121" i="3"/>
  <c r="N121" i="3"/>
  <c r="M121" i="3"/>
  <c r="N120" i="3"/>
  <c r="M120" i="3"/>
  <c r="R119" i="3"/>
  <c r="Q119" i="3"/>
  <c r="N119" i="3"/>
  <c r="M119" i="3"/>
  <c r="R118" i="3"/>
  <c r="Q118" i="3"/>
  <c r="Q111" i="3" s="1"/>
  <c r="N118" i="3"/>
  <c r="N117" i="3" s="1"/>
  <c r="M118" i="3"/>
  <c r="M117" i="3" s="1"/>
  <c r="F118" i="3"/>
  <c r="R117" i="3"/>
  <c r="Q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D110" i="3"/>
  <c r="C110" i="3"/>
  <c r="B110" i="3"/>
  <c r="A110" i="3"/>
  <c r="N109" i="3"/>
  <c r="M109" i="3"/>
  <c r="D109" i="3"/>
  <c r="C109" i="3"/>
  <c r="B109" i="3"/>
  <c r="A109" i="3"/>
  <c r="V108" i="3"/>
  <c r="U108" i="3"/>
  <c r="R108" i="3"/>
  <c r="Q108" i="3"/>
  <c r="N108" i="3"/>
  <c r="M108" i="3"/>
  <c r="M108" i="1"/>
  <c r="N108" i="1"/>
  <c r="Q108" i="1"/>
  <c r="R108" i="1"/>
  <c r="U108" i="1"/>
  <c r="V108" i="1"/>
  <c r="M109" i="1"/>
  <c r="N109" i="1"/>
  <c r="N125" i="3"/>
  <c r="B129" i="3"/>
  <c r="U109" i="3"/>
  <c r="C129" i="3"/>
  <c r="U110" i="3"/>
  <c r="U116" i="3"/>
  <c r="U117" i="3"/>
  <c r="V116" i="3"/>
  <c r="M125" i="3"/>
  <c r="V110" i="3"/>
  <c r="N126" i="3"/>
  <c r="V109" i="1"/>
  <c r="V117" i="3"/>
  <c r="M126" i="3"/>
  <c r="U109" i="1"/>
  <c r="V109" i="3"/>
  <c r="D111" i="3" l="1"/>
  <c r="B115" i="3" s="1"/>
  <c r="B116" i="3" s="1"/>
  <c r="R111" i="3"/>
  <c r="R120" i="3" a="1"/>
  <c r="R120" i="3" s="1"/>
  <c r="R113" i="3" s="1"/>
  <c r="Q112" i="3"/>
  <c r="Q116" i="3" a="1"/>
  <c r="Q116" i="3" s="1"/>
  <c r="Q110" i="3" s="1"/>
  <c r="D115" i="3"/>
  <c r="F115" i="3" s="1"/>
  <c r="B134" i="3"/>
  <c r="V119" i="3"/>
  <c r="V112" i="3"/>
  <c r="U112" i="3"/>
  <c r="U119" i="3"/>
  <c r="C130" i="3"/>
  <c r="B130" i="3"/>
  <c r="Q120" i="3" a="1"/>
  <c r="Q120" i="3" s="1"/>
  <c r="Q113" i="3" s="1"/>
  <c r="R112" i="3"/>
  <c r="D120" i="3"/>
  <c r="B120" i="3"/>
  <c r="B121" i="3" s="1"/>
  <c r="R116" i="3" a="1"/>
  <c r="R116" i="3" s="1"/>
  <c r="M110" i="1"/>
  <c r="N110" i="1"/>
  <c r="U110" i="1"/>
  <c r="V110" i="1"/>
  <c r="B135" i="3"/>
  <c r="F120" i="3"/>
  <c r="C115" i="3" l="1"/>
  <c r="E115" i="3" s="1"/>
  <c r="I115" i="3" s="1"/>
  <c r="E111" i="3"/>
  <c r="D116" i="3"/>
  <c r="F116" i="3" s="1"/>
  <c r="H116" i="3" s="1"/>
  <c r="B133" i="3"/>
  <c r="B136" i="3" s="1"/>
  <c r="Q123" i="3"/>
  <c r="R109" i="3" s="1"/>
  <c r="C116" i="3"/>
  <c r="J115" i="3"/>
  <c r="J116" i="3" s="1"/>
  <c r="C120" i="3"/>
  <c r="R110" i="3"/>
  <c r="D121" i="3"/>
  <c r="M111" i="1"/>
  <c r="N111" i="1"/>
  <c r="M112" i="1"/>
  <c r="N112" i="1"/>
  <c r="U112" i="1"/>
  <c r="V112" i="1"/>
  <c r="M113" i="1"/>
  <c r="N113" i="1"/>
  <c r="M114" i="1"/>
  <c r="N114" i="1"/>
  <c r="M115" i="1"/>
  <c r="N115" i="1"/>
  <c r="M116" i="1"/>
  <c r="N116" i="1"/>
  <c r="B139" i="3"/>
  <c r="F121" i="3"/>
  <c r="V116" i="1"/>
  <c r="E120" i="3"/>
  <c r="U116" i="1"/>
  <c r="E116" i="3" l="1"/>
  <c r="I116" i="3" s="1"/>
  <c r="Q114" i="3"/>
  <c r="G116" i="3"/>
  <c r="C139" i="3"/>
  <c r="Q109" i="3"/>
  <c r="R114" i="3"/>
  <c r="H121" i="3"/>
  <c r="G121" i="3"/>
  <c r="I120" i="3"/>
  <c r="B137" i="3"/>
  <c r="B138" i="3"/>
  <c r="C138" i="3" s="1"/>
  <c r="C121" i="3"/>
  <c r="J120" i="3"/>
  <c r="J121" i="3" s="1"/>
  <c r="Q117" i="1"/>
  <c r="R117" i="1"/>
  <c r="V117" i="1"/>
  <c r="U117" i="1"/>
  <c r="E121" i="3"/>
  <c r="I121" i="3" l="1"/>
  <c r="M118" i="1"/>
  <c r="N118" i="1"/>
  <c r="Q118" i="1"/>
  <c r="Q111" i="1" s="1"/>
  <c r="R118" i="1"/>
  <c r="R111" i="1" s="1"/>
  <c r="M119" i="1"/>
  <c r="N119" i="1"/>
  <c r="Q119" i="1"/>
  <c r="R119" i="1"/>
  <c r="U119" i="1"/>
  <c r="V119" i="1"/>
  <c r="M120" i="1"/>
  <c r="N120" i="1"/>
  <c r="M121" i="1"/>
  <c r="N121" i="1"/>
  <c r="Q121" i="1"/>
  <c r="R121" i="1"/>
  <c r="M122" i="1"/>
  <c r="N122" i="1"/>
  <c r="M123" i="1"/>
  <c r="N123" i="1"/>
  <c r="M124" i="1"/>
  <c r="N124" i="1"/>
  <c r="M125" i="1"/>
  <c r="M126" i="1"/>
  <c r="N125" i="1"/>
  <c r="N126" i="1"/>
  <c r="Q112" i="1" l="1"/>
  <c r="Q116" i="1" a="1"/>
  <c r="Q116" i="1" s="1"/>
  <c r="Q110" i="1" s="1"/>
  <c r="R112" i="1"/>
  <c r="N117" i="1"/>
  <c r="R116" i="1" a="1"/>
  <c r="R116" i="1" s="1"/>
  <c r="R120" i="1" a="1"/>
  <c r="R120" i="1" s="1"/>
  <c r="R113" i="1" s="1"/>
  <c r="Q120" i="1" a="1"/>
  <c r="Q120" i="1" s="1"/>
  <c r="Q113" i="1" s="1"/>
  <c r="M117" i="1"/>
  <c r="C128" i="1"/>
  <c r="B128" i="1"/>
  <c r="C127" i="1"/>
  <c r="B127" i="1"/>
  <c r="B134" i="1" s="1"/>
  <c r="C126" i="1"/>
  <c r="B126" i="1"/>
  <c r="F118" i="1"/>
  <c r="D110" i="1"/>
  <c r="C110" i="1"/>
  <c r="B110" i="1"/>
  <c r="D109" i="1"/>
  <c r="C109" i="1"/>
  <c r="B109" i="1"/>
  <c r="A110" i="1"/>
  <c r="A109" i="1"/>
  <c r="B135" i="1"/>
  <c r="C129" i="1"/>
  <c r="B129" i="1"/>
  <c r="D115" i="1" l="1"/>
  <c r="D116" i="1" s="1"/>
  <c r="F116" i="1" s="1"/>
  <c r="Q123" i="1"/>
  <c r="R114" i="1" s="1"/>
  <c r="B120" i="1"/>
  <c r="C120" i="1" s="1"/>
  <c r="B121" i="1"/>
  <c r="B130" i="1"/>
  <c r="D111" i="1"/>
  <c r="Q109" i="1"/>
  <c r="F115" i="1"/>
  <c r="C130" i="1"/>
  <c r="R109" i="1"/>
  <c r="R110" i="1"/>
  <c r="D120" i="1"/>
  <c r="E120" i="1"/>
  <c r="F120" i="1"/>
  <c r="Q114" i="1" l="1"/>
  <c r="B133" i="1"/>
  <c r="I120" i="1"/>
  <c r="B136" i="1"/>
  <c r="J120" i="1"/>
  <c r="J121" i="1" s="1"/>
  <c r="C121" i="1"/>
  <c r="D121" i="1"/>
  <c r="E111" i="1"/>
  <c r="B115" i="1"/>
  <c r="B139" i="1"/>
  <c r="E121" i="1"/>
  <c r="F121" i="1"/>
  <c r="C139" i="1" l="1"/>
  <c r="H121" i="1"/>
  <c r="G121" i="1"/>
  <c r="I121" i="1"/>
  <c r="B138" i="1"/>
  <c r="C138" i="1" s="1"/>
  <c r="B137" i="1"/>
  <c r="B116" i="1"/>
  <c r="C115" i="1"/>
  <c r="C116" i="1" l="1"/>
  <c r="E116" i="1" s="1"/>
  <c r="I116" i="1" s="1"/>
  <c r="E115" i="1"/>
  <c r="I115" i="1" s="1"/>
  <c r="J115" i="1"/>
  <c r="J116" i="1" s="1"/>
  <c r="G116" i="1"/>
  <c r="H116" i="1"/>
</calcChain>
</file>

<file path=xl/sharedStrings.xml><?xml version="1.0" encoding="utf-8"?>
<sst xmlns="http://schemas.openxmlformats.org/spreadsheetml/2006/main" count="217" uniqueCount="85">
  <si>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</si>
  <si>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</si>
  <si>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</si>
  <si>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</si>
  <si>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</si>
  <si>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</si>
  <si>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</si>
  <si>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</si>
  <si>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</si>
  <si>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</si>
  <si>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</si>
  <si>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</si>
  <si>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Sum</t>
  </si>
  <si>
    <t>Count</t>
  </si>
  <si>
    <t>Geometric Mean</t>
  </si>
  <si>
    <t>Harmonic Mean</t>
  </si>
  <si>
    <t>AAD</t>
  </si>
  <si>
    <t>MAD</t>
  </si>
  <si>
    <t>IQR</t>
  </si>
  <si>
    <t>Multiplier</t>
  </si>
  <si>
    <t>Grand Min</t>
  </si>
  <si>
    <t>Outliers</t>
  </si>
  <si>
    <t>Min</t>
  </si>
  <si>
    <t>Q1</t>
  </si>
  <si>
    <t>Q3</t>
  </si>
  <si>
    <t>Max</t>
  </si>
  <si>
    <t>Q1-Min</t>
  </si>
  <si>
    <t>Med-Q1</t>
  </si>
  <si>
    <t>Q3-Med</t>
  </si>
  <si>
    <t>Max-Q3</t>
  </si>
  <si>
    <t>None</t>
  </si>
  <si>
    <t>Shapiro-Wilk Test</t>
  </si>
  <si>
    <t>W-stat</t>
  </si>
  <si>
    <t>p-value</t>
  </si>
  <si>
    <t>alpha</t>
  </si>
  <si>
    <t>normal</t>
  </si>
  <si>
    <t>d'Agostino-Pearson</t>
  </si>
  <si>
    <t>DA-stat</t>
  </si>
  <si>
    <t>T Test: Two Independent Samples</t>
  </si>
  <si>
    <t>SUMMARY</t>
  </si>
  <si>
    <t>Hyp Mean Diff</t>
  </si>
  <si>
    <t>Groups</t>
  </si>
  <si>
    <t>Variance</t>
  </si>
  <si>
    <t>Cohen d</t>
  </si>
  <si>
    <t>Pooled</t>
  </si>
  <si>
    <t>T TEST: Equal Variances</t>
  </si>
  <si>
    <t>Alpha</t>
  </si>
  <si>
    <t xml:space="preserve"> </t>
  </si>
  <si>
    <t>std err</t>
  </si>
  <si>
    <t>t-stat</t>
  </si>
  <si>
    <t>df</t>
  </si>
  <si>
    <t>t-crit</t>
  </si>
  <si>
    <t>lower</t>
  </si>
  <si>
    <t>upper</t>
  </si>
  <si>
    <t>sig</t>
  </si>
  <si>
    <t>effect r</t>
  </si>
  <si>
    <t>One Tail</t>
  </si>
  <si>
    <t>Two Tail</t>
  </si>
  <si>
    <t>T TEST: Unequal Variances</t>
  </si>
  <si>
    <t>Mann-Whitney Test for Two Independent Samples</t>
  </si>
  <si>
    <t>count</t>
  </si>
  <si>
    <t>median</t>
  </si>
  <si>
    <t>rank sum</t>
  </si>
  <si>
    <t>U</t>
  </si>
  <si>
    <t>one tail</t>
  </si>
  <si>
    <t>two tail</t>
  </si>
  <si>
    <t>mean</t>
  </si>
  <si>
    <t>std dev</t>
  </si>
  <si>
    <t>ties</t>
  </si>
  <si>
    <t>z-score</t>
  </si>
  <si>
    <t>yates</t>
  </si>
  <si>
    <t>p-norm</t>
  </si>
  <si>
    <t>p-exact</t>
  </si>
  <si>
    <t>p-simul</t>
  </si>
  <si>
    <t>N/A</t>
  </si>
  <si>
    <t>Copy the Rows in from what you want to compare</t>
  </si>
  <si>
    <t>If Shapiro Wilk says normal the T-Test results count, otherwise Mann Whitney U</t>
  </si>
  <si>
    <t>Single</t>
  </si>
  <si>
    <t>Multi</t>
  </si>
  <si>
    <t>Currently Selected:</t>
  </si>
  <si>
    <t>This is a comparison of the Medians side by side</t>
  </si>
  <si>
    <t>Median of Random Exact</t>
  </si>
  <si>
    <t>Even Exact</t>
  </si>
  <si>
    <t>UF LogVA Cbrt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</si>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</sst>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1"/>
    <xf numFmtId="0" fontId="3" fillId="0" borderId="0" xfId="0" applyFont="1" applyFill="1" applyBorder="1"/>
    <xf numFmtId="0" fontId="4" fillId="0" borderId="0" xfId="0" applyFont="1" applyFill="1" applyBorder="1"/>
  </cellXfs>
  <cellStyles count="2">
    <cellStyle name="Explanatory Text" xfId="1" builtinId="53"/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AD47"/>
        </patternFill>
      </fill>
    </dxf>
    <dxf>
      <fill>
        <patternFill>
          <bgColor rgb="FFF4B084"/>
        </patternFill>
      </fill>
    </dxf>
    <dxf>
      <fill>
        <patternFill>
          <bgColor rgb="FF70AD47"/>
        </patternFill>
      </fill>
    </dxf>
    <dxf>
      <fill>
        <patternFill>
          <bgColor rgb="FFF4B08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40984.FHOOE/Download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DAGOSTINO"/>
      <definedName name="DPTEST"/>
      <definedName name="IQR"/>
      <definedName name="MAD"/>
      <definedName name="MWDIST"/>
      <definedName name="RANK_SUM"/>
      <definedName name="SHAPIRO"/>
      <definedName name="SWTEST"/>
      <definedName name="T_DIST_2T"/>
      <definedName name="T_DIST_RT"/>
      <definedName name="T_INV"/>
      <definedName name="T_INV_2T"/>
      <definedName name="TiesCorrec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97" workbookViewId="0">
      <selection activeCell="B138" sqref="B138"/>
    </sheetView>
  </sheetViews>
  <sheetFormatPr defaultRowHeight="14.25" x14ac:dyDescent="0.45"/>
  <cols>
    <col min="1" max="1" width="21.19921875" customWidth="1"/>
  </cols>
  <sheetData>
    <row r="1" spans="1:6" x14ac:dyDescent="0.45">
      <c r="A1" s="18" t="s">
        <v>75</v>
      </c>
    </row>
    <row r="2" spans="1:6" x14ac:dyDescent="0.45">
      <c r="A2" t="s">
        <v>77</v>
      </c>
      <c r="B2" t="s">
        <v>78</v>
      </c>
      <c r="D2" t="s">
        <v>79</v>
      </c>
      <c r="F2" t="s">
        <v>82</v>
      </c>
    </row>
    <row r="3" spans="1:6" x14ac:dyDescent="0.45">
      <c r="A3">
        <v>496</v>
      </c>
      <c r="B3">
        <v>496</v>
      </c>
      <c r="F3" t="s">
        <v>83</v>
      </c>
    </row>
    <row r="4" spans="1:6" x14ac:dyDescent="0.45">
      <c r="A4">
        <v>496</v>
      </c>
      <c r="B4">
        <v>497</v>
      </c>
    </row>
    <row r="5" spans="1:6" x14ac:dyDescent="0.45">
      <c r="A5">
        <v>500</v>
      </c>
      <c r="B5">
        <v>498</v>
      </c>
    </row>
    <row r="6" spans="1:6" x14ac:dyDescent="0.45">
      <c r="A6">
        <v>493</v>
      </c>
      <c r="B6">
        <v>496</v>
      </c>
    </row>
    <row r="7" spans="1:6" x14ac:dyDescent="0.45">
      <c r="A7">
        <v>497</v>
      </c>
      <c r="B7">
        <v>498</v>
      </c>
    </row>
    <row r="8" spans="1:6" x14ac:dyDescent="0.45">
      <c r="A8">
        <v>493</v>
      </c>
      <c r="B8">
        <v>497</v>
      </c>
    </row>
    <row r="9" spans="1:6" x14ac:dyDescent="0.45">
      <c r="A9">
        <v>495</v>
      </c>
      <c r="B9">
        <v>496</v>
      </c>
    </row>
    <row r="10" spans="1:6" x14ac:dyDescent="0.45">
      <c r="A10">
        <v>498</v>
      </c>
      <c r="B10">
        <v>496</v>
      </c>
    </row>
    <row r="11" spans="1:6" x14ac:dyDescent="0.45">
      <c r="A11">
        <v>496</v>
      </c>
      <c r="B11">
        <v>496</v>
      </c>
    </row>
    <row r="12" spans="1:6" x14ac:dyDescent="0.45">
      <c r="A12">
        <v>498</v>
      </c>
      <c r="B12">
        <v>499</v>
      </c>
    </row>
    <row r="13" spans="1:6" x14ac:dyDescent="0.45">
      <c r="A13">
        <v>491</v>
      </c>
      <c r="B13">
        <v>498</v>
      </c>
    </row>
    <row r="14" spans="1:6" x14ac:dyDescent="0.45">
      <c r="A14">
        <v>498</v>
      </c>
      <c r="B14">
        <v>497</v>
      </c>
    </row>
    <row r="15" spans="1:6" x14ac:dyDescent="0.45">
      <c r="A15">
        <v>500</v>
      </c>
      <c r="B15">
        <v>497</v>
      </c>
    </row>
    <row r="16" spans="1:6" x14ac:dyDescent="0.45">
      <c r="A16">
        <v>498</v>
      </c>
      <c r="B16">
        <v>496</v>
      </c>
    </row>
    <row r="17" spans="1:2" x14ac:dyDescent="0.45">
      <c r="A17">
        <v>497</v>
      </c>
      <c r="B17">
        <v>496</v>
      </c>
    </row>
    <row r="18" spans="1:2" x14ac:dyDescent="0.45">
      <c r="A18">
        <v>495</v>
      </c>
      <c r="B18">
        <v>495</v>
      </c>
    </row>
    <row r="19" spans="1:2" x14ac:dyDescent="0.45">
      <c r="A19">
        <v>497</v>
      </c>
      <c r="B19">
        <v>498</v>
      </c>
    </row>
    <row r="20" spans="1:2" x14ac:dyDescent="0.45">
      <c r="A20">
        <v>497</v>
      </c>
      <c r="B20">
        <v>496</v>
      </c>
    </row>
    <row r="21" spans="1:2" x14ac:dyDescent="0.45">
      <c r="A21">
        <v>495</v>
      </c>
      <c r="B21">
        <v>494</v>
      </c>
    </row>
    <row r="22" spans="1:2" x14ac:dyDescent="0.45">
      <c r="A22">
        <v>497</v>
      </c>
      <c r="B22">
        <v>493</v>
      </c>
    </row>
    <row r="23" spans="1:2" x14ac:dyDescent="0.45">
      <c r="A23">
        <v>496</v>
      </c>
      <c r="B23">
        <v>495</v>
      </c>
    </row>
    <row r="24" spans="1:2" x14ac:dyDescent="0.45">
      <c r="A24">
        <v>497</v>
      </c>
      <c r="B24">
        <v>497</v>
      </c>
    </row>
    <row r="25" spans="1:2" x14ac:dyDescent="0.45">
      <c r="A25">
        <v>497</v>
      </c>
      <c r="B25">
        <v>494</v>
      </c>
    </row>
    <row r="26" spans="1:2" x14ac:dyDescent="0.45">
      <c r="A26">
        <v>498</v>
      </c>
      <c r="B26">
        <v>499</v>
      </c>
    </row>
    <row r="27" spans="1:2" x14ac:dyDescent="0.45">
      <c r="A27">
        <v>499</v>
      </c>
      <c r="B27">
        <v>496</v>
      </c>
    </row>
    <row r="28" spans="1:2" x14ac:dyDescent="0.45">
      <c r="A28">
        <v>494</v>
      </c>
      <c r="B28">
        <v>494</v>
      </c>
    </row>
    <row r="29" spans="1:2" x14ac:dyDescent="0.45">
      <c r="A29">
        <v>498</v>
      </c>
      <c r="B29">
        <v>495</v>
      </c>
    </row>
    <row r="30" spans="1:2" x14ac:dyDescent="0.45">
      <c r="A30">
        <v>497</v>
      </c>
      <c r="B30">
        <v>497</v>
      </c>
    </row>
    <row r="31" spans="1:2" x14ac:dyDescent="0.45">
      <c r="A31">
        <v>496</v>
      </c>
      <c r="B31">
        <v>496</v>
      </c>
    </row>
    <row r="32" spans="1:2" x14ac:dyDescent="0.45">
      <c r="A32">
        <v>495</v>
      </c>
      <c r="B32">
        <v>496</v>
      </c>
    </row>
    <row r="33" spans="1:2" x14ac:dyDescent="0.45">
      <c r="A33">
        <v>495</v>
      </c>
      <c r="B33">
        <v>493</v>
      </c>
    </row>
    <row r="34" spans="1:2" x14ac:dyDescent="0.45">
      <c r="A34">
        <v>497</v>
      </c>
      <c r="B34">
        <v>495</v>
      </c>
    </row>
    <row r="35" spans="1:2" x14ac:dyDescent="0.45">
      <c r="A35">
        <v>498</v>
      </c>
      <c r="B35">
        <v>496</v>
      </c>
    </row>
    <row r="36" spans="1:2" x14ac:dyDescent="0.45">
      <c r="A36">
        <v>498</v>
      </c>
      <c r="B36">
        <v>497</v>
      </c>
    </row>
    <row r="37" spans="1:2" x14ac:dyDescent="0.45">
      <c r="A37">
        <v>499</v>
      </c>
      <c r="B37">
        <v>494</v>
      </c>
    </row>
    <row r="38" spans="1:2" x14ac:dyDescent="0.45">
      <c r="A38">
        <v>499</v>
      </c>
      <c r="B38">
        <v>495</v>
      </c>
    </row>
    <row r="39" spans="1:2" x14ac:dyDescent="0.45">
      <c r="A39">
        <v>496</v>
      </c>
      <c r="B39">
        <v>499</v>
      </c>
    </row>
    <row r="40" spans="1:2" x14ac:dyDescent="0.45">
      <c r="A40">
        <v>498</v>
      </c>
      <c r="B40">
        <v>497</v>
      </c>
    </row>
    <row r="41" spans="1:2" x14ac:dyDescent="0.45">
      <c r="A41">
        <v>497</v>
      </c>
      <c r="B41">
        <v>497</v>
      </c>
    </row>
    <row r="42" spans="1:2" x14ac:dyDescent="0.45">
      <c r="A42">
        <v>495</v>
      </c>
      <c r="B42">
        <v>497</v>
      </c>
    </row>
    <row r="43" spans="1:2" x14ac:dyDescent="0.45">
      <c r="A43">
        <v>498</v>
      </c>
      <c r="B43">
        <v>495</v>
      </c>
    </row>
    <row r="44" spans="1:2" x14ac:dyDescent="0.45">
      <c r="A44">
        <v>494</v>
      </c>
      <c r="B44">
        <v>493</v>
      </c>
    </row>
    <row r="45" spans="1:2" x14ac:dyDescent="0.45">
      <c r="A45">
        <v>496</v>
      </c>
      <c r="B45">
        <v>497</v>
      </c>
    </row>
    <row r="46" spans="1:2" x14ac:dyDescent="0.45">
      <c r="A46">
        <v>495</v>
      </c>
      <c r="B46">
        <v>499</v>
      </c>
    </row>
    <row r="47" spans="1:2" x14ac:dyDescent="0.45">
      <c r="A47">
        <v>494</v>
      </c>
      <c r="B47">
        <v>492</v>
      </c>
    </row>
    <row r="48" spans="1:2" x14ac:dyDescent="0.45">
      <c r="A48">
        <v>495</v>
      </c>
      <c r="B48">
        <v>492</v>
      </c>
    </row>
    <row r="49" spans="1:2" x14ac:dyDescent="0.45">
      <c r="A49">
        <v>497</v>
      </c>
      <c r="B49">
        <v>496</v>
      </c>
    </row>
    <row r="50" spans="1:2" x14ac:dyDescent="0.45">
      <c r="A50">
        <v>496</v>
      </c>
      <c r="B50">
        <v>495</v>
      </c>
    </row>
    <row r="51" spans="1:2" x14ac:dyDescent="0.45">
      <c r="A51">
        <v>498</v>
      </c>
      <c r="B51">
        <v>494</v>
      </c>
    </row>
    <row r="52" spans="1:2" x14ac:dyDescent="0.45">
      <c r="A52">
        <v>500</v>
      </c>
      <c r="B52">
        <v>495</v>
      </c>
    </row>
    <row r="53" spans="1:2" x14ac:dyDescent="0.45">
      <c r="A53">
        <v>494</v>
      </c>
      <c r="B53">
        <v>494</v>
      </c>
    </row>
    <row r="54" spans="1:2" x14ac:dyDescent="0.45">
      <c r="A54">
        <v>496</v>
      </c>
      <c r="B54">
        <v>496</v>
      </c>
    </row>
    <row r="55" spans="1:2" x14ac:dyDescent="0.45">
      <c r="A55">
        <v>497</v>
      </c>
      <c r="B55">
        <v>497</v>
      </c>
    </row>
    <row r="56" spans="1:2" x14ac:dyDescent="0.45">
      <c r="A56">
        <v>495</v>
      </c>
      <c r="B56">
        <v>499</v>
      </c>
    </row>
    <row r="57" spans="1:2" x14ac:dyDescent="0.45">
      <c r="A57">
        <v>497</v>
      </c>
      <c r="B57">
        <v>495</v>
      </c>
    </row>
    <row r="58" spans="1:2" x14ac:dyDescent="0.45">
      <c r="A58">
        <v>499</v>
      </c>
      <c r="B58">
        <v>497</v>
      </c>
    </row>
    <row r="59" spans="1:2" x14ac:dyDescent="0.45">
      <c r="A59">
        <v>496</v>
      </c>
      <c r="B59">
        <v>498</v>
      </c>
    </row>
    <row r="60" spans="1:2" x14ac:dyDescent="0.45">
      <c r="A60">
        <v>501</v>
      </c>
      <c r="B60">
        <v>494</v>
      </c>
    </row>
    <row r="61" spans="1:2" x14ac:dyDescent="0.45">
      <c r="A61">
        <v>497</v>
      </c>
      <c r="B61">
        <v>496</v>
      </c>
    </row>
    <row r="62" spans="1:2" x14ac:dyDescent="0.45">
      <c r="A62">
        <v>494</v>
      </c>
      <c r="B62">
        <v>494</v>
      </c>
    </row>
    <row r="63" spans="1:2" x14ac:dyDescent="0.45">
      <c r="A63">
        <v>498</v>
      </c>
      <c r="B63">
        <v>497</v>
      </c>
    </row>
    <row r="64" spans="1:2" x14ac:dyDescent="0.45">
      <c r="A64">
        <v>494</v>
      </c>
      <c r="B64">
        <v>496</v>
      </c>
    </row>
    <row r="65" spans="1:2" x14ac:dyDescent="0.45">
      <c r="A65">
        <v>494</v>
      </c>
      <c r="B65">
        <v>492</v>
      </c>
    </row>
    <row r="66" spans="1:2" x14ac:dyDescent="0.45">
      <c r="A66">
        <v>494</v>
      </c>
      <c r="B66">
        <v>496</v>
      </c>
    </row>
    <row r="67" spans="1:2" x14ac:dyDescent="0.45">
      <c r="A67">
        <v>498</v>
      </c>
      <c r="B67">
        <v>496</v>
      </c>
    </row>
    <row r="68" spans="1:2" x14ac:dyDescent="0.45">
      <c r="A68">
        <v>496</v>
      </c>
      <c r="B68">
        <v>498</v>
      </c>
    </row>
    <row r="69" spans="1:2" x14ac:dyDescent="0.45">
      <c r="A69">
        <v>494</v>
      </c>
      <c r="B69">
        <v>497</v>
      </c>
    </row>
    <row r="70" spans="1:2" x14ac:dyDescent="0.45">
      <c r="A70">
        <v>499</v>
      </c>
      <c r="B70">
        <v>495</v>
      </c>
    </row>
    <row r="71" spans="1:2" x14ac:dyDescent="0.45">
      <c r="A71">
        <v>497</v>
      </c>
      <c r="B71">
        <v>495</v>
      </c>
    </row>
    <row r="72" spans="1:2" x14ac:dyDescent="0.45">
      <c r="A72">
        <v>494</v>
      </c>
      <c r="B72">
        <v>495</v>
      </c>
    </row>
    <row r="73" spans="1:2" x14ac:dyDescent="0.45">
      <c r="A73">
        <v>493</v>
      </c>
      <c r="B73">
        <v>495</v>
      </c>
    </row>
    <row r="74" spans="1:2" x14ac:dyDescent="0.45">
      <c r="A74">
        <v>497</v>
      </c>
      <c r="B74">
        <v>497</v>
      </c>
    </row>
    <row r="75" spans="1:2" x14ac:dyDescent="0.45">
      <c r="A75">
        <v>494</v>
      </c>
      <c r="B75">
        <v>495</v>
      </c>
    </row>
    <row r="76" spans="1:2" x14ac:dyDescent="0.45">
      <c r="A76">
        <v>497</v>
      </c>
      <c r="B76">
        <v>495</v>
      </c>
    </row>
    <row r="77" spans="1:2" x14ac:dyDescent="0.45">
      <c r="A77">
        <v>498</v>
      </c>
      <c r="B77">
        <v>495</v>
      </c>
    </row>
    <row r="78" spans="1:2" x14ac:dyDescent="0.45">
      <c r="A78">
        <v>495</v>
      </c>
      <c r="B78">
        <v>498</v>
      </c>
    </row>
    <row r="79" spans="1:2" x14ac:dyDescent="0.45">
      <c r="A79">
        <v>495</v>
      </c>
      <c r="B79">
        <v>496</v>
      </c>
    </row>
    <row r="80" spans="1:2" x14ac:dyDescent="0.45">
      <c r="A80">
        <v>496</v>
      </c>
      <c r="B80">
        <v>498</v>
      </c>
    </row>
    <row r="81" spans="1:2" x14ac:dyDescent="0.45">
      <c r="A81">
        <v>496</v>
      </c>
      <c r="B81">
        <v>498</v>
      </c>
    </row>
    <row r="82" spans="1:2" x14ac:dyDescent="0.45">
      <c r="A82">
        <v>496</v>
      </c>
      <c r="B82">
        <v>497</v>
      </c>
    </row>
    <row r="83" spans="1:2" x14ac:dyDescent="0.45">
      <c r="A83">
        <v>495</v>
      </c>
      <c r="B83">
        <v>493</v>
      </c>
    </row>
    <row r="84" spans="1:2" x14ac:dyDescent="0.45">
      <c r="A84">
        <v>494</v>
      </c>
      <c r="B84">
        <v>493</v>
      </c>
    </row>
    <row r="85" spans="1:2" x14ac:dyDescent="0.45">
      <c r="A85">
        <v>502</v>
      </c>
      <c r="B85">
        <v>497</v>
      </c>
    </row>
    <row r="86" spans="1:2" x14ac:dyDescent="0.45">
      <c r="A86">
        <v>498</v>
      </c>
      <c r="B86">
        <v>494</v>
      </c>
    </row>
    <row r="87" spans="1:2" x14ac:dyDescent="0.45">
      <c r="A87">
        <v>493</v>
      </c>
      <c r="B87">
        <v>494</v>
      </c>
    </row>
    <row r="88" spans="1:2" x14ac:dyDescent="0.45">
      <c r="A88">
        <v>496</v>
      </c>
      <c r="B88">
        <v>496</v>
      </c>
    </row>
    <row r="89" spans="1:2" x14ac:dyDescent="0.45">
      <c r="A89">
        <v>495</v>
      </c>
      <c r="B89">
        <v>497</v>
      </c>
    </row>
    <row r="90" spans="1:2" x14ac:dyDescent="0.45">
      <c r="A90">
        <v>498</v>
      </c>
      <c r="B90">
        <v>498</v>
      </c>
    </row>
    <row r="91" spans="1:2" x14ac:dyDescent="0.45">
      <c r="A91">
        <v>496</v>
      </c>
      <c r="B91">
        <v>499</v>
      </c>
    </row>
    <row r="92" spans="1:2" x14ac:dyDescent="0.45">
      <c r="A92">
        <v>498</v>
      </c>
      <c r="B92">
        <v>496</v>
      </c>
    </row>
    <row r="93" spans="1:2" x14ac:dyDescent="0.45">
      <c r="A93">
        <v>496</v>
      </c>
      <c r="B93">
        <v>493</v>
      </c>
    </row>
    <row r="94" spans="1:2" x14ac:dyDescent="0.45">
      <c r="A94">
        <v>497</v>
      </c>
      <c r="B94">
        <v>496</v>
      </c>
    </row>
    <row r="95" spans="1:2" x14ac:dyDescent="0.45">
      <c r="A95">
        <v>494</v>
      </c>
      <c r="B95">
        <v>494</v>
      </c>
    </row>
    <row r="96" spans="1:2" x14ac:dyDescent="0.45">
      <c r="A96">
        <v>493</v>
      </c>
      <c r="B96">
        <v>496</v>
      </c>
    </row>
    <row r="97" spans="1:22" x14ac:dyDescent="0.45">
      <c r="A97">
        <v>496</v>
      </c>
      <c r="B97">
        <v>496</v>
      </c>
    </row>
    <row r="98" spans="1:22" x14ac:dyDescent="0.45">
      <c r="A98">
        <v>498</v>
      </c>
      <c r="B98">
        <v>495</v>
      </c>
    </row>
    <row r="99" spans="1:22" x14ac:dyDescent="0.45">
      <c r="A99">
        <v>498</v>
      </c>
      <c r="B99">
        <v>492</v>
      </c>
    </row>
    <row r="100" spans="1:22" x14ac:dyDescent="0.45">
      <c r="A100">
        <v>497</v>
      </c>
      <c r="B100">
        <v>498</v>
      </c>
    </row>
    <row r="101" spans="1:22" x14ac:dyDescent="0.45">
      <c r="A101">
        <v>493</v>
      </c>
      <c r="B101">
        <v>496</v>
      </c>
    </row>
    <row r="102" spans="1:22" x14ac:dyDescent="0.45">
      <c r="A102">
        <v>496</v>
      </c>
      <c r="B102">
        <v>497</v>
      </c>
    </row>
    <row r="104" spans="1:22" x14ac:dyDescent="0.45">
      <c r="A104" s="18" t="s">
        <v>76</v>
      </c>
    </row>
    <row r="105" spans="1:22" x14ac:dyDescent="0.45">
      <c r="A105" t="s">
        <v>38</v>
      </c>
    </row>
    <row r="106" spans="1:22" x14ac:dyDescent="0.45">
      <c r="L106" t="s">
        <v>0</v>
      </c>
      <c r="P106" t="s">
        <v>19</v>
      </c>
      <c r="Q106" s="3">
        <v>2.2000000000000002</v>
      </c>
      <c r="T106" t="s">
        <v>31</v>
      </c>
    </row>
    <row r="107" spans="1:22" ht="14.65" thickBot="1" x14ac:dyDescent="0.5">
      <c r="A107" t="s">
        <v>39</v>
      </c>
      <c r="D107" t="s">
        <v>40</v>
      </c>
      <c r="E107">
        <v>0</v>
      </c>
    </row>
    <row r="108" spans="1:22" ht="14.65" thickTop="1" x14ac:dyDescent="0.45">
      <c r="A108" s="14" t="s">
        <v>41</v>
      </c>
      <c r="B108" s="14" t="s">
        <v>13</v>
      </c>
      <c r="C108" s="14" t="s">
        <v>1</v>
      </c>
      <c r="D108" s="14" t="s">
        <v>42</v>
      </c>
      <c r="E108" s="14" t="s">
        <v>43</v>
      </c>
      <c r="L108" s="2"/>
      <c r="M108" s="2" t="str">
        <f>'Comparison Sheet'!A2</f>
        <v>Single</v>
      </c>
      <c r="N108" s="2" t="str">
        <f>'Comparison Sheet'!B2</f>
        <v>Multi</v>
      </c>
      <c r="Q108" s="5" t="str">
        <f>'Comparison Sheet'!A2</f>
        <v>Single</v>
      </c>
      <c r="R108" s="5" t="str">
        <f>'Comparison Sheet'!B2</f>
        <v>Multi</v>
      </c>
      <c r="T108" s="2"/>
      <c r="U108" s="2" t="str">
        <f>'Comparison Sheet'!A2</f>
        <v>Single</v>
      </c>
      <c r="V108" s="2" t="str">
        <f>'Comparison Sheet'!B2</f>
        <v>Multi</v>
      </c>
    </row>
    <row r="109" spans="1:22" x14ac:dyDescent="0.45">
      <c r="A109" t="str">
        <f>A2</f>
        <v>Single</v>
      </c>
      <c r="B109">
        <f>COUNT(A3:A102)</f>
        <v>100</v>
      </c>
      <c r="C109">
        <f>AVERAGE(A3:A102)</f>
        <v>496.33</v>
      </c>
      <c r="D109">
        <f>_xlfn.VAR.S(A3:A102)</f>
        <v>3.8596969696969716</v>
      </c>
      <c r="L109" t="s">
        <v>1</v>
      </c>
      <c r="M109">
        <f>AVERAGE('Comparison Sheet'!A3:A102)</f>
        <v>496.33</v>
      </c>
      <c r="N109">
        <f>AVERAGE('Comparison Sheet'!B3:B102)</f>
        <v>495.87</v>
      </c>
      <c r="P109" t="s">
        <v>22</v>
      </c>
      <c r="Q109" s="6">
        <f>Q116-$Q123</f>
        <v>491</v>
      </c>
      <c r="R109" s="7">
        <f>R116-$Q123</f>
        <v>492</v>
      </c>
      <c r="T109" t="s">
        <v>32</v>
      </c>
      <c r="U109">
        <f>[1]!SHAPIRO('Comparison Sheet'!A3:A102)</f>
        <v>0.97161045340231622</v>
      </c>
      <c r="V109">
        <f>[1]!SHAPIRO('Comparison Sheet'!B3:B102)</f>
        <v>0.95654155730889445</v>
      </c>
    </row>
    <row r="110" spans="1:22" x14ac:dyDescent="0.45">
      <c r="A110" t="str">
        <f>B2</f>
        <v>Multi</v>
      </c>
      <c r="B110">
        <f>COUNT(B3:B102)</f>
        <v>100</v>
      </c>
      <c r="C110">
        <f>AVERAGE(B3:B102)</f>
        <v>495.87</v>
      </c>
      <c r="D110">
        <f>_xlfn.VAR.S(B3:B102)</f>
        <v>2.9829292929292919</v>
      </c>
      <c r="L110" t="s">
        <v>2</v>
      </c>
      <c r="M110">
        <f>_xlfn.STDEV.S('Comparison Sheet'!A3:A102)/SQRT(COUNT('Comparison Sheet'!A3:A102))</f>
        <v>0.19646111497436258</v>
      </c>
      <c r="N110">
        <f>_xlfn.STDEV.S('Comparison Sheet'!B3:B102)/SQRT(COUNT('Comparison Sheet'!B3:B102))</f>
        <v>0.17271158886795326</v>
      </c>
      <c r="P110" t="s">
        <v>26</v>
      </c>
      <c r="Q110" s="8">
        <f t="shared" ref="Q110:R113" si="0">MAX(Q117-Q116,0)</f>
        <v>4</v>
      </c>
      <c r="R110" s="9">
        <f t="shared" si="0"/>
        <v>3</v>
      </c>
      <c r="T110" t="s">
        <v>33</v>
      </c>
      <c r="U110">
        <f>[1]!SWTEST('Comparison Sheet'!A3:A102)</f>
        <v>2.9399137812540665E-2</v>
      </c>
      <c r="V110">
        <f>[1]!SWTEST('Comparison Sheet'!B3:B102)</f>
        <v>2.2966945633762226E-3</v>
      </c>
    </row>
    <row r="111" spans="1:22" x14ac:dyDescent="0.45">
      <c r="A111" s="13" t="s">
        <v>44</v>
      </c>
      <c r="B111" s="13"/>
      <c r="C111" s="13"/>
      <c r="D111" s="13">
        <f>((B109-1)*D109+(B110-1)*D110)/(B109+B110-2)</f>
        <v>3.4213131313131315</v>
      </c>
      <c r="E111" s="13">
        <f>ABS(C109-C110-E107)/SQRT(D111)</f>
        <v>0.24869177356795927</v>
      </c>
      <c r="H111" t="s">
        <v>84</v>
      </c>
      <c r="L111" t="s">
        <v>3</v>
      </c>
      <c r="M111">
        <f>MEDIAN('Comparison Sheet'!A3:A102)</f>
        <v>496</v>
      </c>
      <c r="N111">
        <f>MEDIAN('Comparison Sheet'!B3:B102)</f>
        <v>496</v>
      </c>
      <c r="P111" t="s">
        <v>27</v>
      </c>
      <c r="Q111" s="8">
        <f t="shared" si="0"/>
        <v>1</v>
      </c>
      <c r="R111" s="9">
        <f t="shared" si="0"/>
        <v>1</v>
      </c>
      <c r="T111" t="s">
        <v>34</v>
      </c>
      <c r="U111">
        <v>0.05</v>
      </c>
      <c r="V111">
        <v>0.05</v>
      </c>
    </row>
    <row r="112" spans="1:22" x14ac:dyDescent="0.45">
      <c r="L112" t="s">
        <v>4</v>
      </c>
      <c r="M112">
        <f>MODE('Comparison Sheet'!A3:A102)</f>
        <v>496</v>
      </c>
      <c r="N112">
        <f>MODE('Comparison Sheet'!B3:B102)</f>
        <v>496</v>
      </c>
      <c r="P112" t="s">
        <v>28</v>
      </c>
      <c r="Q112" s="8">
        <f t="shared" si="0"/>
        <v>2</v>
      </c>
      <c r="R112" s="9">
        <f t="shared" si="0"/>
        <v>1</v>
      </c>
      <c r="T112" s="1" t="s">
        <v>35</v>
      </c>
      <c r="U112" s="12" t="str">
        <f>IF(U110&lt;U111,"no","yes")</f>
        <v>no</v>
      </c>
      <c r="V112" s="12" t="str">
        <f>IF(V110&lt;V111,"no","yes")</f>
        <v>no</v>
      </c>
    </row>
    <row r="113" spans="1:22" ht="14.65" thickBot="1" x14ac:dyDescent="0.5">
      <c r="A113" t="s">
        <v>45</v>
      </c>
      <c r="E113" t="s">
        <v>46</v>
      </c>
      <c r="F113">
        <v>0.05</v>
      </c>
      <c r="L113" t="s">
        <v>5</v>
      </c>
      <c r="M113">
        <f>_xlfn.STDEV.S('Comparison Sheet'!A3:A102)</f>
        <v>1.9646111497436258</v>
      </c>
      <c r="N113">
        <f>_xlfn.STDEV.S('Comparison Sheet'!B3:B102)</f>
        <v>1.7271158886795326</v>
      </c>
      <c r="P113" t="s">
        <v>29</v>
      </c>
      <c r="Q113" s="8">
        <f t="shared" si="0"/>
        <v>4</v>
      </c>
      <c r="R113" s="9">
        <f t="shared" si="0"/>
        <v>2</v>
      </c>
    </row>
    <row r="114" spans="1:22" ht="14.65" thickTop="1" x14ac:dyDescent="0.45">
      <c r="A114" s="14" t="s">
        <v>47</v>
      </c>
      <c r="B114" s="14" t="s">
        <v>48</v>
      </c>
      <c r="C114" s="14" t="s">
        <v>49</v>
      </c>
      <c r="D114" s="14" t="s">
        <v>50</v>
      </c>
      <c r="E114" s="14" t="s">
        <v>33</v>
      </c>
      <c r="F114" s="14" t="s">
        <v>51</v>
      </c>
      <c r="G114" s="14" t="s">
        <v>52</v>
      </c>
      <c r="H114" s="14" t="s">
        <v>53</v>
      </c>
      <c r="I114" s="14" t="s">
        <v>54</v>
      </c>
      <c r="J114" s="14" t="s">
        <v>55</v>
      </c>
      <c r="L114" t="s">
        <v>6</v>
      </c>
      <c r="M114">
        <f>_xlfn.VAR.S('Comparison Sheet'!A3:A102)</f>
        <v>3.8596969696969716</v>
      </c>
      <c r="N114">
        <f>_xlfn.VAR.S('Comparison Sheet'!B3:B102)</f>
        <v>2.9829292929292919</v>
      </c>
      <c r="P114" t="s">
        <v>1</v>
      </c>
      <c r="Q114" s="10">
        <f>Q121-$Q123</f>
        <v>496.33</v>
      </c>
      <c r="R114" s="11">
        <f>R121-$Q123</f>
        <v>495.87</v>
      </c>
      <c r="T114" t="s">
        <v>36</v>
      </c>
    </row>
    <row r="115" spans="1:22" x14ac:dyDescent="0.45">
      <c r="A115" t="s">
        <v>56</v>
      </c>
      <c r="B115">
        <f>SQRT(D111*(1/B109+1/B110))</f>
        <v>0.26158414062450847</v>
      </c>
      <c r="C115">
        <f>(ABS(C109-C110-E107))/B115</f>
        <v>1.7585163951521341</v>
      </c>
      <c r="D115">
        <f>B109+B110-2</f>
        <v>198</v>
      </c>
      <c r="E115">
        <f>_xlfn.T.DIST.RT(C115,D115)</f>
        <v>4.010229469804584E-2</v>
      </c>
      <c r="F115">
        <f>_xlfn.T.INV.2T(F113*2,D115)</f>
        <v>1.6525857836178461</v>
      </c>
      <c r="I115" s="4" t="str">
        <f>IF(E115&lt;F113,"yes","no")</f>
        <v>yes</v>
      </c>
      <c r="J115">
        <f>SQRT(C115^2/(C115^2+D115))</f>
        <v>0.12400768918394875</v>
      </c>
      <c r="L115" t="s">
        <v>7</v>
      </c>
      <c r="M115">
        <f>KURT('Comparison Sheet'!A3:A102)</f>
        <v>9.6913168186436582E-2</v>
      </c>
      <c r="N115">
        <f>KURT('Comparison Sheet'!B3:B102)</f>
        <v>-0.33888444721917832</v>
      </c>
    </row>
    <row r="116" spans="1:22" x14ac:dyDescent="0.45">
      <c r="A116" t="s">
        <v>57</v>
      </c>
      <c r="B116">
        <f>B115</f>
        <v>0.26158414062450847</v>
      </c>
      <c r="C116">
        <f t="shared" ref="C116:D116" si="1">C115</f>
        <v>1.7585163951521341</v>
      </c>
      <c r="D116">
        <f t="shared" si="1"/>
        <v>198</v>
      </c>
      <c r="E116">
        <f>_xlfn.T.DIST.2T(C116,D116)</f>
        <v>8.020458939609168E-2</v>
      </c>
      <c r="F116">
        <f>_xlfn.T.INV.2T(F113,D116)</f>
        <v>1.9720174778363073</v>
      </c>
      <c r="G116">
        <f>(C109-C110)-F116*B116</f>
        <v>-5.5848497236341554E-2</v>
      </c>
      <c r="H116">
        <f>(C109-C110)+F116*B116</f>
        <v>0.97584849723630063</v>
      </c>
      <c r="I116" s="4" t="str">
        <f>IF(E116&lt;F113,"yes","no")</f>
        <v>no</v>
      </c>
      <c r="J116">
        <f>J115</f>
        <v>0.12400768918394875</v>
      </c>
      <c r="L116" t="s">
        <v>8</v>
      </c>
      <c r="M116">
        <f>SKEW('Comparison Sheet'!A3:A102)</f>
        <v>7.2201417715141838E-2</v>
      </c>
      <c r="N116">
        <f>SKEW('Comparison Sheet'!B3:B102)</f>
        <v>-0.27531025739342596</v>
      </c>
      <c r="P116" t="s">
        <v>22</v>
      </c>
      <c r="Q116" s="6">
        <f t="array" ref="Q116">MIN(IF(ISBLANK('Comparison Sheet'!A3:A102),"",IF('Comparison Sheet'!A3:A102&gt;=Q117-$Q106*(Q119-Q117),'Comparison Sheet'!A3:A102,"")))</f>
        <v>491</v>
      </c>
      <c r="R116" s="7">
        <f t="array" ref="R116">MIN(IF(ISBLANK('Comparison Sheet'!B3:B102),"",IF('Comparison Sheet'!B3:B102&gt;=R117-$Q106*(R119-R117),'Comparison Sheet'!B3:B102,"")))</f>
        <v>492</v>
      </c>
      <c r="T116" s="13" t="s">
        <v>37</v>
      </c>
      <c r="U116" s="13">
        <f>[1]!DAGOSTINO('Comparison Sheet'!A3:A102)</f>
        <v>0.24933698586076961</v>
      </c>
      <c r="V116" s="13">
        <f>[1]!DAGOSTINO('Comparison Sheet'!B3:B102)</f>
        <v>1.8165033589082176</v>
      </c>
    </row>
    <row r="117" spans="1:22" x14ac:dyDescent="0.4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L117" t="s">
        <v>9</v>
      </c>
      <c r="M117">
        <f>M118-M119</f>
        <v>11</v>
      </c>
      <c r="N117">
        <f>N118-N119</f>
        <v>7</v>
      </c>
      <c r="P117" t="s">
        <v>23</v>
      </c>
      <c r="Q117" s="8">
        <f>_xlfn.QUARTILE.INC('Comparison Sheet'!A3:A102,1)</f>
        <v>495</v>
      </c>
      <c r="R117" s="9">
        <f>_xlfn.QUARTILE.INC('Comparison Sheet'!B3:B102,1)</f>
        <v>495</v>
      </c>
      <c r="T117" t="s">
        <v>33</v>
      </c>
      <c r="U117">
        <f>[1]!DPTEST('Comparison Sheet'!A3:A102)</f>
        <v>0.88278950504392795</v>
      </c>
      <c r="V117">
        <f>[1]!DPTEST('Comparison Sheet'!B3:B102)</f>
        <v>0.40322858094615099</v>
      </c>
    </row>
    <row r="118" spans="1:22" ht="14.65" thickBot="1" x14ac:dyDescent="0.5">
      <c r="A118" t="s">
        <v>58</v>
      </c>
      <c r="E118" t="s">
        <v>46</v>
      </c>
      <c r="F118">
        <f>F113</f>
        <v>0.05</v>
      </c>
      <c r="L118" t="s">
        <v>10</v>
      </c>
      <c r="M118">
        <f>MAX('Comparison Sheet'!A3:A102)</f>
        <v>502</v>
      </c>
      <c r="N118">
        <f>MAX('Comparison Sheet'!B3:B102)</f>
        <v>499</v>
      </c>
      <c r="P118" t="s">
        <v>3</v>
      </c>
      <c r="Q118" s="8">
        <f>MEDIAN('Comparison Sheet'!A3:A102)</f>
        <v>496</v>
      </c>
      <c r="R118" s="9">
        <f>MEDIAN('Comparison Sheet'!B3:B102)</f>
        <v>496</v>
      </c>
      <c r="T118" t="s">
        <v>34</v>
      </c>
      <c r="U118">
        <v>0.05</v>
      </c>
      <c r="V118">
        <v>0.05</v>
      </c>
    </row>
    <row r="119" spans="1:22" ht="14.65" thickTop="1" x14ac:dyDescent="0.45">
      <c r="A119" s="14" t="s">
        <v>47</v>
      </c>
      <c r="B119" s="14" t="s">
        <v>48</v>
      </c>
      <c r="C119" s="14" t="s">
        <v>49</v>
      </c>
      <c r="D119" s="14" t="s">
        <v>50</v>
      </c>
      <c r="E119" s="14" t="s">
        <v>33</v>
      </c>
      <c r="F119" s="14" t="s">
        <v>51</v>
      </c>
      <c r="G119" s="14" t="s">
        <v>52</v>
      </c>
      <c r="H119" s="14" t="s">
        <v>53</v>
      </c>
      <c r="I119" s="14" t="s">
        <v>54</v>
      </c>
      <c r="J119" s="14" t="s">
        <v>55</v>
      </c>
      <c r="L119" t="s">
        <v>11</v>
      </c>
      <c r="M119">
        <f>MIN('Comparison Sheet'!A3:A102)</f>
        <v>491</v>
      </c>
      <c r="N119">
        <f>MIN('Comparison Sheet'!B3:B102)</f>
        <v>492</v>
      </c>
      <c r="P119" t="s">
        <v>24</v>
      </c>
      <c r="Q119" s="8">
        <f>_xlfn.QUARTILE.INC('Comparison Sheet'!A3:A102,3)</f>
        <v>498</v>
      </c>
      <c r="R119" s="9">
        <f>_xlfn.QUARTILE.INC('Comparison Sheet'!B3:B102,3)</f>
        <v>497</v>
      </c>
      <c r="T119" s="1" t="s">
        <v>35</v>
      </c>
      <c r="U119" s="12" t="str">
        <f>IF(U117&lt;U118,"no","yes")</f>
        <v>yes</v>
      </c>
      <c r="V119" s="12" t="str">
        <f>IF(V117&lt;V118,"no","yes")</f>
        <v>yes</v>
      </c>
    </row>
    <row r="120" spans="1:22" x14ac:dyDescent="0.45">
      <c r="A120" t="s">
        <v>56</v>
      </c>
      <c r="B120">
        <f>SQRT(D109/B109+D110/B110)</f>
        <v>0.26158414062450847</v>
      </c>
      <c r="C120">
        <f>(ABS(C109-C110-E107))/B120</f>
        <v>1.7585163951521341</v>
      </c>
      <c r="D120">
        <f>(D109/B109+D110/B110)^2/((D109/B109)^2/(B109-1)+(D110/B110)^2/(B110-1))</f>
        <v>194.8017219837275</v>
      </c>
      <c r="E120">
        <f>[1]!T_DIST_RT(C120,D120)</f>
        <v>4.0114978652462052E-2</v>
      </c>
      <c r="F120">
        <f>[1]!T_INV(1-F118,D120)</f>
        <v>1.6527133398954672</v>
      </c>
      <c r="I120" s="4" t="str">
        <f>IF(E120&lt;F118,"yes","no")</f>
        <v>yes</v>
      </c>
      <c r="J120">
        <f>SQRT(C120^2/(C120^2+D120))</f>
        <v>0.12500575183086413</v>
      </c>
      <c r="L120" t="s">
        <v>12</v>
      </c>
      <c r="M120">
        <f>SUM('Comparison Sheet'!A3:A102)</f>
        <v>49633</v>
      </c>
      <c r="N120">
        <f>SUM('Comparison Sheet'!B3:B102)</f>
        <v>49587</v>
      </c>
      <c r="P120" t="s">
        <v>25</v>
      </c>
      <c r="Q120" s="8">
        <f t="array" ref="Q120">MAX(IF(ISBLANK('Comparison Sheet'!A3:A102),"",IF('Comparison Sheet'!A3:A102&lt;=Q119+$Q106*(Q119-Q117),'Comparison Sheet'!A3:A102,"")))</f>
        <v>502</v>
      </c>
      <c r="R120" s="9">
        <f t="array" ref="R120">MAX(IF(ISBLANK('Comparison Sheet'!B3:B102),"",IF('Comparison Sheet'!B3:B102&lt;=R119+$Q106*(R119-R117),'Comparison Sheet'!B3:B102,"")))</f>
        <v>499</v>
      </c>
    </row>
    <row r="121" spans="1:22" x14ac:dyDescent="0.45">
      <c r="A121" t="s">
        <v>57</v>
      </c>
      <c r="B121">
        <f>B120</f>
        <v>0.26158414062450847</v>
      </c>
      <c r="C121">
        <f t="shared" ref="C121:D121" si="2">C120</f>
        <v>1.7585163951521341</v>
      </c>
      <c r="D121">
        <f t="shared" si="2"/>
        <v>194.8017219837275</v>
      </c>
      <c r="E121">
        <f>[1]!T_DIST_2T(C121,D121)</f>
        <v>8.0229957304924104E-2</v>
      </c>
      <c r="F121">
        <f>[1]!T_INV_2T(F118,D121)</f>
        <v>1.9722165860978713</v>
      </c>
      <c r="G121">
        <f>(C109-C110)-F121*B121</f>
        <v>-5.5900580799834065E-2</v>
      </c>
      <c r="H121">
        <f>(C109-C110)+F121*B121</f>
        <v>0.97590058079979314</v>
      </c>
      <c r="I121" s="4" t="str">
        <f>IF(E121&lt;F118,"yes","no")</f>
        <v>no</v>
      </c>
      <c r="J121">
        <f>J120</f>
        <v>0.12500575183086413</v>
      </c>
      <c r="L121" t="s">
        <v>13</v>
      </c>
      <c r="M121">
        <f>COUNT('Comparison Sheet'!A3:A102)</f>
        <v>100</v>
      </c>
      <c r="N121">
        <f>COUNT('Comparison Sheet'!B3:B102)</f>
        <v>100</v>
      </c>
      <c r="P121" t="s">
        <v>1</v>
      </c>
      <c r="Q121" s="10">
        <f>AVERAGE('Comparison Sheet'!A3:A102)</f>
        <v>496.33</v>
      </c>
      <c r="R121" s="11">
        <f>AVERAGE('Comparison Sheet'!B3:B102)</f>
        <v>495.87</v>
      </c>
    </row>
    <row r="122" spans="1:22" x14ac:dyDescent="0.4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L122" t="s">
        <v>14</v>
      </c>
      <c r="M122">
        <f>GEOMEAN('Comparison Sheet'!A3:A102)</f>
        <v>496.32615128897072</v>
      </c>
      <c r="N122">
        <f>GEOMEAN('Comparison Sheet'!B3:B102)</f>
        <v>495.86702040079581</v>
      </c>
    </row>
    <row r="123" spans="1:22" x14ac:dyDescent="0.45">
      <c r="L123" t="s">
        <v>15</v>
      </c>
      <c r="M123">
        <f>HARMEAN('Comparison Sheet'!A3:A102)</f>
        <v>496.32230320542868</v>
      </c>
      <c r="N123">
        <f>HARMEAN('Comparison Sheet'!B3:B102)</f>
        <v>495.86403889596556</v>
      </c>
      <c r="P123" t="s">
        <v>20</v>
      </c>
      <c r="Q123" s="3">
        <f>IF(MIN(Q116:R116)&gt;=0,0,MIN(Q116:R116))</f>
        <v>0</v>
      </c>
    </row>
    <row r="124" spans="1:22" x14ac:dyDescent="0.45">
      <c r="A124" t="s">
        <v>59</v>
      </c>
      <c r="L124" t="s">
        <v>16</v>
      </c>
      <c r="M124">
        <f>AVEDEV('Comparison Sheet'!A3:A102)</f>
        <v>1.5831999999999993</v>
      </c>
      <c r="N124">
        <f>AVEDEV('Comparison Sheet'!B3:B102)</f>
        <v>1.3611999999999989</v>
      </c>
    </row>
    <row r="125" spans="1:22" x14ac:dyDescent="0.45">
      <c r="L125" t="s">
        <v>17</v>
      </c>
      <c r="M125">
        <f>[1]!MAD('Comparison Sheet'!A3:A102)</f>
        <v>1</v>
      </c>
      <c r="N125">
        <f>[1]!MAD('Comparison Sheet'!B3:B102)</f>
        <v>1</v>
      </c>
      <c r="P125" t="s">
        <v>21</v>
      </c>
      <c r="Q125" t="s">
        <v>30</v>
      </c>
      <c r="R125" t="s">
        <v>30</v>
      </c>
    </row>
    <row r="126" spans="1:22" x14ac:dyDescent="0.45">
      <c r="B126" t="str">
        <f>A2</f>
        <v>Single</v>
      </c>
      <c r="C126" t="str">
        <f>B2</f>
        <v>Multi</v>
      </c>
      <c r="L126" s="1" t="s">
        <v>18</v>
      </c>
      <c r="M126" s="1">
        <f>[1]!IQR('Comparison Sheet'!A3:A102,FALSE)</f>
        <v>3</v>
      </c>
      <c r="N126" s="1">
        <f>[1]!IQR('Comparison Sheet'!B3:B102,FALSE)</f>
        <v>2</v>
      </c>
    </row>
    <row r="127" spans="1:22" x14ac:dyDescent="0.45">
      <c r="A127" t="s">
        <v>60</v>
      </c>
      <c r="B127" s="6">
        <f>COUNT(A3:A102)</f>
        <v>100</v>
      </c>
      <c r="C127" s="7">
        <f>COUNT(B3:B102)</f>
        <v>100</v>
      </c>
    </row>
    <row r="128" spans="1:22" x14ac:dyDescent="0.45">
      <c r="A128" t="s">
        <v>61</v>
      </c>
      <c r="B128" s="8">
        <f>MEDIAN(A3:A102)</f>
        <v>496</v>
      </c>
      <c r="C128" s="9">
        <f>MEDIAN(B3:B102)</f>
        <v>496</v>
      </c>
    </row>
    <row r="129" spans="1:3" x14ac:dyDescent="0.45">
      <c r="A129" t="s">
        <v>62</v>
      </c>
      <c r="B129" s="8">
        <f>[1]!RANK_SUM(A3:A102,B3:B102,1)</f>
        <v>10690</v>
      </c>
      <c r="C129" s="9">
        <f>[1]!RANK_SUM(B3:B102,A3:A102,1)</f>
        <v>9410</v>
      </c>
    </row>
    <row r="130" spans="1:3" x14ac:dyDescent="0.45">
      <c r="A130" t="s">
        <v>63</v>
      </c>
      <c r="B130" s="10">
        <f>B127*C127+B127*(B127+1)/2-B129</f>
        <v>4360</v>
      </c>
      <c r="C130" s="11">
        <f>B127*C127+C127*(C127+1)/2-C129</f>
        <v>5640</v>
      </c>
    </row>
    <row r="132" spans="1:3" x14ac:dyDescent="0.45">
      <c r="B132" s="4" t="s">
        <v>64</v>
      </c>
      <c r="C132" s="4" t="s">
        <v>65</v>
      </c>
    </row>
    <row r="133" spans="1:3" x14ac:dyDescent="0.45">
      <c r="A133" t="s">
        <v>63</v>
      </c>
      <c r="B133" s="15">
        <f>MIN(B130,C130)</f>
        <v>4360</v>
      </c>
    </row>
    <row r="134" spans="1:3" x14ac:dyDescent="0.45">
      <c r="A134" t="s">
        <v>66</v>
      </c>
      <c r="B134" s="16">
        <f>B127*C127/2</f>
        <v>5000</v>
      </c>
    </row>
    <row r="135" spans="1:3" x14ac:dyDescent="0.45">
      <c r="A135" t="s">
        <v>67</v>
      </c>
      <c r="B135" s="16">
        <f>SQRT(B134*(B127+C127+1)/6*(1-[1]!TiesCorrection(A3:A102,B3:B102,2)/((B127+C127)^3-B127-C127)))</f>
        <v>403.72324965446046</v>
      </c>
      <c r="C135" t="s">
        <v>68</v>
      </c>
    </row>
    <row r="136" spans="1:3" x14ac:dyDescent="0.45">
      <c r="A136" t="s">
        <v>69</v>
      </c>
      <c r="B136" s="16">
        <f>ABS(ABS(B133-B134)-1/2)/B135</f>
        <v>1.5840058766675851</v>
      </c>
      <c r="C136" t="s">
        <v>70</v>
      </c>
    </row>
    <row r="137" spans="1:3" x14ac:dyDescent="0.45">
      <c r="A137" t="s">
        <v>55</v>
      </c>
      <c r="B137" s="16">
        <f>B136/SQRT(B127+C127)</f>
        <v>0.11200612968309914</v>
      </c>
    </row>
    <row r="138" spans="1:3" x14ac:dyDescent="0.45">
      <c r="A138" t="s">
        <v>71</v>
      </c>
      <c r="B138" s="15">
        <f>1-_xlfn.NORM.S.DIST(B136,TRUE)</f>
        <v>5.6596190889919296E-2</v>
      </c>
      <c r="C138" s="7">
        <f>2*B138</f>
        <v>0.11319238177983859</v>
      </c>
    </row>
    <row r="139" spans="1:3" x14ac:dyDescent="0.45">
      <c r="A139" t="s">
        <v>72</v>
      </c>
      <c r="B139" s="16">
        <f>[1]!MWDIST(B133,B127,C127,1)</f>
        <v>5.9157432143126659E-2</v>
      </c>
      <c r="C139" s="9">
        <f>2*B139</f>
        <v>0.11831486428625332</v>
      </c>
    </row>
    <row r="140" spans="1:3" x14ac:dyDescent="0.45">
      <c r="A140" t="s">
        <v>73</v>
      </c>
      <c r="B140" s="17" t="s">
        <v>74</v>
      </c>
      <c r="C140" s="1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0"/>
  <sheetViews>
    <sheetView tabSelected="1" workbookViewId="0">
      <selection activeCell="E16" sqref="E16"/>
    </sheetView>
  </sheetViews>
  <sheetFormatPr defaultRowHeight="14.25" x14ac:dyDescent="0.45"/>
  <sheetData>
    <row r="1" spans="1:45" x14ac:dyDescent="0.45">
      <c r="A1" s="18" t="s">
        <v>80</v>
      </c>
    </row>
    <row r="2" spans="1:45" x14ac:dyDescent="0.45">
      <c r="A2" t="s">
        <v>77</v>
      </c>
      <c r="B2" t="s">
        <v>78</v>
      </c>
      <c r="D2" t="s">
        <v>81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19"/>
      <c r="AN2" s="19"/>
      <c r="AO2" s="19"/>
      <c r="AP2" s="19"/>
      <c r="AQ2" s="19"/>
      <c r="AR2" s="19"/>
      <c r="AS2" s="19"/>
    </row>
    <row r="3" spans="1:45" x14ac:dyDescent="0.45">
      <c r="A3" s="19">
        <v>483</v>
      </c>
      <c r="B3" s="19">
        <v>485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  <c r="AK3" s="19"/>
      <c r="AL3" s="19"/>
      <c r="AM3" s="19"/>
      <c r="AN3" s="19"/>
      <c r="AO3" s="19"/>
      <c r="AP3" s="19"/>
      <c r="AQ3" s="19"/>
    </row>
    <row r="4" spans="1:45" x14ac:dyDescent="0.45">
      <c r="A4" s="19">
        <v>462</v>
      </c>
      <c r="B4" s="19">
        <v>464.5</v>
      </c>
    </row>
    <row r="5" spans="1:45" x14ac:dyDescent="0.45">
      <c r="A5" s="19"/>
      <c r="B5" s="19"/>
    </row>
    <row r="6" spans="1:45" x14ac:dyDescent="0.45">
      <c r="A6" s="19">
        <v>462</v>
      </c>
      <c r="B6" s="19">
        <v>464.5</v>
      </c>
    </row>
    <row r="7" spans="1:45" x14ac:dyDescent="0.45">
      <c r="A7" s="19">
        <v>482</v>
      </c>
      <c r="B7" s="19">
        <v>481</v>
      </c>
    </row>
    <row r="8" spans="1:45" x14ac:dyDescent="0.45">
      <c r="A8" s="19">
        <v>458</v>
      </c>
      <c r="B8" s="19">
        <v>460</v>
      </c>
    </row>
    <row r="9" spans="1:45" x14ac:dyDescent="0.45">
      <c r="A9" s="19">
        <v>481</v>
      </c>
      <c r="B9" s="19">
        <v>481.5</v>
      </c>
    </row>
    <row r="10" spans="1:45" x14ac:dyDescent="0.45">
      <c r="A10" s="19">
        <v>462</v>
      </c>
      <c r="B10" s="19">
        <v>464</v>
      </c>
    </row>
    <row r="11" spans="1:45" x14ac:dyDescent="0.45">
      <c r="A11" s="19">
        <v>481</v>
      </c>
      <c r="B11" s="19">
        <v>480</v>
      </c>
    </row>
    <row r="12" spans="1:45" x14ac:dyDescent="0.45">
      <c r="A12" s="19">
        <v>462</v>
      </c>
      <c r="B12" s="19">
        <v>464</v>
      </c>
    </row>
    <row r="13" spans="1:45" x14ac:dyDescent="0.45">
      <c r="A13" s="19">
        <v>483</v>
      </c>
      <c r="B13" s="19">
        <v>482</v>
      </c>
    </row>
    <row r="14" spans="1:45" x14ac:dyDescent="0.45">
      <c r="A14" s="19">
        <v>469</v>
      </c>
      <c r="B14" s="19">
        <v>467</v>
      </c>
    </row>
    <row r="15" spans="1:45" x14ac:dyDescent="0.45">
      <c r="A15" s="19"/>
      <c r="B15" s="19"/>
    </row>
    <row r="16" spans="1:45" x14ac:dyDescent="0.45">
      <c r="A16" s="19">
        <v>469</v>
      </c>
      <c r="B16" s="19">
        <v>467</v>
      </c>
    </row>
    <row r="17" spans="1:2" x14ac:dyDescent="0.45">
      <c r="A17" s="19">
        <v>479</v>
      </c>
      <c r="B17" s="19">
        <v>481</v>
      </c>
    </row>
    <row r="18" spans="1:2" x14ac:dyDescent="0.45">
      <c r="A18" s="19">
        <v>459.5</v>
      </c>
      <c r="B18" s="19">
        <v>457</v>
      </c>
    </row>
    <row r="19" spans="1:2" x14ac:dyDescent="0.45">
      <c r="A19" s="19">
        <v>489</v>
      </c>
      <c r="B19" s="19">
        <v>484</v>
      </c>
    </row>
    <row r="20" spans="1:2" x14ac:dyDescent="0.45">
      <c r="A20" s="19">
        <v>467</v>
      </c>
      <c r="B20" s="19">
        <v>466.5</v>
      </c>
    </row>
    <row r="21" spans="1:2" x14ac:dyDescent="0.45">
      <c r="A21" s="19">
        <v>488</v>
      </c>
      <c r="B21" s="19">
        <v>484</v>
      </c>
    </row>
    <row r="22" spans="1:2" x14ac:dyDescent="0.45">
      <c r="A22" s="19">
        <v>467</v>
      </c>
      <c r="B22" s="19">
        <v>466.5</v>
      </c>
    </row>
    <row r="23" spans="1:2" x14ac:dyDescent="0.45">
      <c r="A23" s="19">
        <v>484</v>
      </c>
      <c r="B23" s="19">
        <v>482</v>
      </c>
    </row>
    <row r="24" spans="1:2" x14ac:dyDescent="0.45">
      <c r="A24" s="19">
        <v>454</v>
      </c>
      <c r="B24" s="19">
        <v>456</v>
      </c>
    </row>
    <row r="25" spans="1:2" x14ac:dyDescent="0.45">
      <c r="A25" s="19">
        <v>492</v>
      </c>
      <c r="B25" s="19">
        <v>482</v>
      </c>
    </row>
    <row r="26" spans="1:2" x14ac:dyDescent="0.45">
      <c r="A26" s="19"/>
      <c r="B26" s="19"/>
    </row>
    <row r="27" spans="1:2" x14ac:dyDescent="0.45">
      <c r="A27" s="19">
        <v>454</v>
      </c>
      <c r="B27" s="19">
        <v>456</v>
      </c>
    </row>
    <row r="28" spans="1:2" x14ac:dyDescent="0.45">
      <c r="A28" s="19">
        <v>492</v>
      </c>
      <c r="B28" s="19">
        <v>482</v>
      </c>
    </row>
    <row r="29" spans="1:2" x14ac:dyDescent="0.45">
      <c r="A29" s="19">
        <v>484</v>
      </c>
      <c r="B29" s="19">
        <v>481.5</v>
      </c>
    </row>
    <row r="30" spans="1:2" x14ac:dyDescent="0.45">
      <c r="A30" s="19">
        <v>448</v>
      </c>
      <c r="B30" s="19">
        <v>446.5</v>
      </c>
    </row>
    <row r="31" spans="1:2" x14ac:dyDescent="0.45">
      <c r="A31" s="19">
        <v>492</v>
      </c>
      <c r="B31" s="19">
        <v>481</v>
      </c>
    </row>
    <row r="32" spans="1:2" x14ac:dyDescent="0.45">
      <c r="A32" s="19">
        <v>485</v>
      </c>
      <c r="B32" s="19">
        <v>481</v>
      </c>
    </row>
    <row r="33" spans="1:2" x14ac:dyDescent="0.45">
      <c r="A33" s="19">
        <v>454</v>
      </c>
      <c r="B33" s="19">
        <v>456</v>
      </c>
    </row>
    <row r="34" spans="1:2" x14ac:dyDescent="0.45">
      <c r="A34" s="19">
        <v>492</v>
      </c>
      <c r="B34" s="19">
        <v>482</v>
      </c>
    </row>
    <row r="35" spans="1:2" x14ac:dyDescent="0.45">
      <c r="A35" s="19">
        <v>485</v>
      </c>
      <c r="B35" s="19">
        <v>481</v>
      </c>
    </row>
    <row r="36" spans="1:2" x14ac:dyDescent="0.45">
      <c r="A36" s="19">
        <v>454</v>
      </c>
      <c r="B36" s="19">
        <v>456</v>
      </c>
    </row>
    <row r="37" spans="1:2" x14ac:dyDescent="0.45">
      <c r="A37" s="19">
        <v>492</v>
      </c>
      <c r="B37" s="19">
        <v>482</v>
      </c>
    </row>
    <row r="104" spans="1:22" x14ac:dyDescent="0.45">
      <c r="A104" s="18" t="s">
        <v>76</v>
      </c>
    </row>
    <row r="105" spans="1:22" x14ac:dyDescent="0.45">
      <c r="A105" t="s">
        <v>38</v>
      </c>
    </row>
    <row r="106" spans="1:22" x14ac:dyDescent="0.45">
      <c r="L106" t="s">
        <v>0</v>
      </c>
      <c r="P106" t="s">
        <v>19</v>
      </c>
      <c r="Q106" s="3">
        <v>2.2000000000000002</v>
      </c>
      <c r="T106" t="s">
        <v>31</v>
      </c>
    </row>
    <row r="107" spans="1:22" ht="14.65" thickBot="1" x14ac:dyDescent="0.5">
      <c r="A107" t="s">
        <v>39</v>
      </c>
      <c r="D107" t="s">
        <v>40</v>
      </c>
      <c r="E107">
        <v>0</v>
      </c>
    </row>
    <row r="108" spans="1:22" ht="14.65" thickTop="1" x14ac:dyDescent="0.45">
      <c r="A108" s="14" t="s">
        <v>41</v>
      </c>
      <c r="B108" s="14" t="s">
        <v>13</v>
      </c>
      <c r="C108" s="14" t="s">
        <v>1</v>
      </c>
      <c r="D108" s="14" t="s">
        <v>42</v>
      </c>
      <c r="E108" s="14" t="s">
        <v>43</v>
      </c>
      <c r="L108" s="2"/>
      <c r="M108" s="2" t="str">
        <f>'Comparison Sheet'!A2</f>
        <v>Single</v>
      </c>
      <c r="N108" s="2" t="str">
        <f>'Comparison Sheet'!B2</f>
        <v>Multi</v>
      </c>
      <c r="Q108" s="5" t="str">
        <f>'Comparison Sheet'!A2</f>
        <v>Single</v>
      </c>
      <c r="R108" s="5" t="str">
        <f>'Comparison Sheet'!B2</f>
        <v>Multi</v>
      </c>
      <c r="T108" s="2"/>
      <c r="U108" s="2" t="str">
        <f>'Comparison Sheet'!A2</f>
        <v>Single</v>
      </c>
      <c r="V108" s="2" t="str">
        <f>'Comparison Sheet'!B2</f>
        <v>Multi</v>
      </c>
    </row>
    <row r="109" spans="1:22" x14ac:dyDescent="0.45">
      <c r="A109" t="str">
        <f>A2</f>
        <v>Single</v>
      </c>
      <c r="B109">
        <f>COUNT(A3:A102)</f>
        <v>32</v>
      </c>
      <c r="C109">
        <f>AVERAGE(A3:A102)</f>
        <v>473.921875</v>
      </c>
      <c r="D109">
        <f>_xlfn.VAR.S(A3:A102)</f>
        <v>203.16305443548387</v>
      </c>
      <c r="L109" t="s">
        <v>1</v>
      </c>
      <c r="M109">
        <f>AVERAGE('Comparison Sheet'!A3:A102)</f>
        <v>496.33</v>
      </c>
      <c r="N109">
        <f>AVERAGE('Comparison Sheet'!B3:B102)</f>
        <v>495.87</v>
      </c>
      <c r="P109" t="s">
        <v>22</v>
      </c>
      <c r="Q109" s="6">
        <f>Q116-$Q123</f>
        <v>491</v>
      </c>
      <c r="R109" s="7">
        <f>R116-$Q123</f>
        <v>492</v>
      </c>
      <c r="T109" t="s">
        <v>32</v>
      </c>
      <c r="U109">
        <f>[1]!SHAPIRO('Comparison Sheet'!A3:A102)</f>
        <v>0.97161045340231622</v>
      </c>
      <c r="V109">
        <f>[1]!SHAPIRO('Comparison Sheet'!B3:B102)</f>
        <v>0.95654155730889445</v>
      </c>
    </row>
    <row r="110" spans="1:22" x14ac:dyDescent="0.45">
      <c r="A110" t="str">
        <f>B2</f>
        <v>Multi</v>
      </c>
      <c r="B110">
        <f>COUNT(B3:B102)</f>
        <v>32</v>
      </c>
      <c r="C110">
        <f>AVERAGE(B3:B102)</f>
        <v>472.015625</v>
      </c>
      <c r="D110">
        <f>_xlfn.VAR.S(B3:B102)</f>
        <v>132.2820060483871</v>
      </c>
      <c r="L110" t="s">
        <v>2</v>
      </c>
      <c r="M110">
        <f>_xlfn.STDEV.S('Comparison Sheet'!A3:A102)/SQRT(COUNT('Comparison Sheet'!A3:A102))</f>
        <v>0.19646111497436258</v>
      </c>
      <c r="N110">
        <f>_xlfn.STDEV.S('Comparison Sheet'!B3:B102)/SQRT(COUNT('Comparison Sheet'!B3:B102))</f>
        <v>0.17271158886795326</v>
      </c>
      <c r="P110" t="s">
        <v>26</v>
      </c>
      <c r="Q110" s="8">
        <f t="shared" ref="Q110:R113" si="0">MAX(Q117-Q116,0)</f>
        <v>4</v>
      </c>
      <c r="R110" s="9">
        <f t="shared" si="0"/>
        <v>3</v>
      </c>
      <c r="T110" t="s">
        <v>33</v>
      </c>
      <c r="U110">
        <f>[1]!SWTEST('Comparison Sheet'!A3:A102)</f>
        <v>2.9399137812540665E-2</v>
      </c>
      <c r="V110">
        <f>[1]!SWTEST('Comparison Sheet'!B3:B102)</f>
        <v>2.2966945633762226E-3</v>
      </c>
    </row>
    <row r="111" spans="1:22" x14ac:dyDescent="0.45">
      <c r="A111" s="13" t="s">
        <v>44</v>
      </c>
      <c r="B111" s="13"/>
      <c r="C111" s="13"/>
      <c r="D111" s="13">
        <f>((B109-1)*D109+(B110-1)*D110)/(B109+B110-2)</f>
        <v>167.72253024193549</v>
      </c>
      <c r="E111" s="13">
        <f>ABS(C109-C110-E107)/SQRT(D111)</f>
        <v>0.14719198222153879</v>
      </c>
      <c r="L111" t="s">
        <v>3</v>
      </c>
      <c r="M111">
        <f>MEDIAN('Comparison Sheet'!A3:A102)</f>
        <v>496</v>
      </c>
      <c r="N111">
        <f>MEDIAN('Comparison Sheet'!B3:B102)</f>
        <v>496</v>
      </c>
      <c r="P111" t="s">
        <v>27</v>
      </c>
      <c r="Q111" s="8">
        <f t="shared" si="0"/>
        <v>1</v>
      </c>
      <c r="R111" s="9">
        <f t="shared" si="0"/>
        <v>1</v>
      </c>
      <c r="T111" t="s">
        <v>34</v>
      </c>
      <c r="U111">
        <v>0.05</v>
      </c>
      <c r="V111">
        <v>0.05</v>
      </c>
    </row>
    <row r="112" spans="1:22" x14ac:dyDescent="0.45">
      <c r="L112" t="s">
        <v>4</v>
      </c>
      <c r="M112">
        <f>MODE('Comparison Sheet'!A3:A102)</f>
        <v>496</v>
      </c>
      <c r="N112">
        <f>MODE('Comparison Sheet'!B3:B102)</f>
        <v>496</v>
      </c>
      <c r="P112" t="s">
        <v>28</v>
      </c>
      <c r="Q112" s="8">
        <f t="shared" si="0"/>
        <v>2</v>
      </c>
      <c r="R112" s="9">
        <f t="shared" si="0"/>
        <v>1</v>
      </c>
      <c r="T112" s="1" t="s">
        <v>35</v>
      </c>
      <c r="U112" s="12" t="str">
        <f>IF(U110&lt;U111,"no","yes")</f>
        <v>no</v>
      </c>
      <c r="V112" s="12" t="str">
        <f>IF(V110&lt;V111,"no","yes")</f>
        <v>no</v>
      </c>
    </row>
    <row r="113" spans="1:22" ht="14.65" thickBot="1" x14ac:dyDescent="0.5">
      <c r="A113" t="s">
        <v>45</v>
      </c>
      <c r="E113" t="s">
        <v>46</v>
      </c>
      <c r="F113">
        <v>0.05</v>
      </c>
      <c r="L113" t="s">
        <v>5</v>
      </c>
      <c r="M113">
        <f>_xlfn.STDEV.S('Comparison Sheet'!A3:A102)</f>
        <v>1.9646111497436258</v>
      </c>
      <c r="N113">
        <f>_xlfn.STDEV.S('Comparison Sheet'!B3:B102)</f>
        <v>1.7271158886795326</v>
      </c>
      <c r="P113" t="s">
        <v>29</v>
      </c>
      <c r="Q113" s="8">
        <f t="shared" si="0"/>
        <v>4</v>
      </c>
      <c r="R113" s="9">
        <f t="shared" si="0"/>
        <v>2</v>
      </c>
    </row>
    <row r="114" spans="1:22" ht="14.65" thickTop="1" x14ac:dyDescent="0.45">
      <c r="A114" s="14" t="s">
        <v>47</v>
      </c>
      <c r="B114" s="14" t="s">
        <v>48</v>
      </c>
      <c r="C114" s="14" t="s">
        <v>49</v>
      </c>
      <c r="D114" s="14" t="s">
        <v>50</v>
      </c>
      <c r="E114" s="14" t="s">
        <v>33</v>
      </c>
      <c r="F114" s="14" t="s">
        <v>51</v>
      </c>
      <c r="G114" s="14" t="s">
        <v>52</v>
      </c>
      <c r="H114" s="14" t="s">
        <v>53</v>
      </c>
      <c r="I114" s="14" t="s">
        <v>54</v>
      </c>
      <c r="J114" s="14" t="s">
        <v>55</v>
      </c>
      <c r="L114" t="s">
        <v>6</v>
      </c>
      <c r="M114">
        <f>_xlfn.VAR.S('Comparison Sheet'!A3:A102)</f>
        <v>3.8596969696969716</v>
      </c>
      <c r="N114">
        <f>_xlfn.VAR.S('Comparison Sheet'!B3:B102)</f>
        <v>2.9829292929292919</v>
      </c>
      <c r="P114" t="s">
        <v>1</v>
      </c>
      <c r="Q114" s="10">
        <f>Q121-$Q123</f>
        <v>496.33</v>
      </c>
      <c r="R114" s="11">
        <f>R121-$Q123</f>
        <v>495.87</v>
      </c>
      <c r="T114" t="s">
        <v>36</v>
      </c>
    </row>
    <row r="115" spans="1:22" x14ac:dyDescent="0.45">
      <c r="A115" t="s">
        <v>56</v>
      </c>
      <c r="B115">
        <f>SQRT(D111*(1/B109+1/B110))</f>
        <v>3.2376933363308158</v>
      </c>
      <c r="C115">
        <f>(ABS(C109-C110-E107))/B115</f>
        <v>0.58876792888615515</v>
      </c>
      <c r="D115">
        <f>B109+B110-2</f>
        <v>62</v>
      </c>
      <c r="E115">
        <f>_xlfn.T.DIST.RT(C115,D115)</f>
        <v>0.27907799725681215</v>
      </c>
      <c r="F115">
        <f>_xlfn.T.INV.2T(F113*2,D115)</f>
        <v>1.6698041625120112</v>
      </c>
      <c r="I115" s="4" t="str">
        <f>IF(E115&lt;F113,"yes","no")</f>
        <v>no</v>
      </c>
      <c r="J115">
        <f>SQRT(C115^2/(C115^2+D115))</f>
        <v>7.4565441194902063E-2</v>
      </c>
      <c r="L115" t="s">
        <v>7</v>
      </c>
      <c r="M115">
        <f>KURT('Comparison Sheet'!A3:A102)</f>
        <v>9.6913168186436582E-2</v>
      </c>
      <c r="N115">
        <f>KURT('Comparison Sheet'!B3:B102)</f>
        <v>-0.33888444721917832</v>
      </c>
    </row>
    <row r="116" spans="1:22" x14ac:dyDescent="0.45">
      <c r="A116" t="s">
        <v>57</v>
      </c>
      <c r="B116">
        <f>B115</f>
        <v>3.2376933363308158</v>
      </c>
      <c r="C116">
        <f t="shared" ref="C116:D116" si="1">C115</f>
        <v>0.58876792888615515</v>
      </c>
      <c r="D116">
        <f t="shared" si="1"/>
        <v>62</v>
      </c>
      <c r="E116">
        <f>_xlfn.T.DIST.2T(C116,D116)</f>
        <v>0.5581559945136243</v>
      </c>
      <c r="F116">
        <f>_xlfn.T.INV.2T(F113,D116)</f>
        <v>1.9989715170333793</v>
      </c>
      <c r="G116">
        <f>(C109-C110)-F116*B116</f>
        <v>-4.5658067602140742</v>
      </c>
      <c r="H116">
        <f>(C109-C110)+F116*B116</f>
        <v>8.3783067602140733</v>
      </c>
      <c r="I116" s="4" t="str">
        <f>IF(E116&lt;F113,"yes","no")</f>
        <v>no</v>
      </c>
      <c r="J116">
        <f>J115</f>
        <v>7.4565441194902063E-2</v>
      </c>
      <c r="L116" t="s">
        <v>8</v>
      </c>
      <c r="M116">
        <f>SKEW('Comparison Sheet'!A3:A102)</f>
        <v>7.2201417715141838E-2</v>
      </c>
      <c r="N116">
        <f>SKEW('Comparison Sheet'!B3:B102)</f>
        <v>-0.27531025739342596</v>
      </c>
      <c r="P116" t="s">
        <v>22</v>
      </c>
      <c r="Q116" s="6">
        <f t="array" ref="Q116">MIN(IF(ISBLANK('Comparison Sheet'!A3:A102),"",IF('Comparison Sheet'!A3:A102&gt;=Q117-$Q106*(Q119-Q117),'Comparison Sheet'!A3:A102,"")))</f>
        <v>491</v>
      </c>
      <c r="R116" s="7">
        <f t="array" ref="R116">MIN(IF(ISBLANK('Comparison Sheet'!B3:B102),"",IF('Comparison Sheet'!B3:B102&gt;=R117-$Q106*(R119-R117),'Comparison Sheet'!B3:B102,"")))</f>
        <v>492</v>
      </c>
      <c r="T116" s="13" t="s">
        <v>37</v>
      </c>
      <c r="U116" s="13">
        <f>[1]!DAGOSTINO('Comparison Sheet'!A3:A102)</f>
        <v>0.24933698586076961</v>
      </c>
      <c r="V116" s="13">
        <f>[1]!DAGOSTINO('Comparison Sheet'!B3:B102)</f>
        <v>1.8165033589082176</v>
      </c>
    </row>
    <row r="117" spans="1:22" x14ac:dyDescent="0.4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L117" t="s">
        <v>9</v>
      </c>
      <c r="M117">
        <f>M118-M119</f>
        <v>11</v>
      </c>
      <c r="N117">
        <f>N118-N119</f>
        <v>7</v>
      </c>
      <c r="P117" t="s">
        <v>23</v>
      </c>
      <c r="Q117" s="8">
        <f>_xlfn.QUARTILE.INC('Comparison Sheet'!A3:A102,1)</f>
        <v>495</v>
      </c>
      <c r="R117" s="9">
        <f>_xlfn.QUARTILE.INC('Comparison Sheet'!B3:B102,1)</f>
        <v>495</v>
      </c>
      <c r="T117" t="s">
        <v>33</v>
      </c>
      <c r="U117">
        <f>[1]!DPTEST('Comparison Sheet'!A3:A102)</f>
        <v>0.88278950504392795</v>
      </c>
      <c r="V117">
        <f>[1]!DPTEST('Comparison Sheet'!B3:B102)</f>
        <v>0.40322858094615099</v>
      </c>
    </row>
    <row r="118" spans="1:22" ht="14.65" thickBot="1" x14ac:dyDescent="0.5">
      <c r="A118" t="s">
        <v>58</v>
      </c>
      <c r="E118" t="s">
        <v>46</v>
      </c>
      <c r="F118">
        <f>F113</f>
        <v>0.05</v>
      </c>
      <c r="L118" t="s">
        <v>10</v>
      </c>
      <c r="M118">
        <f>MAX('Comparison Sheet'!A3:A102)</f>
        <v>502</v>
      </c>
      <c r="N118">
        <f>MAX('Comparison Sheet'!B3:B102)</f>
        <v>499</v>
      </c>
      <c r="P118" t="s">
        <v>3</v>
      </c>
      <c r="Q118" s="8">
        <f>MEDIAN('Comparison Sheet'!A3:A102)</f>
        <v>496</v>
      </c>
      <c r="R118" s="9">
        <f>MEDIAN('Comparison Sheet'!B3:B102)</f>
        <v>496</v>
      </c>
      <c r="T118" t="s">
        <v>34</v>
      </c>
      <c r="U118">
        <v>0.05</v>
      </c>
      <c r="V118">
        <v>0.05</v>
      </c>
    </row>
    <row r="119" spans="1:22" ht="14.65" thickTop="1" x14ac:dyDescent="0.45">
      <c r="A119" s="14" t="s">
        <v>47</v>
      </c>
      <c r="B119" s="14" t="s">
        <v>48</v>
      </c>
      <c r="C119" s="14" t="s">
        <v>49</v>
      </c>
      <c r="D119" s="14" t="s">
        <v>50</v>
      </c>
      <c r="E119" s="14" t="s">
        <v>33</v>
      </c>
      <c r="F119" s="14" t="s">
        <v>51</v>
      </c>
      <c r="G119" s="14" t="s">
        <v>52</v>
      </c>
      <c r="H119" s="14" t="s">
        <v>53</v>
      </c>
      <c r="I119" s="14" t="s">
        <v>54</v>
      </c>
      <c r="J119" s="14" t="s">
        <v>55</v>
      </c>
      <c r="L119" t="s">
        <v>11</v>
      </c>
      <c r="M119">
        <f>MIN('Comparison Sheet'!A3:A102)</f>
        <v>491</v>
      </c>
      <c r="N119">
        <f>MIN('Comparison Sheet'!B3:B102)</f>
        <v>492</v>
      </c>
      <c r="P119" t="s">
        <v>24</v>
      </c>
      <c r="Q119" s="8">
        <f>_xlfn.QUARTILE.INC('Comparison Sheet'!A3:A102,3)</f>
        <v>498</v>
      </c>
      <c r="R119" s="9">
        <f>_xlfn.QUARTILE.INC('Comparison Sheet'!B3:B102,3)</f>
        <v>497</v>
      </c>
      <c r="T119" s="1" t="s">
        <v>35</v>
      </c>
      <c r="U119" s="12" t="str">
        <f>IF(U117&lt;U118,"no","yes")</f>
        <v>yes</v>
      </c>
      <c r="V119" s="12" t="str">
        <f>IF(V117&lt;V118,"no","yes")</f>
        <v>yes</v>
      </c>
    </row>
    <row r="120" spans="1:22" x14ac:dyDescent="0.45">
      <c r="A120" t="s">
        <v>56</v>
      </c>
      <c r="B120">
        <f>SQRT(D109/B109+D110/B110)</f>
        <v>3.2376933363308158</v>
      </c>
      <c r="C120">
        <f>(ABS(C109-C110-E107))/B120</f>
        <v>0.58876792888615515</v>
      </c>
      <c r="D120">
        <f>(D109/B109+D110/B110)^2/((D109/B109)^2/(B109-1)+(D110/B110)^2/(B110-1))</f>
        <v>59.350044905536556</v>
      </c>
      <c r="E120">
        <f>[1]!T_DIST_RT(C120,D120)</f>
        <v>0.2791256116278038</v>
      </c>
      <c r="F120">
        <f>[1]!T_INV(1-F118,D120)</f>
        <v>1.6709358241291015</v>
      </c>
      <c r="I120" s="4" t="str">
        <f>IF(E120&lt;F118,"yes","no")</f>
        <v>no</v>
      </c>
      <c r="J120">
        <f>SQRT(C120^2/(C120^2+D120))</f>
        <v>7.6202463246048957E-2</v>
      </c>
      <c r="L120" t="s">
        <v>12</v>
      </c>
      <c r="M120">
        <f>SUM('Comparison Sheet'!A3:A102)</f>
        <v>49633</v>
      </c>
      <c r="N120">
        <f>SUM('Comparison Sheet'!B3:B102)</f>
        <v>49587</v>
      </c>
      <c r="P120" t="s">
        <v>25</v>
      </c>
      <c r="Q120" s="8">
        <f t="array" ref="Q120">MAX(IF(ISBLANK('Comparison Sheet'!A3:A102),"",IF('Comparison Sheet'!A3:A102&lt;=Q119+$Q106*(Q119-Q117),'Comparison Sheet'!A3:A102,"")))</f>
        <v>502</v>
      </c>
      <c r="R120" s="9">
        <f t="array" ref="R120">MAX(IF(ISBLANK('Comparison Sheet'!B3:B102),"",IF('Comparison Sheet'!B3:B102&lt;=R119+$Q106*(R119-R117),'Comparison Sheet'!B3:B102,"")))</f>
        <v>499</v>
      </c>
    </row>
    <row r="121" spans="1:22" x14ac:dyDescent="0.45">
      <c r="A121" t="s">
        <v>57</v>
      </c>
      <c r="B121">
        <f>B120</f>
        <v>3.2376933363308158</v>
      </c>
      <c r="C121">
        <f t="shared" ref="C121:D121" si="2">C120</f>
        <v>0.58876792888615515</v>
      </c>
      <c r="D121">
        <f t="shared" si="2"/>
        <v>59.350044905536556</v>
      </c>
      <c r="E121">
        <f>[1]!T_DIST_2T(C121,D121)</f>
        <v>0.55825122325560761</v>
      </c>
      <c r="F121">
        <f>[1]!T_INV_2T(F118,D121)</f>
        <v>2.0007484742130854</v>
      </c>
      <c r="G121">
        <f>(C109-C110)-F121*B121</f>
        <v>-4.5715600026337535</v>
      </c>
      <c r="H121">
        <f>(C109-C110)+F121*B121</f>
        <v>8.3840600026337526</v>
      </c>
      <c r="I121" s="4" t="str">
        <f>IF(E121&lt;F118,"yes","no")</f>
        <v>no</v>
      </c>
      <c r="J121">
        <f>J120</f>
        <v>7.6202463246048957E-2</v>
      </c>
      <c r="L121" t="s">
        <v>13</v>
      </c>
      <c r="M121">
        <f>COUNT('Comparison Sheet'!A3:A102)</f>
        <v>100</v>
      </c>
      <c r="N121">
        <f>COUNT('Comparison Sheet'!B3:B102)</f>
        <v>100</v>
      </c>
      <c r="P121" t="s">
        <v>1</v>
      </c>
      <c r="Q121" s="10">
        <f>AVERAGE('Comparison Sheet'!A3:A102)</f>
        <v>496.33</v>
      </c>
      <c r="R121" s="11">
        <f>AVERAGE('Comparison Sheet'!B3:B102)</f>
        <v>495.87</v>
      </c>
    </row>
    <row r="122" spans="1:22" x14ac:dyDescent="0.4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L122" t="s">
        <v>14</v>
      </c>
      <c r="M122">
        <f>GEOMEAN('Comparison Sheet'!A3:A102)</f>
        <v>496.32615128897072</v>
      </c>
      <c r="N122">
        <f>GEOMEAN('Comparison Sheet'!B3:B102)</f>
        <v>495.86702040079581</v>
      </c>
    </row>
    <row r="123" spans="1:22" x14ac:dyDescent="0.45">
      <c r="L123" t="s">
        <v>15</v>
      </c>
      <c r="M123">
        <f>HARMEAN('Comparison Sheet'!A3:A102)</f>
        <v>496.32230320542868</v>
      </c>
      <c r="N123">
        <f>HARMEAN('Comparison Sheet'!B3:B102)</f>
        <v>495.86403889596556</v>
      </c>
      <c r="P123" t="s">
        <v>20</v>
      </c>
      <c r="Q123" s="3">
        <f>IF(MIN(Q116:R116)&gt;=0,0,MIN(Q116:R116))</f>
        <v>0</v>
      </c>
    </row>
    <row r="124" spans="1:22" x14ac:dyDescent="0.45">
      <c r="A124" t="s">
        <v>59</v>
      </c>
      <c r="L124" t="s">
        <v>16</v>
      </c>
      <c r="M124">
        <f>AVEDEV('Comparison Sheet'!A3:A102)</f>
        <v>1.5831999999999993</v>
      </c>
      <c r="N124">
        <f>AVEDEV('Comparison Sheet'!B3:B102)</f>
        <v>1.3611999999999989</v>
      </c>
    </row>
    <row r="125" spans="1:22" x14ac:dyDescent="0.45">
      <c r="L125" t="s">
        <v>17</v>
      </c>
      <c r="M125">
        <f>[1]!MAD('Comparison Sheet'!A3:A102)</f>
        <v>1</v>
      </c>
      <c r="N125">
        <f>[1]!MAD('Comparison Sheet'!B3:B102)</f>
        <v>1</v>
      </c>
      <c r="P125" t="s">
        <v>21</v>
      </c>
      <c r="Q125" t="s">
        <v>30</v>
      </c>
      <c r="R125" t="s">
        <v>30</v>
      </c>
    </row>
    <row r="126" spans="1:22" x14ac:dyDescent="0.45">
      <c r="B126" t="str">
        <f>A2</f>
        <v>Single</v>
      </c>
      <c r="C126" t="str">
        <f>B2</f>
        <v>Multi</v>
      </c>
      <c r="L126" s="1" t="s">
        <v>18</v>
      </c>
      <c r="M126" s="1">
        <f>[1]!IQR('Comparison Sheet'!A3:A102,FALSE)</f>
        <v>3</v>
      </c>
      <c r="N126" s="1">
        <f>[1]!IQR('Comparison Sheet'!B3:B102,FALSE)</f>
        <v>2</v>
      </c>
    </row>
    <row r="127" spans="1:22" x14ac:dyDescent="0.45">
      <c r="A127" t="s">
        <v>60</v>
      </c>
      <c r="B127" s="6">
        <f>COUNT(A3:A102)</f>
        <v>32</v>
      </c>
      <c r="C127" s="7">
        <f>COUNT(B3:B102)</f>
        <v>32</v>
      </c>
    </row>
    <row r="128" spans="1:22" x14ac:dyDescent="0.45">
      <c r="A128" t="s">
        <v>61</v>
      </c>
      <c r="B128" s="8">
        <f>MEDIAN(A3:A102)</f>
        <v>480</v>
      </c>
      <c r="C128" s="9">
        <f>MEDIAN(B3:B102)</f>
        <v>480.5</v>
      </c>
    </row>
    <row r="129" spans="1:3" x14ac:dyDescent="0.45">
      <c r="A129" t="s">
        <v>62</v>
      </c>
      <c r="B129" s="8">
        <f>[1]!RANK_SUM(A3:A102,B3:B102,1)</f>
        <v>1114</v>
      </c>
      <c r="C129" s="9">
        <f>[1]!RANK_SUM(B3:B102,A3:A102,1)</f>
        <v>966</v>
      </c>
    </row>
    <row r="130" spans="1:3" x14ac:dyDescent="0.45">
      <c r="A130" t="s">
        <v>63</v>
      </c>
      <c r="B130" s="10">
        <f>B127*C127+B127*(B127+1)/2-B129</f>
        <v>438</v>
      </c>
      <c r="C130" s="11">
        <f>B127*C127+C127*(C127+1)/2-C129</f>
        <v>586</v>
      </c>
    </row>
    <row r="132" spans="1:3" x14ac:dyDescent="0.45">
      <c r="B132" s="4" t="s">
        <v>64</v>
      </c>
      <c r="C132" s="4" t="s">
        <v>65</v>
      </c>
    </row>
    <row r="133" spans="1:3" x14ac:dyDescent="0.45">
      <c r="A133" t="s">
        <v>63</v>
      </c>
      <c r="B133" s="15">
        <f>MIN(B130,C130)</f>
        <v>438</v>
      </c>
    </row>
    <row r="134" spans="1:3" x14ac:dyDescent="0.45">
      <c r="A134" t="s">
        <v>66</v>
      </c>
      <c r="B134" s="16">
        <f>B127*C127/2</f>
        <v>512</v>
      </c>
    </row>
    <row r="135" spans="1:3" x14ac:dyDescent="0.45">
      <c r="A135" t="s">
        <v>67</v>
      </c>
      <c r="B135" s="16">
        <f>SQRT(B134*(B127+C127+1)/6*(1-[1]!TiesCorrection(A3:A102,B3:B102,2)/((B127+C127)^3-B127-C127)))</f>
        <v>74.312083232040493</v>
      </c>
      <c r="C135" t="s">
        <v>68</v>
      </c>
    </row>
    <row r="136" spans="1:3" x14ac:dyDescent="0.45">
      <c r="A136" t="s">
        <v>69</v>
      </c>
      <c r="B136" s="16">
        <f>ABS(ABS(B133-B134)-1/2)/B135</f>
        <v>0.98907198941651586</v>
      </c>
      <c r="C136" t="s">
        <v>70</v>
      </c>
    </row>
    <row r="137" spans="1:3" x14ac:dyDescent="0.45">
      <c r="A137" t="s">
        <v>55</v>
      </c>
      <c r="B137" s="16">
        <f>B136/SQRT(B127+C127)</f>
        <v>0.12363399867706448</v>
      </c>
    </row>
    <row r="138" spans="1:3" x14ac:dyDescent="0.45">
      <c r="A138" t="s">
        <v>71</v>
      </c>
      <c r="B138" s="15">
        <f>1-_xlfn.NORM.S.DIST(B136,TRUE)</f>
        <v>0.16131396052489211</v>
      </c>
      <c r="C138" s="7">
        <f>2*B138</f>
        <v>0.32262792104978422</v>
      </c>
    </row>
    <row r="139" spans="1:3" x14ac:dyDescent="0.45">
      <c r="A139" t="s">
        <v>72</v>
      </c>
      <c r="B139" s="16">
        <f>[1]!MWDIST(B133,B127,C127,1)</f>
        <v>0.1630171189367689</v>
      </c>
      <c r="C139" s="9">
        <f>2*B139</f>
        <v>0.3260342378735378</v>
      </c>
    </row>
    <row r="140" spans="1:3" x14ac:dyDescent="0.45">
      <c r="A140" t="s">
        <v>73</v>
      </c>
      <c r="B140" s="17" t="s">
        <v>74</v>
      </c>
      <c r="C140" s="11" t="s">
        <v>74</v>
      </c>
    </row>
  </sheetData>
  <conditionalFormatting sqref="K2:AS2">
    <cfRule type="top10" dxfId="38" priority="45" bottom="1" rank="1"/>
    <cfRule type="top10" dxfId="37" priority="46" rank="1"/>
  </conditionalFormatting>
  <conditionalFormatting sqref="I3:AQ3">
    <cfRule type="top10" dxfId="36" priority="41" bottom="1" rank="1"/>
    <cfRule type="top10" dxfId="35" priority="42" rank="1"/>
  </conditionalFormatting>
  <conditionalFormatting sqref="A3:B3">
    <cfRule type="top10" dxfId="34" priority="38" stopIfTrue="1" rank="1"/>
  </conditionalFormatting>
  <conditionalFormatting sqref="A4:B4">
    <cfRule type="top10" dxfId="33" priority="36" stopIfTrue="1" rank="1"/>
  </conditionalFormatting>
  <conditionalFormatting sqref="A5:B5">
    <cfRule type="top10" dxfId="32" priority="35" stopIfTrue="1" rank="1"/>
  </conditionalFormatting>
  <conditionalFormatting sqref="A6:B6">
    <cfRule type="top10" dxfId="31" priority="34" stopIfTrue="1" rank="1"/>
  </conditionalFormatting>
  <conditionalFormatting sqref="A7:B7">
    <cfRule type="top10" dxfId="30" priority="33" stopIfTrue="1" rank="1"/>
  </conditionalFormatting>
  <conditionalFormatting sqref="A8:B8">
    <cfRule type="top10" dxfId="29" priority="32" stopIfTrue="1" rank="1"/>
  </conditionalFormatting>
  <conditionalFormatting sqref="A9:B9">
    <cfRule type="top10" dxfId="28" priority="31" stopIfTrue="1" rank="1"/>
  </conditionalFormatting>
  <conditionalFormatting sqref="A10:B10">
    <cfRule type="top10" dxfId="27" priority="30" stopIfTrue="1" rank="1"/>
  </conditionalFormatting>
  <conditionalFormatting sqref="A11:B11">
    <cfRule type="top10" dxfId="26" priority="29" stopIfTrue="1" rank="1"/>
  </conditionalFormatting>
  <conditionalFormatting sqref="A12:B12">
    <cfRule type="top10" dxfId="25" priority="28" stopIfTrue="1" rank="1"/>
  </conditionalFormatting>
  <conditionalFormatting sqref="A13:B13">
    <cfRule type="top10" dxfId="24" priority="27" stopIfTrue="1" rank="1"/>
  </conditionalFormatting>
  <conditionalFormatting sqref="A14:B14">
    <cfRule type="top10" dxfId="23" priority="26" stopIfTrue="1" rank="1"/>
  </conditionalFormatting>
  <conditionalFormatting sqref="A15:B15">
    <cfRule type="top10" dxfId="22" priority="25" stopIfTrue="1" rank="1"/>
  </conditionalFormatting>
  <conditionalFormatting sqref="A16:B16">
    <cfRule type="top10" dxfId="21" priority="24" stopIfTrue="1" rank="1"/>
  </conditionalFormatting>
  <conditionalFormatting sqref="A17:B17">
    <cfRule type="top10" dxfId="20" priority="23" stopIfTrue="1" rank="1"/>
  </conditionalFormatting>
  <conditionalFormatting sqref="A18:B18">
    <cfRule type="top10" dxfId="19" priority="22" stopIfTrue="1" rank="1"/>
  </conditionalFormatting>
  <conditionalFormatting sqref="A19:B19">
    <cfRule type="top10" dxfId="18" priority="21" stopIfTrue="1" rank="1"/>
  </conditionalFormatting>
  <conditionalFormatting sqref="A20:B20">
    <cfRule type="top10" dxfId="17" priority="20" stopIfTrue="1" rank="1"/>
  </conditionalFormatting>
  <conditionalFormatting sqref="A21:B21">
    <cfRule type="top10" dxfId="16" priority="19" stopIfTrue="1" rank="1"/>
  </conditionalFormatting>
  <conditionalFormatting sqref="A22:B22">
    <cfRule type="top10" dxfId="15" priority="18" stopIfTrue="1" rank="1"/>
  </conditionalFormatting>
  <conditionalFormatting sqref="A23:B23">
    <cfRule type="top10" dxfId="14" priority="17" stopIfTrue="1" rank="1"/>
  </conditionalFormatting>
  <conditionalFormatting sqref="A24:B24">
    <cfRule type="top10" dxfId="13" priority="16" stopIfTrue="1" rank="1"/>
  </conditionalFormatting>
  <conditionalFormatting sqref="A25:B25">
    <cfRule type="top10" dxfId="12" priority="15" stopIfTrue="1" rank="1"/>
  </conditionalFormatting>
  <conditionalFormatting sqref="A26:B26">
    <cfRule type="top10" dxfId="11" priority="14" stopIfTrue="1" rank="1"/>
  </conditionalFormatting>
  <conditionalFormatting sqref="A27:B27">
    <cfRule type="top10" dxfId="10" priority="13" stopIfTrue="1" rank="1"/>
  </conditionalFormatting>
  <conditionalFormatting sqref="A28:B28">
    <cfRule type="top10" dxfId="9" priority="12" stopIfTrue="1" rank="1"/>
  </conditionalFormatting>
  <conditionalFormatting sqref="A29:B29">
    <cfRule type="top10" dxfId="8" priority="11" stopIfTrue="1" rank="1"/>
  </conditionalFormatting>
  <conditionalFormatting sqref="A30:B30">
    <cfRule type="top10" dxfId="7" priority="10" stopIfTrue="1" rank="1"/>
  </conditionalFormatting>
  <conditionalFormatting sqref="A31:B31">
    <cfRule type="top10" dxfId="6" priority="9" stopIfTrue="1" rank="1"/>
  </conditionalFormatting>
  <conditionalFormatting sqref="A32:B32">
    <cfRule type="top10" dxfId="5" priority="8" stopIfTrue="1" rank="1"/>
  </conditionalFormatting>
  <conditionalFormatting sqref="A33:B33">
    <cfRule type="top10" dxfId="4" priority="5" stopIfTrue="1" rank="1"/>
  </conditionalFormatting>
  <conditionalFormatting sqref="A34:B34">
    <cfRule type="top10" dxfId="3" priority="4" stopIfTrue="1" rank="1"/>
  </conditionalFormatting>
  <conditionalFormatting sqref="A35:B35">
    <cfRule type="top10" dxfId="2" priority="3" stopIfTrue="1" rank="1"/>
  </conditionalFormatting>
  <conditionalFormatting sqref="A36:B36">
    <cfRule type="top10" dxfId="1" priority="2" stopIfTrue="1" rank="1"/>
  </conditionalFormatting>
  <conditionalFormatting sqref="A37:B37">
    <cfRule type="top10" dxfId="0" priority="1" stopIfTrue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Sheet</vt:lpstr>
      <vt:lpstr>Comparison of Medians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Krauss Oliver</dc:creator>
  <cp:lastModifiedBy>Krauss Oliver</cp:lastModifiedBy>
  <dcterms:created xsi:type="dcterms:W3CDTF">2019-09-30T02:32:34Z</dcterms:created>
  <dcterms:modified xsi:type="dcterms:W3CDTF">2019-09-30T04:22:42Z</dcterms:modified>
</cp:coreProperties>
</file>