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4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F25" i="5"/>
  <c r="C24" i="5"/>
  <c r="F24" i="5"/>
  <c r="F26" i="5"/>
  <c r="E26" i="5"/>
  <c r="C26" i="5"/>
  <c r="D26" i="5"/>
  <c r="C25" i="5"/>
  <c r="D25" i="5"/>
  <c r="D24" i="5"/>
  <c r="E19" i="5"/>
  <c r="F19" i="5"/>
  <c r="F12" i="5"/>
  <c r="F13" i="5"/>
  <c r="F14" i="5"/>
  <c r="F15" i="5"/>
  <c r="F16" i="5"/>
  <c r="E16" i="5"/>
  <c r="C15" i="5"/>
  <c r="D15" i="5"/>
  <c r="C16" i="5"/>
  <c r="D16" i="5"/>
  <c r="C14" i="5"/>
  <c r="D14" i="5"/>
  <c r="C13" i="5"/>
  <c r="D13" i="5"/>
  <c r="C12" i="5"/>
  <c r="D12" i="5"/>
  <c r="C2" i="5"/>
  <c r="D2" i="5"/>
  <c r="F2" i="5"/>
  <c r="F3" i="5"/>
  <c r="F4" i="5"/>
  <c r="F5" i="5"/>
  <c r="E5" i="5"/>
  <c r="C5" i="5"/>
  <c r="D5" i="5"/>
  <c r="C4" i="5"/>
  <c r="D4" i="5"/>
  <c r="C3" i="5"/>
  <c r="D3" i="5"/>
  <c r="P19" i="4"/>
  <c r="P22" i="4"/>
  <c r="Q22" i="4"/>
  <c r="P21" i="4"/>
  <c r="P20" i="4"/>
  <c r="H23" i="4"/>
  <c r="H25" i="4"/>
  <c r="H24" i="4"/>
  <c r="H11" i="3"/>
  <c r="E17" i="4"/>
  <c r="E16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C17" i="4"/>
  <c r="D17" i="4"/>
  <c r="C16" i="4"/>
  <c r="D16" i="4"/>
  <c r="B17" i="4"/>
  <c r="B16" i="4"/>
  <c r="B10" i="1"/>
  <c r="B16" i="1"/>
  <c r="D13" i="4"/>
  <c r="E13" i="4"/>
  <c r="F13" i="4"/>
  <c r="G13" i="4"/>
  <c r="H13" i="4"/>
  <c r="I13" i="4"/>
  <c r="J13" i="4"/>
  <c r="K13" i="4"/>
  <c r="L13" i="4"/>
  <c r="M13" i="4"/>
  <c r="N13" i="4"/>
  <c r="O13" i="4"/>
  <c r="B13" i="4"/>
  <c r="B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1" i="4"/>
  <c r="L13" i="3"/>
  <c r="G8" i="3"/>
  <c r="K11" i="3"/>
  <c r="K13" i="3"/>
  <c r="G11" i="3"/>
  <c r="G12" i="3"/>
  <c r="G13" i="3"/>
  <c r="G6" i="3"/>
  <c r="G7" i="3"/>
  <c r="G9" i="3"/>
  <c r="G10" i="3"/>
  <c r="F4" i="2"/>
  <c r="J20" i="3"/>
  <c r="G14" i="3"/>
  <c r="H5" i="2"/>
  <c r="H4" i="2"/>
  <c r="J24" i="2"/>
  <c r="I24" i="2"/>
  <c r="J23" i="2"/>
  <c r="I23" i="2"/>
  <c r="I13" i="2"/>
  <c r="K9" i="3"/>
  <c r="K8" i="3"/>
  <c r="J22" i="2"/>
  <c r="I22" i="2"/>
  <c r="I21" i="2"/>
  <c r="J21" i="2"/>
  <c r="J20" i="2"/>
  <c r="I20" i="2"/>
  <c r="D10" i="2"/>
  <c r="C11" i="2"/>
  <c r="C10" i="2"/>
  <c r="D4" i="2"/>
  <c r="C12" i="2"/>
  <c r="E5" i="2"/>
  <c r="E4" i="2"/>
  <c r="D5" i="2"/>
  <c r="B5" i="2"/>
  <c r="I27" i="1"/>
  <c r="B14" i="1"/>
  <c r="D27" i="1"/>
  <c r="D28" i="1"/>
  <c r="D29" i="1"/>
  <c r="I16" i="1"/>
  <c r="G25" i="1"/>
  <c r="B8" i="1"/>
  <c r="E15" i="1"/>
  <c r="D15" i="1"/>
  <c r="C15" i="1"/>
  <c r="C14" i="1"/>
  <c r="B12" i="1"/>
  <c r="B11" i="1"/>
</calcChain>
</file>

<file path=xl/sharedStrings.xml><?xml version="1.0" encoding="utf-8"?>
<sst xmlns="http://schemas.openxmlformats.org/spreadsheetml/2006/main" count="138" uniqueCount="50">
  <si>
    <t>Registration</t>
  </si>
  <si>
    <t>Gas</t>
  </si>
  <si>
    <t>Parking (Tom)</t>
  </si>
  <si>
    <t>Parking (Katie)</t>
  </si>
  <si>
    <t>Food (ICIAM)</t>
  </si>
  <si>
    <t>Apartment</t>
  </si>
  <si>
    <t>Vishal</t>
  </si>
  <si>
    <t>Total Rental Fee</t>
  </si>
  <si>
    <t>Number of Nights</t>
  </si>
  <si>
    <t>Daily Rate</t>
  </si>
  <si>
    <t>Dates Eledigible for ICIAM 2011</t>
  </si>
  <si>
    <t>July 17 - 23rd</t>
  </si>
  <si>
    <t>226.17 CAD  ($ 235.22 USD)</t>
  </si>
  <si>
    <t>Bernard</t>
  </si>
  <si>
    <t>Katie</t>
  </si>
  <si>
    <t>Jeremy</t>
  </si>
  <si>
    <t>Tom</t>
  </si>
  <si>
    <t>Kyle</t>
  </si>
  <si>
    <t>Kristen</t>
  </si>
  <si>
    <t>Karen</t>
  </si>
  <si>
    <t>Tom + Vishal</t>
  </si>
  <si>
    <t>Kyle + Kristen</t>
  </si>
  <si>
    <t>Number of People</t>
  </si>
  <si>
    <t>Katie + Jeremy</t>
  </si>
  <si>
    <t>Bernard + Tom</t>
  </si>
  <si>
    <t>Dates</t>
  </si>
  <si>
    <t>x</t>
  </si>
  <si>
    <t>Sunday</t>
  </si>
  <si>
    <t>Monday</t>
  </si>
  <si>
    <t>Tuesday</t>
  </si>
  <si>
    <t>Wednesday</t>
  </si>
  <si>
    <t>Thursday</t>
  </si>
  <si>
    <t>Friday</t>
  </si>
  <si>
    <t>Saturday</t>
  </si>
  <si>
    <t>Total People</t>
  </si>
  <si>
    <t>Rate CAD</t>
  </si>
  <si>
    <t>Rate USD</t>
  </si>
  <si>
    <t>$ 57.30 CAD ($ 59.59 USD)</t>
  </si>
  <si>
    <t>TOTAL</t>
  </si>
  <si>
    <t>July 24-26</t>
  </si>
  <si>
    <t>July 26-27</t>
  </si>
  <si>
    <t>July 27-29</t>
  </si>
  <si>
    <t>Rate (w/o tax)</t>
  </si>
  <si>
    <t>Tax (per night)</t>
  </si>
  <si>
    <t>Total per night</t>
  </si>
  <si>
    <t>Total</t>
  </si>
  <si>
    <t>July 29 - 31</t>
  </si>
  <si>
    <t>Night</t>
  </si>
  <si>
    <t>July 17 and 21</t>
  </si>
  <si>
    <t>July 19 - 23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</si>
</sst>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mbria"/>
    </font>
    <font>
      <b/>
      <sz val="10"/>
      <color theme="1"/>
      <name val="Cambria"/>
    </font>
    <font>
      <b/>
      <sz val="10"/>
      <color rgb="FF365F91"/>
      <name val="Cambria"/>
    </font>
    <font>
      <sz val="10"/>
      <color rgb="FF365F91"/>
      <name val="Cambria"/>
    </font>
    <font>
      <sz val="8"/>
      <color theme="1"/>
      <name val="Calibri"/>
      <scheme val="minor"/>
    </font>
    <font>
      <sz val="8"/>
      <color rgb="FF365F91"/>
      <name val="Calibri"/>
      <scheme val="minor"/>
    </font>
    <font>
      <b/>
      <sz val="8"/>
      <color rgb="FF365F9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3DFE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</borders>
  <cellStyleXfs count="6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44" fontId="5" fillId="0" borderId="0" xfId="1" applyFont="1"/>
    <xf numFmtId="44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4" fontId="0" fillId="0" borderId="0" xfId="1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44" fontId="0" fillId="0" borderId="5" xfId="1" applyFont="1" applyBorder="1"/>
    <xf numFmtId="0" fontId="2" fillId="2" borderId="5" xfId="2" applyBorder="1"/>
    <xf numFmtId="16" fontId="0" fillId="0" borderId="0" xfId="1" applyNumberFormat="1" applyFont="1"/>
    <xf numFmtId="44" fontId="0" fillId="0" borderId="0" xfId="1" applyFont="1" applyAlignment="1">
      <alignment horizontal="center"/>
    </xf>
    <xf numFmtId="1" fontId="0" fillId="0" borderId="0" xfId="0" applyNumberFormat="1"/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8" xfId="2" applyBorder="1" applyAlignment="1">
      <alignment horizontal="center"/>
    </xf>
    <xf numFmtId="0" fontId="9" fillId="3" borderId="10" xfId="0" applyFont="1" applyFill="1" applyBorder="1" applyAlignment="1">
      <alignment vertical="center" wrapText="1"/>
    </xf>
    <xf numFmtId="8" fontId="8" fillId="0" borderId="9" xfId="0" applyNumberFormat="1" applyFont="1" applyBorder="1" applyAlignment="1">
      <alignment vertical="center" wrapText="1"/>
    </xf>
    <xf numFmtId="8" fontId="8" fillId="3" borderId="0" xfId="0" applyNumberFormat="1" applyFont="1" applyFill="1" applyAlignment="1">
      <alignment vertical="center" wrapText="1"/>
    </xf>
    <xf numFmtId="8" fontId="8" fillId="0" borderId="0" xfId="0" applyNumberFormat="1" applyFont="1" applyAlignment="1">
      <alignment vertical="center" wrapText="1"/>
    </xf>
    <xf numFmtId="8" fontId="0" fillId="0" borderId="0" xfId="0" applyNumberFormat="1"/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16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8" fontId="12" fillId="0" borderId="0" xfId="0" applyNumberFormat="1" applyFont="1" applyFill="1" applyBorder="1" applyAlignment="1">
      <alignment horizontal="center" vertical="center" wrapText="1"/>
    </xf>
    <xf numFmtId="8" fontId="11" fillId="0" borderId="0" xfId="0" applyNumberFormat="1" applyFont="1" applyFill="1" applyBorder="1" applyAlignment="1">
      <alignment horizontal="center" vertical="center" wrapText="1"/>
    </xf>
    <xf numFmtId="15" fontId="11" fillId="0" borderId="0" xfId="0" applyNumberFormat="1" applyFont="1" applyFill="1" applyBorder="1" applyAlignment="1">
      <alignment horizontal="center" vertical="center" wrapText="1"/>
    </xf>
    <xf numFmtId="8" fontId="10" fillId="0" borderId="0" xfId="0" applyNumberFormat="1" applyFont="1"/>
  </cellXfs>
  <cellStyles count="65">
    <cellStyle name="Bad" xfId="2" builtinId="27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29">
    <dxf>
      <border diagonalUp="0" diagonalDown="0">
        <left/>
        <right/>
        <top/>
        <bottom/>
      </border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fill>
        <patternFill patternType="none">
          <fgColor indexed="64"/>
        </patternFill>
      </fill>
      <alignment horizontal="center" textRotation="0" indent="0" justifyLastLine="0" shrinkToFit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outline="0">
        <bottom style="medium">
          <color rgb="FF4F81BD"/>
        </bottom>
      </border>
    </dxf>
    <dxf>
      <border outline="0">
        <bottom style="medium">
          <color rgb="FF4F81BD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F5" totalsRowShown="0" headerRowDxfId="10" dataDxfId="9" tableBorderDxfId="26">
  <autoFilter ref="A1:F5"/>
  <tableColumns count="6">
    <tableColumn id="1" name="Dates" dataDxfId="16"/>
    <tableColumn id="2" name="Number of Nights" dataDxfId="15"/>
    <tableColumn id="3" name="Rate (w/o tax)" dataDxfId="14">
      <calculatedColumnFormula>E2/1.12</calculatedColumnFormula>
    </tableColumn>
    <tableColumn id="4" name="Tax (per night)" dataDxfId="13">
      <calculatedColumnFormula>E2-C2</calculatedColumnFormula>
    </tableColumn>
    <tableColumn id="5" name="Total per night" dataDxfId="12"/>
    <tableColumn id="6" name="Tot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F16" totalsRowShown="0" headerRowDxfId="18" dataDxfId="17" tableBorderDxfId="25">
  <autoFilter ref="A11:F16"/>
  <tableColumns count="6">
    <tableColumn id="1" name="Dates" dataDxfId="24"/>
    <tableColumn id="2" name="Number of Nights" dataDxfId="23"/>
    <tableColumn id="3" name="Rate (w/o tax)" dataDxfId="22">
      <calculatedColumnFormula>E12/1.12</calculatedColumnFormula>
    </tableColumn>
    <tableColumn id="4" name="Tax (per night)" dataDxfId="21">
      <calculatedColumnFormula>E12-C12</calculatedColumnFormula>
    </tableColumn>
    <tableColumn id="5" name="Total per night" dataDxfId="20"/>
    <tableColumn id="6" name="Total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3:F26" totalsRowShown="0" headerRowDxfId="2" dataDxfId="1" tableBorderDxfId="0">
  <autoFilter ref="A23:F26"/>
  <tableColumns count="6">
    <tableColumn id="1" name="Night" dataDxfId="8"/>
    <tableColumn id="2" name="Number of Nights" dataDxfId="7"/>
    <tableColumn id="3" name="Rate (w/o tax)" dataDxfId="6">
      <calculatedColumnFormula>E24/1.12</calculatedColumnFormula>
    </tableColumn>
    <tableColumn id="4" name="Tax (per night)" dataDxfId="5">
      <calculatedColumnFormula>E24-C24</calculatedColumnFormula>
    </tableColumn>
    <tableColumn id="5" name="Total per night" dataDxfId="4"/>
    <tableColumn id="6" name="Tot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9"/>
  <sheetViews>
    <sheetView showRuler="0" workbookViewId="0">
      <selection activeCell="E18" sqref="E18"/>
    </sheetView>
  </sheetViews>
  <sheetFormatPr baseColWidth="10" defaultRowHeight="15" x14ac:dyDescent="0"/>
  <cols>
    <col min="2" max="2" width="10.83203125" style="1"/>
  </cols>
  <sheetData>
    <row r="6" spans="2:9">
      <c r="B6" s="1">
        <v>155</v>
      </c>
      <c r="C6" t="s">
        <v>0</v>
      </c>
    </row>
    <row r="7" spans="2:9">
      <c r="B7" s="1">
        <v>143</v>
      </c>
      <c r="C7" t="s">
        <v>1</v>
      </c>
    </row>
    <row r="8" spans="2:9">
      <c r="B8" s="1">
        <f>16.5*1.04</f>
        <v>17.16</v>
      </c>
      <c r="C8" t="s">
        <v>2</v>
      </c>
    </row>
    <row r="9" spans="2:9">
      <c r="C9" t="s">
        <v>3</v>
      </c>
    </row>
    <row r="10" spans="2:9">
      <c r="B10" s="1">
        <f>176.64*1.04</f>
        <v>183.7056</v>
      </c>
      <c r="C10" t="s">
        <v>4</v>
      </c>
    </row>
    <row r="11" spans="2:9">
      <c r="B11" s="1">
        <f>170*7</f>
        <v>1190</v>
      </c>
      <c r="C11" t="s">
        <v>5</v>
      </c>
    </row>
    <row r="12" spans="2:9">
      <c r="B12" s="1">
        <f>SUM(B6:B11)</f>
        <v>1688.8656000000001</v>
      </c>
      <c r="C12" s="1"/>
    </row>
    <row r="14" spans="2:9">
      <c r="B14" s="1">
        <f>1500-SUM(B6:B10)</f>
        <v>1001.1343999999999</v>
      </c>
      <c r="C14" s="1">
        <f>B14/7</f>
        <v>143.01919999999998</v>
      </c>
    </row>
    <row r="15" spans="2:9">
      <c r="B15" s="1">
        <v>940.88</v>
      </c>
      <c r="C15">
        <f>226/2</f>
        <v>113</v>
      </c>
      <c r="D15">
        <f>C15*7</f>
        <v>791</v>
      </c>
      <c r="E15" s="1">
        <f>B14-D15</f>
        <v>210.13439999999991</v>
      </c>
    </row>
    <row r="16" spans="2:9">
      <c r="B16" s="1">
        <f>B14-B15</f>
        <v>60.254399999999919</v>
      </c>
      <c r="I16">
        <f>226/3*2+3*226/5</f>
        <v>286.26666666666665</v>
      </c>
    </row>
    <row r="25" spans="4:9">
      <c r="G25">
        <f>226/5*14</f>
        <v>632.80000000000007</v>
      </c>
    </row>
    <row r="26" spans="4:9">
      <c r="D26">
        <v>3166.43</v>
      </c>
    </row>
    <row r="27" spans="4:9">
      <c r="D27" s="1">
        <f>D26-B14-286-750-226/5*14</f>
        <v>496.49559999999985</v>
      </c>
      <c r="I27">
        <f>1/2*226+2/5*2*226+2/3*226</f>
        <v>444.4666666666667</v>
      </c>
    </row>
    <row r="28" spans="4:9">
      <c r="D28" s="1">
        <f>D27-226/5*3-226/3*1</f>
        <v>285.56226666666652</v>
      </c>
      <c r="E28" t="s">
        <v>6</v>
      </c>
    </row>
    <row r="29" spans="4:9">
      <c r="D29" s="1">
        <f>D28-1/2*226-2/5*2*226-2/3*226</f>
        <v>-158.90440000000015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showRuler="0" workbookViewId="0">
      <selection activeCell="F4" sqref="F4"/>
    </sheetView>
  </sheetViews>
  <sheetFormatPr baseColWidth="10" defaultRowHeight="15" x14ac:dyDescent="0"/>
  <cols>
    <col min="2" max="2" width="26.83203125" bestFit="1" customWidth="1"/>
    <col min="3" max="3" width="14.33203125" bestFit="1" customWidth="1"/>
    <col min="4" max="4" width="15.6640625" bestFit="1" customWidth="1"/>
    <col min="5" max="5" width="10.5" bestFit="1" customWidth="1"/>
  </cols>
  <sheetData>
    <row r="3" spans="2:9">
      <c r="B3" t="s">
        <v>7</v>
      </c>
      <c r="C3" t="s">
        <v>8</v>
      </c>
      <c r="D3" t="s">
        <v>9</v>
      </c>
    </row>
    <row r="4" spans="2:9">
      <c r="B4" s="2">
        <v>3166.43</v>
      </c>
      <c r="C4">
        <v>14</v>
      </c>
      <c r="D4" s="3">
        <f>B4/C4</f>
        <v>226.17357142857142</v>
      </c>
      <c r="E4" s="3">
        <f>D4*6</f>
        <v>1357.0414285714285</v>
      </c>
      <c r="F4" s="3">
        <f>E4-904.68-320.41</f>
        <v>131.95142857142849</v>
      </c>
      <c r="H4" s="3">
        <f>D4/2</f>
        <v>113.08678571428571</v>
      </c>
    </row>
    <row r="5" spans="2:9">
      <c r="B5" s="3">
        <f>B4*1.04</f>
        <v>3293.0871999999999</v>
      </c>
      <c r="C5">
        <v>14</v>
      </c>
      <c r="D5" s="3">
        <f>B5/C5</f>
        <v>235.22051428571427</v>
      </c>
      <c r="E5" s="3">
        <f>D5*6</f>
        <v>1411.3230857142858</v>
      </c>
      <c r="H5" s="3">
        <f>D5/2</f>
        <v>117.61025714285714</v>
      </c>
    </row>
    <row r="7" spans="2:9">
      <c r="B7" t="s">
        <v>10</v>
      </c>
      <c r="C7" t="s">
        <v>11</v>
      </c>
    </row>
    <row r="9" spans="2:9">
      <c r="B9" t="s">
        <v>6</v>
      </c>
    </row>
    <row r="10" spans="2:9">
      <c r="C10" s="3">
        <f>4*D4/2</f>
        <v>452.34714285714284</v>
      </c>
      <c r="D10">
        <f>170*6</f>
        <v>1020</v>
      </c>
    </row>
    <row r="11" spans="2:9">
      <c r="C11" s="3">
        <f>2*D4</f>
        <v>452.34714285714284</v>
      </c>
    </row>
    <row r="12" spans="2:9">
      <c r="C12" s="3">
        <f>SUM(C10:C11)</f>
        <v>904.69428571428568</v>
      </c>
    </row>
    <row r="13" spans="2:9">
      <c r="H13" s="10">
        <v>904.68</v>
      </c>
      <c r="I13" s="3">
        <f>H13+C11</f>
        <v>1357.0271428571427</v>
      </c>
    </row>
    <row r="19" spans="6:10" ht="16" thickBot="1"/>
    <row r="20" spans="6:10" ht="40" thickBot="1">
      <c r="F20" s="4">
        <v>4</v>
      </c>
      <c r="G20" s="5" t="s">
        <v>12</v>
      </c>
      <c r="H20" s="5">
        <v>2</v>
      </c>
      <c r="I20" s="6">
        <f>226.17/H20*F20</f>
        <v>452.34</v>
      </c>
      <c r="J20" s="6">
        <f>235.22/H20*F20</f>
        <v>470.44</v>
      </c>
    </row>
    <row r="21" spans="6:10" ht="40" thickBot="1">
      <c r="F21" s="7">
        <v>2</v>
      </c>
      <c r="G21" s="8" t="s">
        <v>12</v>
      </c>
      <c r="H21" s="8">
        <v>1</v>
      </c>
      <c r="I21" s="6">
        <f>226.17/H21*F21</f>
        <v>452.34</v>
      </c>
      <c r="J21" s="6">
        <f>235.22/H21*F21</f>
        <v>470.44</v>
      </c>
    </row>
    <row r="22" spans="6:10">
      <c r="I22">
        <f>SUM(I20:I21)</f>
        <v>904.68</v>
      </c>
      <c r="J22">
        <f>SUM(J20:J21)</f>
        <v>940.88</v>
      </c>
    </row>
    <row r="23" spans="6:10">
      <c r="I23">
        <f>I22/6</f>
        <v>150.78</v>
      </c>
      <c r="J23">
        <f>J22/6</f>
        <v>156.81333333333333</v>
      </c>
    </row>
    <row r="24" spans="6:10">
      <c r="I24">
        <f>I23*6</f>
        <v>904.68000000000006</v>
      </c>
      <c r="J24">
        <f>J23*6</f>
        <v>940.88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8"/>
  <sheetViews>
    <sheetView showRuler="0" workbookViewId="0">
      <selection activeCell="D20" sqref="D20"/>
    </sheetView>
  </sheetViews>
  <sheetFormatPr baseColWidth="10" defaultRowHeight="15" x14ac:dyDescent="0"/>
  <cols>
    <col min="7" max="7" width="10.83203125" style="9"/>
    <col min="10" max="10" width="13" customWidth="1"/>
  </cols>
  <sheetData>
    <row r="4" spans="2:12">
      <c r="C4" s="18" t="s">
        <v>22</v>
      </c>
      <c r="D4" s="19"/>
      <c r="E4" s="19"/>
      <c r="F4" s="20"/>
    </row>
    <row r="5" spans="2:12">
      <c r="C5" s="14">
        <v>2</v>
      </c>
      <c r="D5" s="14">
        <v>3</v>
      </c>
      <c r="E5" s="14">
        <v>4</v>
      </c>
      <c r="F5" s="14">
        <v>5</v>
      </c>
      <c r="G5" s="13"/>
    </row>
    <row r="6" spans="2:12">
      <c r="B6" s="14" t="s">
        <v>14</v>
      </c>
      <c r="C6" s="12">
        <v>2</v>
      </c>
      <c r="D6" s="12">
        <v>5</v>
      </c>
      <c r="E6" s="12">
        <v>1</v>
      </c>
      <c r="F6" s="12">
        <v>6</v>
      </c>
      <c r="G6" s="13">
        <f t="shared" ref="G6:G13" si="0">ROUND((C6/2+D6/3+E6/4+F6/5)*226.17,2)</f>
        <v>931.07</v>
      </c>
    </row>
    <row r="7" spans="2:12">
      <c r="B7" s="14" t="s">
        <v>15</v>
      </c>
      <c r="C7" s="12">
        <v>2</v>
      </c>
      <c r="D7" s="12">
        <v>5</v>
      </c>
      <c r="E7" s="12">
        <v>1</v>
      </c>
      <c r="F7" s="12">
        <v>6</v>
      </c>
      <c r="G7" s="13">
        <f t="shared" si="0"/>
        <v>931.07</v>
      </c>
      <c r="J7" t="s">
        <v>23</v>
      </c>
    </row>
    <row r="8" spans="2:12">
      <c r="B8" s="14" t="s">
        <v>13</v>
      </c>
      <c r="C8" s="12">
        <v>0</v>
      </c>
      <c r="D8" s="12">
        <v>2</v>
      </c>
      <c r="E8" s="12">
        <v>0</v>
      </c>
      <c r="F8" s="12">
        <v>3</v>
      </c>
      <c r="G8" s="13">
        <f t="shared" si="0"/>
        <v>286.48</v>
      </c>
      <c r="J8" t="s">
        <v>20</v>
      </c>
      <c r="K8" s="3">
        <f>G10+G9</f>
        <v>527.73</v>
      </c>
    </row>
    <row r="9" spans="2:12">
      <c r="B9" s="14" t="s">
        <v>6</v>
      </c>
      <c r="C9" s="12">
        <v>0</v>
      </c>
      <c r="D9" s="12">
        <v>1</v>
      </c>
      <c r="E9" s="12">
        <v>0</v>
      </c>
      <c r="F9" s="12">
        <v>6</v>
      </c>
      <c r="G9" s="13">
        <f t="shared" si="0"/>
        <v>346.79</v>
      </c>
      <c r="J9" t="s">
        <v>21</v>
      </c>
      <c r="K9" s="3">
        <f>G11+G12</f>
        <v>444.8</v>
      </c>
    </row>
    <row r="10" spans="2:12">
      <c r="B10" s="14" t="s">
        <v>16</v>
      </c>
      <c r="C10" s="12">
        <v>0</v>
      </c>
      <c r="D10" s="12">
        <v>0</v>
      </c>
      <c r="E10" s="12">
        <v>0</v>
      </c>
      <c r="F10" s="12">
        <v>4</v>
      </c>
      <c r="G10" s="13">
        <f>ROUND((C10/2+D10/3+E10/4+F10/5)*226.17,2)</f>
        <v>180.94</v>
      </c>
    </row>
    <row r="11" spans="2:12">
      <c r="B11" s="14" t="s">
        <v>17</v>
      </c>
      <c r="C11" s="12">
        <v>0</v>
      </c>
      <c r="D11" s="12">
        <v>2</v>
      </c>
      <c r="E11" s="12">
        <v>1</v>
      </c>
      <c r="F11" s="12">
        <v>2</v>
      </c>
      <c r="G11" s="13">
        <f t="shared" si="0"/>
        <v>297.79000000000002</v>
      </c>
      <c r="H11" s="3">
        <f>G11*1.04</f>
        <v>309.70160000000004</v>
      </c>
      <c r="J11" t="s">
        <v>24</v>
      </c>
      <c r="K11" s="3">
        <f>G10/4*3+G8</f>
        <v>422.185</v>
      </c>
    </row>
    <row r="12" spans="2:12">
      <c r="B12" s="14" t="s">
        <v>18</v>
      </c>
      <c r="C12" s="12">
        <v>0</v>
      </c>
      <c r="D12" s="12">
        <v>0</v>
      </c>
      <c r="E12" s="12">
        <v>1</v>
      </c>
      <c r="F12" s="12">
        <v>2</v>
      </c>
      <c r="G12" s="13">
        <f t="shared" si="0"/>
        <v>147.01</v>
      </c>
    </row>
    <row r="13" spans="2:12">
      <c r="B13" s="14" t="s">
        <v>19</v>
      </c>
      <c r="C13" s="12">
        <v>0</v>
      </c>
      <c r="D13" s="12">
        <v>0</v>
      </c>
      <c r="E13" s="12">
        <v>0</v>
      </c>
      <c r="F13" s="12">
        <v>1</v>
      </c>
      <c r="G13" s="13">
        <f t="shared" si="0"/>
        <v>45.23</v>
      </c>
      <c r="K13">
        <f>320/5</f>
        <v>64</v>
      </c>
      <c r="L13">
        <f>42*6</f>
        <v>252</v>
      </c>
    </row>
    <row r="14" spans="2:12">
      <c r="G14" s="9">
        <f>SUM(G6:G13)</f>
        <v>3166.3799999999997</v>
      </c>
    </row>
    <row r="19" spans="10:21">
      <c r="J19">
        <v>452.34</v>
      </c>
    </row>
    <row r="20" spans="10:21">
      <c r="J20" s="3">
        <f>J19-G8</f>
        <v>165.85999999999996</v>
      </c>
    </row>
    <row r="28" spans="10:21">
      <c r="U28" s="15"/>
    </row>
  </sheetData>
  <mergeCells count="1">
    <mergeCell ref="C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Ruler="0" workbookViewId="0">
      <selection activeCell="P20" sqref="P20"/>
    </sheetView>
  </sheetViews>
  <sheetFormatPr baseColWidth="10" defaultRowHeight="15" x14ac:dyDescent="0"/>
  <sheetData>
    <row r="1" spans="1:1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>
      <c r="A2" t="s">
        <v>25</v>
      </c>
      <c r="B2" s="15">
        <v>40741</v>
      </c>
      <c r="C2" s="15">
        <v>40742</v>
      </c>
      <c r="D2" s="15">
        <v>40743</v>
      </c>
      <c r="E2" s="15">
        <v>40744</v>
      </c>
      <c r="F2" s="15">
        <v>40745</v>
      </c>
      <c r="G2" s="15">
        <v>40746</v>
      </c>
      <c r="H2" s="15">
        <v>40747</v>
      </c>
      <c r="I2" s="15">
        <v>40748</v>
      </c>
      <c r="J2" s="15">
        <v>40749</v>
      </c>
      <c r="K2" s="15">
        <v>40750</v>
      </c>
      <c r="L2" s="15">
        <v>40751</v>
      </c>
      <c r="M2" s="15">
        <v>40752</v>
      </c>
      <c r="N2" s="15">
        <v>40753</v>
      </c>
      <c r="O2" s="15">
        <v>40754</v>
      </c>
    </row>
    <row r="3" spans="1:15">
      <c r="A3" t="s">
        <v>14</v>
      </c>
      <c r="B3" s="16" t="s">
        <v>26</v>
      </c>
      <c r="C3" s="16" t="s">
        <v>26</v>
      </c>
      <c r="D3" s="16" t="s">
        <v>26</v>
      </c>
      <c r="E3" s="16" t="s">
        <v>26</v>
      </c>
      <c r="F3" s="16" t="s">
        <v>26</v>
      </c>
      <c r="G3" s="16" t="s">
        <v>26</v>
      </c>
      <c r="H3" s="16" t="s">
        <v>26</v>
      </c>
      <c r="I3" s="16" t="s">
        <v>26</v>
      </c>
      <c r="J3" s="16" t="s">
        <v>26</v>
      </c>
      <c r="K3" s="16" t="s">
        <v>26</v>
      </c>
      <c r="L3" s="16" t="s">
        <v>26</v>
      </c>
      <c r="M3" s="16" t="s">
        <v>26</v>
      </c>
      <c r="N3" s="16" t="s">
        <v>26</v>
      </c>
      <c r="O3" s="16" t="s">
        <v>26</v>
      </c>
    </row>
    <row r="4" spans="1:15">
      <c r="A4" t="s">
        <v>15</v>
      </c>
      <c r="B4" s="16" t="s">
        <v>26</v>
      </c>
      <c r="C4" s="16" t="s">
        <v>26</v>
      </c>
      <c r="D4" s="16" t="s">
        <v>26</v>
      </c>
      <c r="E4" s="16" t="s">
        <v>26</v>
      </c>
      <c r="F4" s="16" t="s">
        <v>26</v>
      </c>
      <c r="G4" s="16" t="s">
        <v>26</v>
      </c>
      <c r="H4" s="16" t="s">
        <v>26</v>
      </c>
      <c r="I4" s="16" t="s">
        <v>26</v>
      </c>
      <c r="J4" s="16" t="s">
        <v>26</v>
      </c>
      <c r="K4" s="16" t="s">
        <v>26</v>
      </c>
      <c r="L4" s="16" t="s">
        <v>26</v>
      </c>
      <c r="M4" s="16" t="s">
        <v>26</v>
      </c>
      <c r="N4" s="16" t="s">
        <v>26</v>
      </c>
      <c r="O4" s="16" t="s">
        <v>26</v>
      </c>
    </row>
    <row r="5" spans="1:15">
      <c r="A5" t="s">
        <v>13</v>
      </c>
      <c r="B5" s="16" t="s">
        <v>26</v>
      </c>
      <c r="C5" s="11" t="s">
        <v>26</v>
      </c>
      <c r="D5" s="11" t="s">
        <v>26</v>
      </c>
      <c r="E5" s="11" t="s">
        <v>26</v>
      </c>
      <c r="F5" s="11" t="s">
        <v>26</v>
      </c>
      <c r="G5" s="11"/>
      <c r="H5" s="11"/>
      <c r="I5" s="11"/>
      <c r="J5" s="11"/>
      <c r="K5" s="11"/>
      <c r="L5" s="11"/>
      <c r="M5" s="11"/>
      <c r="N5" s="11"/>
      <c r="O5" s="11"/>
    </row>
    <row r="6" spans="1:15">
      <c r="A6" t="s">
        <v>6</v>
      </c>
      <c r="B6" s="11"/>
      <c r="C6" s="11" t="s">
        <v>26</v>
      </c>
      <c r="D6" s="11" t="s">
        <v>26</v>
      </c>
      <c r="E6" s="11" t="s">
        <v>26</v>
      </c>
      <c r="F6" s="11"/>
      <c r="G6" s="11"/>
      <c r="H6" s="11"/>
      <c r="I6" s="11"/>
      <c r="J6" s="11"/>
      <c r="K6" s="11"/>
      <c r="L6" s="11" t="s">
        <v>26</v>
      </c>
      <c r="M6" s="11" t="s">
        <v>26</v>
      </c>
      <c r="N6" s="11" t="s">
        <v>26</v>
      </c>
      <c r="O6" s="11" t="s">
        <v>26</v>
      </c>
    </row>
    <row r="7" spans="1:15">
      <c r="A7" t="s">
        <v>16</v>
      </c>
      <c r="B7" s="11"/>
      <c r="C7" s="11" t="s">
        <v>26</v>
      </c>
      <c r="D7" s="11" t="s">
        <v>26</v>
      </c>
      <c r="E7" s="11" t="s">
        <v>26</v>
      </c>
      <c r="F7" s="11"/>
      <c r="G7" s="11"/>
      <c r="H7" s="11"/>
      <c r="I7" s="11"/>
      <c r="J7" s="11"/>
      <c r="K7" s="11"/>
      <c r="L7" s="11"/>
      <c r="M7" s="11"/>
      <c r="N7" s="11"/>
      <c r="O7" s="11" t="s">
        <v>26</v>
      </c>
    </row>
    <row r="8" spans="1:15">
      <c r="A8" t="s">
        <v>17</v>
      </c>
      <c r="B8" s="11"/>
      <c r="C8" s="11"/>
      <c r="D8" s="11"/>
      <c r="E8" s="11"/>
      <c r="F8" s="11"/>
      <c r="G8" s="11"/>
      <c r="H8" s="11"/>
      <c r="I8" s="11" t="s">
        <v>26</v>
      </c>
      <c r="J8" s="11" t="s">
        <v>26</v>
      </c>
      <c r="K8" s="11" t="s">
        <v>26</v>
      </c>
      <c r="L8" s="11" t="s">
        <v>26</v>
      </c>
      <c r="M8" s="11" t="s">
        <v>26</v>
      </c>
      <c r="N8" s="11"/>
      <c r="O8" s="11"/>
    </row>
    <row r="9" spans="1:15">
      <c r="A9" t="s">
        <v>18</v>
      </c>
      <c r="B9" s="11"/>
      <c r="C9" s="11"/>
      <c r="D9" s="11"/>
      <c r="E9" s="11"/>
      <c r="F9" s="11"/>
      <c r="G9" s="11"/>
      <c r="H9" s="11"/>
      <c r="I9" s="11"/>
      <c r="J9" s="11"/>
      <c r="K9" s="11" t="s">
        <v>26</v>
      </c>
      <c r="L9" s="11" t="s">
        <v>26</v>
      </c>
      <c r="M9" s="11" t="s">
        <v>26</v>
      </c>
      <c r="N9" s="11"/>
      <c r="O9" s="11"/>
    </row>
    <row r="10" spans="1:15">
      <c r="A10" t="s">
        <v>19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s">
        <v>26</v>
      </c>
    </row>
    <row r="11" spans="1:15">
      <c r="A11" t="s">
        <v>34</v>
      </c>
      <c r="B11" s="17">
        <f>COUNTA(B3:B10)</f>
        <v>3</v>
      </c>
      <c r="C11" s="17">
        <f t="shared" ref="C11:O11" si="0">COUNTA(C3:C10)</f>
        <v>5</v>
      </c>
      <c r="D11" s="17">
        <f t="shared" si="0"/>
        <v>5</v>
      </c>
      <c r="E11" s="17">
        <f t="shared" si="0"/>
        <v>5</v>
      </c>
      <c r="F11" s="17">
        <f t="shared" si="0"/>
        <v>3</v>
      </c>
      <c r="G11" s="17">
        <f t="shared" si="0"/>
        <v>2</v>
      </c>
      <c r="H11" s="17">
        <f t="shared" si="0"/>
        <v>2</v>
      </c>
      <c r="I11" s="17">
        <f t="shared" si="0"/>
        <v>3</v>
      </c>
      <c r="J11" s="17">
        <f t="shared" si="0"/>
        <v>3</v>
      </c>
      <c r="K11" s="17">
        <f t="shared" si="0"/>
        <v>4</v>
      </c>
      <c r="L11" s="17">
        <f t="shared" si="0"/>
        <v>5</v>
      </c>
      <c r="M11" s="17">
        <f t="shared" si="0"/>
        <v>5</v>
      </c>
      <c r="N11" s="17">
        <f t="shared" si="0"/>
        <v>3</v>
      </c>
      <c r="O11" s="17">
        <f t="shared" si="0"/>
        <v>5</v>
      </c>
    </row>
    <row r="12" spans="1:15">
      <c r="A12" t="s">
        <v>35</v>
      </c>
      <c r="B12" s="9">
        <f>3166.43/B11/14</f>
        <v>75.391190476190474</v>
      </c>
      <c r="C12" s="9">
        <f t="shared" ref="C12:O12" si="1">3166.43/C11/14</f>
        <v>45.234714285714283</v>
      </c>
      <c r="D12" s="9">
        <f t="shared" si="1"/>
        <v>45.234714285714283</v>
      </c>
      <c r="E12" s="9">
        <f t="shared" si="1"/>
        <v>45.234714285714283</v>
      </c>
      <c r="F12" s="9">
        <f t="shared" si="1"/>
        <v>75.391190476190474</v>
      </c>
      <c r="G12" s="9">
        <f t="shared" si="1"/>
        <v>113.08678571428571</v>
      </c>
      <c r="H12" s="9">
        <f t="shared" si="1"/>
        <v>113.08678571428571</v>
      </c>
      <c r="I12" s="9">
        <f t="shared" si="1"/>
        <v>75.391190476190474</v>
      </c>
      <c r="J12" s="9">
        <f t="shared" si="1"/>
        <v>75.391190476190474</v>
      </c>
      <c r="K12" s="9">
        <f t="shared" si="1"/>
        <v>56.543392857142855</v>
      </c>
      <c r="L12" s="9">
        <f t="shared" si="1"/>
        <v>45.234714285714283</v>
      </c>
      <c r="M12" s="9">
        <f t="shared" si="1"/>
        <v>45.234714285714283</v>
      </c>
      <c r="N12" s="9">
        <f t="shared" si="1"/>
        <v>75.391190476190474</v>
      </c>
      <c r="O12" s="9">
        <f t="shared" si="1"/>
        <v>45.234714285714283</v>
      </c>
    </row>
    <row r="13" spans="1:15">
      <c r="A13" t="s">
        <v>36</v>
      </c>
      <c r="B13" s="3">
        <f>B12*1.04</f>
        <v>78.406838095238101</v>
      </c>
      <c r="C13" s="3">
        <f t="shared" ref="C13:O13" si="2">C12*1.04</f>
        <v>47.044102857142853</v>
      </c>
      <c r="D13" s="3">
        <f t="shared" si="2"/>
        <v>47.044102857142853</v>
      </c>
      <c r="E13" s="3">
        <f t="shared" si="2"/>
        <v>47.044102857142853</v>
      </c>
      <c r="F13" s="3">
        <f t="shared" si="2"/>
        <v>78.406838095238101</v>
      </c>
      <c r="G13" s="3">
        <f t="shared" si="2"/>
        <v>117.61025714285714</v>
      </c>
      <c r="H13" s="3">
        <f t="shared" si="2"/>
        <v>117.61025714285714</v>
      </c>
      <c r="I13" s="3">
        <f t="shared" si="2"/>
        <v>78.406838095238101</v>
      </c>
      <c r="J13" s="3">
        <f t="shared" si="2"/>
        <v>78.406838095238101</v>
      </c>
      <c r="K13" s="3">
        <f t="shared" si="2"/>
        <v>58.805128571428568</v>
      </c>
      <c r="L13" s="3">
        <f t="shared" si="2"/>
        <v>47.044102857142853</v>
      </c>
      <c r="M13" s="3">
        <f t="shared" si="2"/>
        <v>47.044102857142853</v>
      </c>
      <c r="N13" s="3">
        <f t="shared" si="2"/>
        <v>78.406838095238101</v>
      </c>
      <c r="O13" s="3">
        <f t="shared" si="2"/>
        <v>47.044102857142853</v>
      </c>
    </row>
    <row r="16" spans="1:15">
      <c r="B16" s="3">
        <f>2*B12</f>
        <v>150.78238095238095</v>
      </c>
      <c r="C16" s="3">
        <f>C12*3</f>
        <v>135.70414285714284</v>
      </c>
      <c r="D16" s="3">
        <f>SUM(B16:C16)</f>
        <v>286.48652380952376</v>
      </c>
      <c r="E16" s="3">
        <f>D16/5</f>
        <v>57.297304761904755</v>
      </c>
    </row>
    <row r="17" spans="2:17">
      <c r="B17" s="3">
        <f>2*B13</f>
        <v>156.8136761904762</v>
      </c>
      <c r="C17" s="3">
        <f>C13*3</f>
        <v>141.13230857142855</v>
      </c>
      <c r="D17" s="3">
        <f>SUM(B17:C17)</f>
        <v>297.94598476190475</v>
      </c>
      <c r="E17" s="3">
        <f>D17/5</f>
        <v>59.589196952380952</v>
      </c>
    </row>
    <row r="18" spans="2:17" ht="16" thickBot="1"/>
    <row r="19" spans="2:17" ht="16" thickBot="1">
      <c r="O19" s="22">
        <v>75.39</v>
      </c>
      <c r="P19" s="25">
        <f>O19*2*2</f>
        <v>301.56</v>
      </c>
    </row>
    <row r="20" spans="2:17">
      <c r="O20" s="23">
        <v>56.54</v>
      </c>
      <c r="P20" s="25">
        <f>O20*1</f>
        <v>56.54</v>
      </c>
    </row>
    <row r="21" spans="2:17">
      <c r="O21" s="24">
        <v>45.23</v>
      </c>
      <c r="P21" s="25">
        <f>O21*2</f>
        <v>90.46</v>
      </c>
    </row>
    <row r="22" spans="2:17" ht="40" thickBot="1">
      <c r="O22" s="21" t="s">
        <v>37</v>
      </c>
      <c r="P22" s="25">
        <f>SUM(P19:P21)</f>
        <v>448.56</v>
      </c>
      <c r="Q22" s="25">
        <f>P22*1.04</f>
        <v>466.50240000000002</v>
      </c>
    </row>
    <row r="23" spans="2:17">
      <c r="H23">
        <f>75.39*2</f>
        <v>150.78</v>
      </c>
    </row>
    <row r="24" spans="2:17">
      <c r="H24">
        <f>45.23*2</f>
        <v>90.46</v>
      </c>
    </row>
    <row r="25" spans="2:17">
      <c r="H25">
        <f>H24+H23+56.54</f>
        <v>297.78000000000003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showRuler="0" zoomScale="200" zoomScaleNormal="200" zoomScalePageLayoutView="200" workbookViewId="0">
      <selection activeCell="H22" sqref="H22"/>
    </sheetView>
  </sheetViews>
  <sheetFormatPr baseColWidth="10" defaultColWidth="12.5" defaultRowHeight="11" x14ac:dyDescent="0"/>
  <cols>
    <col min="1" max="16384" width="12.5" style="26"/>
  </cols>
  <sheetData>
    <row r="1" spans="1:6">
      <c r="A1" s="31" t="s">
        <v>25</v>
      </c>
      <c r="B1" s="31" t="s">
        <v>8</v>
      </c>
      <c r="C1" s="31" t="s">
        <v>42</v>
      </c>
      <c r="D1" s="31" t="s">
        <v>43</v>
      </c>
      <c r="E1" s="31" t="s">
        <v>44</v>
      </c>
      <c r="F1" s="31" t="s">
        <v>45</v>
      </c>
    </row>
    <row r="2" spans="1:6">
      <c r="A2" s="28" t="s">
        <v>39</v>
      </c>
      <c r="B2" s="27">
        <v>2</v>
      </c>
      <c r="C2" s="32">
        <f>E2/1.12</f>
        <v>67.3125</v>
      </c>
      <c r="D2" s="32">
        <f>E2-C2</f>
        <v>8.0775000000000006</v>
      </c>
      <c r="E2" s="32">
        <v>75.39</v>
      </c>
      <c r="F2" s="32">
        <f>E2*B2</f>
        <v>150.78</v>
      </c>
    </row>
    <row r="3" spans="1:6">
      <c r="A3" s="29" t="s">
        <v>40</v>
      </c>
      <c r="B3" s="30">
        <v>1</v>
      </c>
      <c r="C3" s="33">
        <f>E3/1.12</f>
        <v>50.482142857142854</v>
      </c>
      <c r="D3" s="33">
        <f>E3-C3</f>
        <v>6.057857142857145</v>
      </c>
      <c r="E3" s="33">
        <v>56.54</v>
      </c>
      <c r="F3" s="33">
        <f>E3*B3</f>
        <v>56.54</v>
      </c>
    </row>
    <row r="4" spans="1:6">
      <c r="A4" s="30" t="s">
        <v>41</v>
      </c>
      <c r="B4" s="30">
        <v>2</v>
      </c>
      <c r="C4" s="33">
        <f>E4/1.12</f>
        <v>40.383928571428562</v>
      </c>
      <c r="D4" s="33">
        <f>C4/E4</f>
        <v>0.89285714285714268</v>
      </c>
      <c r="E4" s="33">
        <v>45.23</v>
      </c>
      <c r="F4" s="33">
        <f>E4*B4</f>
        <v>90.46</v>
      </c>
    </row>
    <row r="5" spans="1:6">
      <c r="A5" s="27" t="s">
        <v>38</v>
      </c>
      <c r="B5" s="27">
        <v>5</v>
      </c>
      <c r="C5" s="32">
        <f>E5/1.12</f>
        <v>53.17499999999999</v>
      </c>
      <c r="D5" s="32">
        <f>E5-C5</f>
        <v>6.3810000000000073</v>
      </c>
      <c r="E5" s="32">
        <f>F5/B5</f>
        <v>59.555999999999997</v>
      </c>
      <c r="F5" s="32">
        <f>SUM(F2:F4)</f>
        <v>297.77999999999997</v>
      </c>
    </row>
    <row r="11" spans="1:6">
      <c r="A11" s="31" t="s">
        <v>25</v>
      </c>
      <c r="B11" s="31" t="s">
        <v>8</v>
      </c>
      <c r="C11" s="31" t="s">
        <v>42</v>
      </c>
      <c r="D11" s="31" t="s">
        <v>43</v>
      </c>
      <c r="E11" s="31" t="s">
        <v>44</v>
      </c>
      <c r="F11" s="31" t="s">
        <v>45</v>
      </c>
    </row>
    <row r="12" spans="1:6">
      <c r="A12" s="28" t="s">
        <v>39</v>
      </c>
      <c r="B12" s="27">
        <v>2</v>
      </c>
      <c r="C12" s="32">
        <f>E12/1.12</f>
        <v>67.3125</v>
      </c>
      <c r="D12" s="32">
        <f>E12-C12</f>
        <v>8.0775000000000006</v>
      </c>
      <c r="E12" s="32">
        <v>75.39</v>
      </c>
      <c r="F12" s="32">
        <f>E12*B12</f>
        <v>150.78</v>
      </c>
    </row>
    <row r="13" spans="1:6">
      <c r="A13" s="29" t="s">
        <v>40</v>
      </c>
      <c r="B13" s="30">
        <v>1</v>
      </c>
      <c r="C13" s="33">
        <f>E13/1.12</f>
        <v>50.482142857142854</v>
      </c>
      <c r="D13" s="33">
        <f>E13-C13</f>
        <v>6.057857142857145</v>
      </c>
      <c r="E13" s="33">
        <v>56.54</v>
      </c>
      <c r="F13" s="33">
        <f>E13*B13</f>
        <v>56.54</v>
      </c>
    </row>
    <row r="14" spans="1:6">
      <c r="A14" s="30" t="s">
        <v>41</v>
      </c>
      <c r="B14" s="30">
        <v>2</v>
      </c>
      <c r="C14" s="33">
        <f>E14/1.12</f>
        <v>40.383928571428562</v>
      </c>
      <c r="D14" s="33">
        <f>C14/E14</f>
        <v>0.89285714285714268</v>
      </c>
      <c r="E14" s="33">
        <v>45.23</v>
      </c>
      <c r="F14" s="33">
        <f>E14*B14</f>
        <v>90.46</v>
      </c>
    </row>
    <row r="15" spans="1:6">
      <c r="A15" s="30" t="s">
        <v>46</v>
      </c>
      <c r="B15" s="30">
        <v>2</v>
      </c>
      <c r="C15" s="32">
        <f>E15/1.12</f>
        <v>67.3125</v>
      </c>
      <c r="D15" s="32">
        <f>E15-C15</f>
        <v>8.0775000000000006</v>
      </c>
      <c r="E15" s="32">
        <v>75.39</v>
      </c>
      <c r="F15" s="32">
        <f>E15*B15</f>
        <v>150.78</v>
      </c>
    </row>
    <row r="16" spans="1:6">
      <c r="A16" s="27" t="s">
        <v>38</v>
      </c>
      <c r="B16" s="27">
        <v>7</v>
      </c>
      <c r="C16" s="32">
        <f>E16/1.12</f>
        <v>57.214285714285708</v>
      </c>
      <c r="D16" s="32">
        <f>E16-C16</f>
        <v>6.8657142857142901</v>
      </c>
      <c r="E16" s="32">
        <f>F16/B16</f>
        <v>64.08</v>
      </c>
      <c r="F16" s="32">
        <f>SUM(F12:F15)</f>
        <v>448.55999999999995</v>
      </c>
    </row>
    <row r="19" spans="1:8">
      <c r="D19" s="26">
        <v>226.17</v>
      </c>
      <c r="E19" s="26">
        <f>D19/1.12</f>
        <v>201.93749999999997</v>
      </c>
      <c r="F19" s="26">
        <f>D19-E19</f>
        <v>24.232500000000016</v>
      </c>
    </row>
    <row r="22" spans="1:8">
      <c r="H22" s="35">
        <f>F26+F16+F5</f>
        <v>1032.81</v>
      </c>
    </row>
    <row r="23" spans="1:8">
      <c r="A23" s="31" t="s">
        <v>47</v>
      </c>
      <c r="B23" s="31" t="s">
        <v>8</v>
      </c>
      <c r="C23" s="31" t="s">
        <v>42</v>
      </c>
      <c r="D23" s="31" t="s">
        <v>43</v>
      </c>
      <c r="E23" s="31" t="s">
        <v>44</v>
      </c>
      <c r="F23" s="31" t="s">
        <v>45</v>
      </c>
    </row>
    <row r="24" spans="1:8">
      <c r="A24" s="34" t="s">
        <v>48</v>
      </c>
      <c r="B24" s="27">
        <v>2</v>
      </c>
      <c r="C24" s="32">
        <f>E24/1.12</f>
        <v>67.3125</v>
      </c>
      <c r="D24" s="32">
        <f>E24-C24</f>
        <v>8.0775000000000006</v>
      </c>
      <c r="E24" s="32">
        <v>75.39</v>
      </c>
      <c r="F24" s="32">
        <f>E24*B24</f>
        <v>150.78</v>
      </c>
    </row>
    <row r="25" spans="1:8">
      <c r="A25" s="29" t="s">
        <v>49</v>
      </c>
      <c r="B25" s="30">
        <v>3</v>
      </c>
      <c r="C25" s="33">
        <f>E25/1.12</f>
        <v>40.383928571428562</v>
      </c>
      <c r="D25" s="33">
        <f>E25-C25</f>
        <v>4.8460714285714346</v>
      </c>
      <c r="E25" s="33">
        <v>45.23</v>
      </c>
      <c r="F25" s="33">
        <f>E25*B25</f>
        <v>135.69</v>
      </c>
    </row>
    <row r="26" spans="1:8">
      <c r="A26" s="27" t="s">
        <v>38</v>
      </c>
      <c r="B26" s="27">
        <v>5</v>
      </c>
      <c r="C26" s="32">
        <f>E26/1.12</f>
        <v>51.155357142857142</v>
      </c>
      <c r="D26" s="32">
        <f>E26-C26</f>
        <v>6.1386428571428624</v>
      </c>
      <c r="E26" s="32">
        <f>F26/B26</f>
        <v>57.294000000000004</v>
      </c>
      <c r="F26" s="32">
        <f>SUM(F24:F25)</f>
        <v>286.47000000000003</v>
      </c>
    </row>
  </sheetData>
  <pageMargins left="0.75" right="0.75" top="1" bottom="1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Seattle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Oliveras</dc:creator>
  <cp:lastModifiedBy>Katie Oliveras</cp:lastModifiedBy>
  <dcterms:created xsi:type="dcterms:W3CDTF">2011-08-03T21:16:16Z</dcterms:created>
  <dcterms:modified xsi:type="dcterms:W3CDTF">2011-08-17T07:08:28Z</dcterms:modified>
</cp:coreProperties>
</file>