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olivi\Desktop\perks助研\"/>
    </mc:Choice>
  </mc:AlternateContent>
  <xr:revisionPtr revIDLastSave="0" documentId="13_ncr:1_{7DB95A57-A77B-4C9E-B251-2BA2BA565674}" xr6:coauthVersionLast="45" xr6:coauthVersionMax="45" xr10:uidLastSave="{00000000-0000-0000-0000-000000000000}"/>
  <bookViews>
    <workbookView xWindow="0" yWindow="600" windowWidth="19200" windowHeight="1020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1952" i="1" l="1"/>
  <c r="L1951" i="1"/>
  <c r="L1950" i="1"/>
  <c r="L1949" i="1"/>
  <c r="L1948" i="1"/>
  <c r="J1948" i="1"/>
  <c r="J1952" i="1"/>
  <c r="J1951" i="1"/>
  <c r="J1950" i="1"/>
  <c r="J1949" i="1"/>
  <c r="L1947" i="1"/>
  <c r="L1946" i="1"/>
  <c r="L1945" i="1"/>
  <c r="L1944" i="1"/>
  <c r="L1943" i="1"/>
  <c r="J1943" i="1"/>
  <c r="J1947" i="1"/>
  <c r="J1945" i="1"/>
  <c r="J1944" i="1"/>
  <c r="L1940" i="1"/>
  <c r="L1939" i="1"/>
  <c r="L1938" i="1"/>
  <c r="L1937" i="1"/>
  <c r="J1940" i="1"/>
  <c r="J1939" i="1"/>
  <c r="J1938" i="1"/>
  <c r="J1937" i="1"/>
  <c r="L1936" i="1"/>
  <c r="L1935" i="1"/>
  <c r="L1934" i="1"/>
  <c r="L1933" i="1"/>
  <c r="L1932" i="1"/>
  <c r="J1936" i="1"/>
  <c r="J1934" i="1"/>
  <c r="J1933" i="1"/>
  <c r="J1932" i="1"/>
  <c r="L1930" i="1"/>
  <c r="L1929" i="1"/>
  <c r="L1928" i="1"/>
  <c r="L1927" i="1"/>
  <c r="J1930" i="1"/>
  <c r="J1929" i="1"/>
  <c r="J1928" i="1"/>
  <c r="J1927" i="1"/>
  <c r="L1926" i="1"/>
  <c r="L1925" i="1"/>
  <c r="L1924" i="1"/>
  <c r="L1923" i="1"/>
  <c r="J1926" i="1"/>
  <c r="J1925" i="1"/>
  <c r="J1924" i="1"/>
  <c r="J1923" i="1"/>
  <c r="L1922" i="1"/>
  <c r="L1921" i="1"/>
  <c r="L1920" i="1"/>
  <c r="L1919" i="1"/>
  <c r="J1922" i="1"/>
  <c r="J1921" i="1"/>
  <c r="J1920" i="1"/>
  <c r="J1919" i="1"/>
  <c r="L1918" i="1"/>
  <c r="L1917" i="1"/>
  <c r="L1916" i="1"/>
  <c r="L1915" i="1"/>
  <c r="L1914" i="1"/>
  <c r="J1918" i="1"/>
  <c r="J1917" i="1"/>
  <c r="J1916" i="1"/>
  <c r="J1915" i="1"/>
  <c r="J1914" i="1"/>
  <c r="L1913" i="1"/>
  <c r="L1912" i="1"/>
  <c r="L1911" i="1"/>
  <c r="L1910" i="1"/>
  <c r="L1909" i="1"/>
  <c r="J1913" i="1"/>
  <c r="J1912" i="1"/>
  <c r="J1911" i="1"/>
  <c r="J1910" i="1"/>
  <c r="J1909" i="1"/>
  <c r="L1908" i="1"/>
  <c r="L1907" i="1"/>
  <c r="L1906" i="1"/>
  <c r="L1905" i="1"/>
  <c r="L1904" i="1"/>
  <c r="J1908" i="1"/>
  <c r="J1907" i="1"/>
  <c r="J1906" i="1"/>
  <c r="J1905" i="1"/>
  <c r="J1904" i="1"/>
  <c r="L1903" i="1"/>
  <c r="L1902" i="1"/>
  <c r="L1901" i="1"/>
  <c r="L1900" i="1"/>
  <c r="L1899" i="1"/>
  <c r="J1903" i="1"/>
  <c r="J1902" i="1"/>
  <c r="J1901" i="1"/>
  <c r="J1900" i="1"/>
  <c r="J1899" i="1"/>
  <c r="L1898" i="1"/>
  <c r="L1897" i="1"/>
  <c r="L1896" i="1"/>
  <c r="L1895" i="1"/>
  <c r="L1894" i="1"/>
  <c r="J1897" i="1"/>
  <c r="J1898" i="1"/>
  <c r="J1894" i="1"/>
  <c r="J1895" i="1"/>
  <c r="J1896" i="1"/>
  <c r="J1829" i="1" l="1"/>
  <c r="J1828" i="1"/>
  <c r="J1827" i="1"/>
  <c r="J1826" i="1"/>
  <c r="J1825" i="1"/>
  <c r="J1816" i="1"/>
  <c r="J1808" i="1"/>
  <c r="J1807" i="1"/>
  <c r="J1806" i="1"/>
  <c r="J1804" i="1"/>
  <c r="J1802" i="1"/>
  <c r="J1801" i="1"/>
  <c r="J1800" i="1"/>
  <c r="J1798" i="1"/>
  <c r="J1797" i="1"/>
  <c r="J1795" i="1"/>
  <c r="J1794" i="1"/>
  <c r="J1792" i="1"/>
  <c r="J1791" i="1"/>
  <c r="J1790" i="1"/>
  <c r="J1789" i="1"/>
  <c r="J1787" i="1"/>
  <c r="J1786" i="1"/>
  <c r="J1785" i="1"/>
  <c r="J1783" i="1"/>
  <c r="J1782" i="1"/>
  <c r="J1781" i="1"/>
  <c r="J1780" i="1"/>
  <c r="J1779" i="1"/>
  <c r="J1778" i="1"/>
  <c r="J1777" i="1"/>
  <c r="J1776" i="1"/>
  <c r="J1774" i="1"/>
  <c r="J1773" i="1"/>
  <c r="J1771" i="1"/>
  <c r="J1770" i="1"/>
  <c r="J1769" i="1"/>
  <c r="J1768" i="1"/>
  <c r="J1767" i="1"/>
  <c r="J1764" i="1"/>
  <c r="J1763" i="1"/>
  <c r="J1762" i="1"/>
  <c r="J1761" i="1"/>
  <c r="J1743" i="1" l="1"/>
  <c r="J1744" i="1"/>
  <c r="J1746" i="1"/>
  <c r="J1745" i="1"/>
  <c r="J1742" i="1"/>
  <c r="J1741" i="1"/>
  <c r="J1740" i="1"/>
  <c r="J1738" i="1"/>
  <c r="J1739" i="1"/>
  <c r="J1737" i="1"/>
  <c r="J1732" i="1" l="1"/>
  <c r="J1734" i="1"/>
  <c r="J1730" i="1"/>
  <c r="J1704" i="1" l="1"/>
  <c r="J1703" i="1"/>
  <c r="J1702" i="1"/>
  <c r="J1701" i="1"/>
  <c r="J1700" i="1"/>
  <c r="J1699" i="1"/>
  <c r="J1698" i="1"/>
  <c r="J1697" i="1"/>
  <c r="J1696" i="1"/>
  <c r="J1695" i="1"/>
  <c r="J1694" i="1"/>
  <c r="J1693" i="1"/>
  <c r="J1692" i="1"/>
  <c r="J1691" i="1"/>
  <c r="J1690" i="1"/>
  <c r="J1689" i="1"/>
  <c r="J1688" i="1"/>
  <c r="J1687" i="1"/>
  <c r="J1686" i="1"/>
  <c r="J1685" i="1"/>
  <c r="J1684" i="1"/>
  <c r="J1683" i="1"/>
  <c r="J1682" i="1"/>
  <c r="J1681" i="1"/>
  <c r="J1680" i="1"/>
  <c r="J1679" i="1"/>
  <c r="J1678" i="1"/>
  <c r="J1677" i="1"/>
  <c r="J1675" i="1"/>
  <c r="J1674" i="1"/>
  <c r="J1673" i="1"/>
  <c r="J1672" i="1"/>
  <c r="J1670" i="1"/>
  <c r="J1668" i="1"/>
  <c r="J1667" i="1"/>
  <c r="J1666" i="1"/>
  <c r="J1665" i="1"/>
  <c r="J1663" i="1"/>
  <c r="J1662" i="1"/>
  <c r="J1661" i="1"/>
  <c r="J1660" i="1"/>
  <c r="J1659" i="1"/>
  <c r="J1658" i="1"/>
  <c r="J1657" i="1"/>
  <c r="J1655" i="1"/>
  <c r="J1654" i="1"/>
  <c r="J1653" i="1"/>
  <c r="J1651" i="1"/>
  <c r="J1649" i="1"/>
  <c r="J1648" i="1"/>
  <c r="J1647" i="1"/>
  <c r="J1645" i="1"/>
  <c r="J1644" i="1"/>
  <c r="J1643" i="1"/>
  <c r="J1642" i="1"/>
  <c r="J1641" i="1"/>
  <c r="J1640" i="1"/>
  <c r="J1639" i="1"/>
  <c r="J1638" i="1"/>
  <c r="J1637" i="1"/>
  <c r="J1636" i="1"/>
  <c r="J1635" i="1"/>
  <c r="X1634" i="1"/>
  <c r="X1633" i="1"/>
  <c r="X1632" i="1"/>
  <c r="X1631" i="1"/>
  <c r="X1630" i="1"/>
  <c r="Q1631" i="1"/>
  <c r="Q1630" i="1"/>
  <c r="Q1628" i="1"/>
  <c r="J1634" i="1"/>
  <c r="J1633" i="1"/>
  <c r="J1632" i="1"/>
  <c r="J1631" i="1"/>
  <c r="J1630" i="1"/>
  <c r="J1628" i="1"/>
  <c r="J1626" i="1" l="1"/>
  <c r="J1625" i="1"/>
  <c r="J1624" i="1"/>
  <c r="J1623" i="1"/>
  <c r="J1622" i="1"/>
  <c r="J1611" i="1"/>
  <c r="J1610" i="1"/>
  <c r="J1608" i="1"/>
  <c r="J1609" i="1"/>
  <c r="L1612" i="1"/>
  <c r="L1611" i="1"/>
  <c r="L1610" i="1"/>
  <c r="L1608" i="1"/>
  <c r="L1609" i="1"/>
  <c r="AM1607" i="1" l="1"/>
  <c r="L1590" i="1"/>
  <c r="L1586" i="1"/>
  <c r="N1533" i="1" l="1"/>
  <c r="AR1533" i="1"/>
  <c r="Z1533" i="1"/>
  <c r="Z1532" i="1"/>
  <c r="AB1535" i="1"/>
  <c r="AP1535" i="1"/>
  <c r="J1531" i="1"/>
  <c r="J1530" i="1"/>
  <c r="J1529" i="1"/>
  <c r="J1528" i="1"/>
  <c r="J1527" i="1"/>
  <c r="J1526" i="1"/>
  <c r="J1525" i="1"/>
  <c r="J1524" i="1"/>
  <c r="J1523" i="1"/>
  <c r="J1522" i="1"/>
  <c r="J1521" i="1"/>
  <c r="J1520" i="1"/>
  <c r="J1519" i="1"/>
  <c r="J1518" i="1"/>
  <c r="J1517" i="1"/>
  <c r="J1516" i="1"/>
  <c r="J1515" i="1"/>
  <c r="J1514" i="1"/>
  <c r="J1513" i="1"/>
  <c r="J1512" i="1"/>
  <c r="J1511" i="1"/>
  <c r="J1510" i="1"/>
  <c r="J1509" i="1"/>
  <c r="J1508" i="1"/>
  <c r="J1507" i="1"/>
  <c r="J1505" i="1"/>
  <c r="J1504" i="1"/>
  <c r="J1503" i="1"/>
  <c r="J1502" i="1"/>
  <c r="J1500" i="1"/>
  <c r="J1499" i="1"/>
  <c r="J1498" i="1"/>
  <c r="J1497" i="1"/>
  <c r="J1495" i="1"/>
  <c r="J1490" i="1"/>
  <c r="J1489" i="1"/>
  <c r="J1488" i="1"/>
  <c r="J1487" i="1"/>
  <c r="J1486" i="1"/>
  <c r="J1485" i="1"/>
  <c r="J1484" i="1"/>
  <c r="J1472" i="1" l="1"/>
  <c r="J1471" i="1"/>
  <c r="J1470" i="1"/>
  <c r="J1469" i="1"/>
  <c r="J1468" i="1"/>
  <c r="Q1463" i="1"/>
  <c r="Q1462" i="1"/>
  <c r="J1461" i="1"/>
  <c r="J1460" i="1"/>
  <c r="J1459" i="1"/>
  <c r="J1458" i="1"/>
  <c r="J1456" i="1"/>
  <c r="J1455" i="1"/>
  <c r="J1454" i="1"/>
  <c r="J1453" i="1"/>
  <c r="J1451" i="1"/>
  <c r="J1450" i="1"/>
  <c r="J1449" i="1"/>
  <c r="J1446" i="1"/>
  <c r="J1445" i="1" l="1"/>
  <c r="J1444" i="1"/>
  <c r="J1441" i="1"/>
  <c r="J1345" i="1" l="1"/>
  <c r="J1344" i="1"/>
  <c r="J1343" i="1"/>
  <c r="J1342" i="1"/>
  <c r="J1341" i="1"/>
  <c r="J1339" i="1"/>
  <c r="J1338" i="1"/>
  <c r="J1337" i="1"/>
  <c r="J1336" i="1"/>
  <c r="J1335" i="1"/>
  <c r="J1333" i="1"/>
  <c r="J1332" i="1"/>
  <c r="J1331" i="1"/>
  <c r="J1330" i="1"/>
  <c r="J1329" i="1"/>
  <c r="J1328" i="1"/>
  <c r="J1327" i="1"/>
  <c r="J1326" i="1"/>
  <c r="J1325" i="1"/>
  <c r="J1324" i="1"/>
  <c r="J1319" i="1"/>
  <c r="J1323" i="1"/>
  <c r="J1322" i="1"/>
  <c r="J1321" i="1"/>
  <c r="J1320" i="1"/>
  <c r="J1318" i="1"/>
  <c r="J1317" i="1"/>
  <c r="J1316" i="1"/>
  <c r="J1315" i="1"/>
  <c r="J1314" i="1"/>
  <c r="J1313" i="1"/>
  <c r="J1312" i="1"/>
  <c r="J1311" i="1"/>
  <c r="J1310" i="1"/>
  <c r="J1309" i="1"/>
  <c r="J1307" i="1"/>
  <c r="J1306" i="1"/>
  <c r="J1305" i="1"/>
  <c r="J1304" i="1"/>
  <c r="J1303" i="1"/>
  <c r="J1302" i="1"/>
  <c r="J1301" i="1"/>
  <c r="J1300" i="1"/>
  <c r="J1299" i="1"/>
  <c r="J1298" i="1"/>
  <c r="J1297" i="1"/>
  <c r="J1296" i="1"/>
  <c r="J1295" i="1"/>
  <c r="J1293" i="1"/>
  <c r="J1292" i="1"/>
  <c r="J1287" i="1"/>
  <c r="J1291" i="1"/>
  <c r="J1290" i="1"/>
  <c r="J1289" i="1"/>
  <c r="J1288" i="1"/>
  <c r="AA1268" i="1"/>
  <c r="AA1262" i="1"/>
  <c r="AB1249" i="1"/>
  <c r="U1229" i="1"/>
  <c r="U1228" i="1"/>
  <c r="U1227" i="1"/>
  <c r="U1226" i="1"/>
  <c r="U1225" i="1"/>
  <c r="J1229" i="1"/>
  <c r="J1227" i="1"/>
  <c r="J1226" i="1"/>
  <c r="J1225" i="1"/>
  <c r="U1224" i="1"/>
  <c r="U1223" i="1"/>
  <c r="U1222" i="1"/>
  <c r="U1221" i="1"/>
  <c r="U1220" i="1"/>
  <c r="J1221" i="1"/>
  <c r="J1222" i="1"/>
  <c r="J1223" i="1"/>
  <c r="J1220" i="1"/>
  <c r="U1216" i="1"/>
  <c r="U1217" i="1"/>
  <c r="U1219" i="1"/>
  <c r="U1218" i="1"/>
  <c r="U1215" i="1"/>
  <c r="J1216" i="1"/>
  <c r="J1217" i="1"/>
  <c r="J1218" i="1"/>
  <c r="J1215" i="1"/>
  <c r="J1212" i="1"/>
  <c r="J1213" i="1"/>
  <c r="J1210" i="1"/>
  <c r="J1209" i="1"/>
  <c r="J1211" i="1"/>
  <c r="M1213" i="1"/>
  <c r="M1212" i="1"/>
  <c r="M1211" i="1"/>
  <c r="M1210" i="1"/>
  <c r="M1209" i="1"/>
  <c r="J1205" i="1"/>
  <c r="J1207" i="1"/>
  <c r="J1204" i="1"/>
  <c r="J1206" i="1"/>
  <c r="J1202" i="1"/>
  <c r="J1203" i="1"/>
  <c r="J1200" i="1"/>
  <c r="J1199" i="1"/>
  <c r="J1201" i="1"/>
  <c r="J1197" i="1"/>
  <c r="J1198" i="1"/>
  <c r="J1195" i="1"/>
  <c r="J1194" i="1"/>
  <c r="J1196" i="1"/>
  <c r="J1192" i="1"/>
  <c r="J1193" i="1"/>
  <c r="J1190" i="1"/>
  <c r="J1189" i="1"/>
  <c r="J1191" i="1"/>
  <c r="J1188" i="1"/>
  <c r="J1185" i="1"/>
  <c r="J1186" i="1"/>
  <c r="J1184" i="1"/>
  <c r="J1187" i="1"/>
  <c r="J1183" i="1"/>
  <c r="J1180" i="1"/>
  <c r="J1178" i="1"/>
  <c r="J1181" i="1"/>
  <c r="J1175" i="1"/>
  <c r="J1172" i="1"/>
  <c r="J1176" i="1"/>
  <c r="J1174" i="1"/>
  <c r="J1173" i="1"/>
  <c r="J1177" i="1"/>
  <c r="J1170" i="1"/>
  <c r="J1167" i="1"/>
  <c r="J1171" i="1"/>
  <c r="J1169" i="1"/>
  <c r="J1168" i="1"/>
  <c r="J1165" i="1"/>
  <c r="J1162" i="1"/>
  <c r="J1166" i="1"/>
  <c r="J1164" i="1"/>
  <c r="J1163" i="1"/>
  <c r="AB1101" i="1"/>
  <c r="M1100" i="1"/>
  <c r="M1101" i="1"/>
  <c r="M1099" i="1"/>
  <c r="M1104" i="1"/>
  <c r="M1102" i="1"/>
  <c r="AB1096" i="1"/>
  <c r="M1098" i="1"/>
  <c r="M1097" i="1"/>
  <c r="M1096" i="1"/>
  <c r="M1095" i="1"/>
  <c r="M1094" i="1"/>
  <c r="M1093" i="1"/>
  <c r="M1090" i="1"/>
  <c r="M1092" i="1"/>
  <c r="M1091" i="1"/>
  <c r="M1089" i="1"/>
  <c r="J1084" i="1"/>
  <c r="J1083" i="1"/>
  <c r="J1079" i="1"/>
  <c r="J1074" i="1"/>
  <c r="J1068" i="1"/>
  <c r="J1063" i="1"/>
  <c r="J1057" i="1"/>
  <c r="J1051" i="1"/>
  <c r="J1030" i="1"/>
  <c r="J1045" i="1"/>
  <c r="J1039" i="1"/>
  <c r="J1037" i="1"/>
  <c r="J1033" i="1"/>
  <c r="J1032" i="1"/>
  <c r="J1031" i="1"/>
  <c r="J1028" i="1"/>
  <c r="J1027" i="1"/>
  <c r="J1026" i="1"/>
  <c r="J1025" i="1"/>
  <c r="J1023" i="1"/>
  <c r="J1022" i="1"/>
  <c r="J1021" i="1"/>
  <c r="J1020" i="1"/>
  <c r="M994" i="1"/>
  <c r="M1000" i="1"/>
  <c r="M957" i="1"/>
  <c r="M963" i="1"/>
  <c r="M970" i="1"/>
  <c r="M969" i="1"/>
  <c r="M968" i="1"/>
  <c r="M967" i="1"/>
  <c r="M966" i="1"/>
  <c r="M951" i="1"/>
  <c r="M956" i="1"/>
  <c r="M962" i="1"/>
  <c r="M964" i="1"/>
  <c r="M961" i="1"/>
  <c r="M960" i="1"/>
  <c r="AE955" i="1"/>
  <c r="M959" i="1"/>
  <c r="M958" i="1"/>
  <c r="M955" i="1"/>
  <c r="M954" i="1"/>
  <c r="M953" i="1"/>
  <c r="M940" i="1"/>
  <c r="M946" i="1"/>
  <c r="AE950" i="1"/>
  <c r="M952" i="1"/>
  <c r="M950" i="1"/>
  <c r="M949" i="1"/>
  <c r="M948" i="1"/>
  <c r="M947" i="1"/>
  <c r="AE944" i="1"/>
  <c r="M945" i="1"/>
  <c r="M944" i="1"/>
  <c r="M943" i="1"/>
  <c r="M942" i="1"/>
  <c r="M941" i="1"/>
  <c r="AE938" i="1"/>
  <c r="M934" i="1"/>
  <c r="M929" i="1"/>
  <c r="M923" i="1"/>
  <c r="J3" i="1"/>
  <c r="J4" i="1"/>
  <c r="J5" i="1"/>
  <c r="J6" i="1"/>
  <c r="J8" i="1"/>
  <c r="J9" i="1"/>
  <c r="J10" i="1"/>
  <c r="J11" i="1"/>
  <c r="J13" i="1"/>
  <c r="J15" i="1"/>
  <c r="J16" i="1"/>
  <c r="J18" i="1"/>
  <c r="J19" i="1"/>
  <c r="J20" i="1"/>
  <c r="J21" i="1"/>
  <c r="J22" i="1"/>
  <c r="J24" i="1"/>
  <c r="J25" i="1"/>
  <c r="J26" i="1"/>
  <c r="AY26" i="1"/>
  <c r="J27" i="1"/>
  <c r="AY36" i="1"/>
  <c r="AY43" i="1"/>
  <c r="AY45" i="1"/>
  <c r="J49" i="1"/>
  <c r="J50" i="1"/>
  <c r="AY50" i="1"/>
  <c r="J51" i="1"/>
  <c r="J52" i="1"/>
  <c r="J53" i="1"/>
  <c r="J54" i="1"/>
  <c r="J55" i="1"/>
  <c r="AY55" i="1"/>
  <c r="J56" i="1"/>
  <c r="J57" i="1"/>
  <c r="J58" i="1"/>
  <c r="J59" i="1"/>
  <c r="AY59" i="1"/>
  <c r="J60" i="1"/>
  <c r="AY60" i="1"/>
  <c r="J61" i="1"/>
  <c r="J62" i="1"/>
  <c r="J63" i="1"/>
  <c r="J64" i="1"/>
  <c r="L64" i="1"/>
  <c r="J65" i="1"/>
  <c r="AY65" i="1"/>
  <c r="J66" i="1"/>
  <c r="J67" i="1"/>
  <c r="J68" i="1"/>
  <c r="AX68" i="1"/>
  <c r="J69" i="1"/>
  <c r="J70" i="1"/>
  <c r="J71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M200" i="1"/>
  <c r="M201" i="1"/>
  <c r="M202" i="1"/>
  <c r="M203" i="1"/>
  <c r="AJ352" i="1"/>
  <c r="AX361" i="1"/>
  <c r="AX362" i="1"/>
  <c r="AX364" i="1"/>
  <c r="AX367" i="1"/>
  <c r="AY371" i="1"/>
  <c r="J469" i="1"/>
  <c r="Q469" i="1"/>
  <c r="J470" i="1"/>
  <c r="Q470" i="1"/>
  <c r="J471" i="1"/>
  <c r="J472" i="1"/>
  <c r="J473" i="1"/>
  <c r="J475" i="1"/>
  <c r="Q475" i="1"/>
  <c r="J476" i="1"/>
  <c r="J477" i="1"/>
  <c r="J478" i="1"/>
  <c r="J479" i="1"/>
  <c r="J480" i="1"/>
  <c r="J481" i="1"/>
  <c r="Q481" i="1"/>
  <c r="J482" i="1"/>
  <c r="J483" i="1"/>
  <c r="J484" i="1"/>
  <c r="J486" i="1"/>
  <c r="Q486" i="1"/>
  <c r="J487" i="1"/>
  <c r="Q487" i="1"/>
  <c r="J488" i="1"/>
  <c r="J489" i="1"/>
  <c r="J490" i="1"/>
  <c r="J491" i="1"/>
  <c r="Q491" i="1"/>
  <c r="J492" i="1"/>
  <c r="J493" i="1"/>
  <c r="J494" i="1"/>
  <c r="J495" i="1"/>
  <c r="J496" i="1"/>
  <c r="Q496" i="1"/>
  <c r="J497" i="1"/>
  <c r="J498" i="1"/>
  <c r="J499" i="1"/>
  <c r="J500" i="1"/>
  <c r="J736" i="1"/>
  <c r="J738" i="1"/>
  <c r="J743" i="1"/>
  <c r="N798" i="1"/>
  <c r="AR798" i="1"/>
  <c r="L799" i="1"/>
  <c r="L800" i="1"/>
  <c r="L801" i="1"/>
  <c r="L802" i="1"/>
  <c r="L803" i="1"/>
  <c r="L804" i="1"/>
  <c r="AB905" i="1"/>
</calcChain>
</file>

<file path=xl/sharedStrings.xml><?xml version="1.0" encoding="utf-8"?>
<sst xmlns="http://schemas.openxmlformats.org/spreadsheetml/2006/main" count="11526" uniqueCount="770">
  <si>
    <t>cik</t>
  </si>
  <si>
    <t>0000813828</t>
  </si>
  <si>
    <t>0001555280</t>
  </si>
  <si>
    <t>0000819220</t>
  </si>
  <si>
    <t>0000816159</t>
  </si>
  <si>
    <t>0000799231</t>
  </si>
  <si>
    <t>0000814547</t>
  </si>
  <si>
    <t>0000820081</t>
  </si>
  <si>
    <t>0000770944</t>
  </si>
  <si>
    <t>0001552800</t>
  </si>
  <si>
    <t>0000801351</t>
  </si>
  <si>
    <t>0001644147</t>
  </si>
  <si>
    <t>0000822818</t>
  </si>
  <si>
    <t>0000819793</t>
  </si>
  <si>
    <t>0000825410</t>
  </si>
  <si>
    <t>0000813621</t>
  </si>
  <si>
    <t>0000820237</t>
  </si>
  <si>
    <t>0000815556</t>
  </si>
  <si>
    <t>0000743316</t>
  </si>
  <si>
    <t>0000853273</t>
  </si>
  <si>
    <t>0000820313</t>
  </si>
  <si>
    <t>0000003116</t>
  </si>
  <si>
    <t>0000931015</t>
  </si>
  <si>
    <t>0000768251</t>
  </si>
  <si>
    <t>0001038357</t>
  </si>
  <si>
    <t>0000871763</t>
  </si>
  <si>
    <t>0000780434</t>
  </si>
  <si>
    <t>0000823094</t>
  </si>
  <si>
    <t>0000789570</t>
  </si>
  <si>
    <t>0001546640</t>
  </si>
  <si>
    <t>0000821407</t>
  </si>
  <si>
    <t>0000842699</t>
  </si>
  <si>
    <t>0000823768</t>
  </si>
  <si>
    <t>0001571996</t>
  </si>
  <si>
    <t>0000832428</t>
  </si>
  <si>
    <t>0001651347</t>
  </si>
  <si>
    <t>0000820318</t>
  </si>
  <si>
    <t>0001333274</t>
  </si>
  <si>
    <t>0000831259</t>
  </si>
  <si>
    <t>0000836106</t>
  </si>
  <si>
    <t>0000800240</t>
  </si>
  <si>
    <t>0000835729</t>
  </si>
  <si>
    <t>0000833079</t>
  </si>
  <si>
    <t>0001037676</t>
  </si>
  <si>
    <t>0000831861</t>
  </si>
  <si>
    <t>0000835011</t>
  </si>
  <si>
    <t>0000724941</t>
  </si>
  <si>
    <t>0000910638</t>
  </si>
  <si>
    <t>0000833081</t>
  </si>
  <si>
    <t>0000815838</t>
  </si>
  <si>
    <t>0001090012</t>
  </si>
  <si>
    <t>coname</t>
  </si>
  <si>
    <t>CBS CORP</t>
  </si>
  <si>
    <t>ZOETIS INC</t>
  </si>
  <si>
    <t>MULTI-COLOR CORP</t>
  </si>
  <si>
    <t>AIR METHODS CORP</t>
  </si>
  <si>
    <t>ALMOST FAMILY INC</t>
  </si>
  <si>
    <t>FAIR ISAAC CORP</t>
  </si>
  <si>
    <t>CAMBREX CORP</t>
  </si>
  <si>
    <t>BALLY TOTAL FITNESS HLDG CP</t>
  </si>
  <si>
    <t>TILE SHOP HOLDINGS INC</t>
  </si>
  <si>
    <t>WARNACO GROUP INC</t>
  </si>
  <si>
    <t>NEIMAN MARCUS GROUP INC</t>
  </si>
  <si>
    <t>CLEAN HARBORS INC</t>
  </si>
  <si>
    <t>ALBANY INTL CORP  -CL A</t>
  </si>
  <si>
    <t>LANDAUER INC</t>
  </si>
  <si>
    <t>AMCOL INTERNATIONAL CORP</t>
  </si>
  <si>
    <t>GEN-PROBE INC</t>
  </si>
  <si>
    <t>FASTENAL CO</t>
  </si>
  <si>
    <t>MAXIM INTEGRATED PRODUCTS</t>
  </si>
  <si>
    <t>BORLAND SOFTWARE CORP</t>
  </si>
  <si>
    <t>AMPHENOL CORP</t>
  </si>
  <si>
    <t>AKORN INC</t>
  </si>
  <si>
    <t>POLARIS INDUSTRIES INC</t>
  </si>
  <si>
    <t>ALTERA CORP</t>
  </si>
  <si>
    <t>PIONEER NATURAL RESOURCES CO</t>
  </si>
  <si>
    <t>MANPOWERGROUP</t>
  </si>
  <si>
    <t>RESPIRONICS INC</t>
  </si>
  <si>
    <t>SOTHEBY'S</t>
  </si>
  <si>
    <t>MGM RESORTS INTERNATIONAL</t>
  </si>
  <si>
    <t>ADT CORP</t>
  </si>
  <si>
    <t>WOLVERINE TUBE INC</t>
  </si>
  <si>
    <t>PLAYTEX PRODUCTS INC</t>
  </si>
  <si>
    <t>WASTE MANAGEMENT INC</t>
  </si>
  <si>
    <t>DELL TECHNOLOGIES INC</t>
  </si>
  <si>
    <t>EW SCRIPPS  -CL A</t>
  </si>
  <si>
    <t>ACELITY HOLDINGS INC -REDH</t>
  </si>
  <si>
    <t>II-VI INC</t>
  </si>
  <si>
    <t>MERCER INTL INC</t>
  </si>
  <si>
    <t>FREEPORT-MCMORAN INC</t>
  </si>
  <si>
    <t>NOVELLUS SYSTEMS INC</t>
  </si>
  <si>
    <t>OFFICE DEPOT INC</t>
  </si>
  <si>
    <t>BMC SOFTWARE INC</t>
  </si>
  <si>
    <t>MERITAGE HOMES CORP</t>
  </si>
  <si>
    <t>ARCH COAL INC</t>
  </si>
  <si>
    <t>CONCORD CAMERA CORP</t>
  </si>
  <si>
    <t>MGP INGREDIENTS INC</t>
  </si>
  <si>
    <t>MERISEL INC</t>
  </si>
  <si>
    <t>3D SYSTEMS CORP</t>
  </si>
  <si>
    <t>PRIDE INTERNATIONAL INC</t>
  </si>
  <si>
    <t>NOVEN PHARMACEUTICALS INC</t>
  </si>
  <si>
    <t>DEVON ENERGY CORP</t>
  </si>
  <si>
    <t>exec_fullname</t>
  </si>
  <si>
    <t>Sumner M. Redstone</t>
  </si>
  <si>
    <t>Fredric G. Reynolds</t>
  </si>
  <si>
    <t>Leslie Moonves, II</t>
  </si>
  <si>
    <t>Louis J. Briskman</t>
  </si>
  <si>
    <t>Susan C. Gordon, CPA</t>
  </si>
  <si>
    <t>Joseph R. Ianniello</t>
  </si>
  <si>
    <t>Martin D. Franks</t>
  </si>
  <si>
    <t>Anthony G. Ambrosio</t>
  </si>
  <si>
    <t>Lawrence P. Tu</t>
  </si>
  <si>
    <t>Gil D. Schwartz</t>
  </si>
  <si>
    <t>Jonathan H. Anschell</t>
  </si>
  <si>
    <t>Richard M. Jones</t>
  </si>
  <si>
    <t>Christina Spade</t>
  </si>
  <si>
    <t>Richard A. Passov</t>
  </si>
  <si>
    <t>Juan Ramn Alaix</t>
  </si>
  <si>
    <t>Kristin C. Peck</t>
  </si>
  <si>
    <t>Clinton A. Lewis, Jr.</t>
  </si>
  <si>
    <t>Catherine A. Knupp</t>
  </si>
  <si>
    <t>Paul S. Herendeen</t>
  </si>
  <si>
    <t>Glenn C. David</t>
  </si>
  <si>
    <t>Francis D. Gerace</t>
  </si>
  <si>
    <t>Dawn H. Bertsche</t>
  </si>
  <si>
    <t>James H. Reynolds</t>
  </si>
  <si>
    <t>Donald E. Kneir</t>
  </si>
  <si>
    <t>Nigel A. Vinecombe</t>
  </si>
  <si>
    <t>Sharon E. Birkett</t>
  </si>
  <si>
    <t>Vadis A. Rodato</t>
  </si>
  <si>
    <t>Floyd E. Needham</t>
  </si>
  <si>
    <t>Timothy P. Lutz</t>
  </si>
  <si>
    <t>David G. Buse</t>
  </si>
  <si>
    <t>Michael Julia Henry</t>
  </si>
  <si>
    <t>Michael D. Cook</t>
  </si>
  <si>
    <t>Aaron D. Todd, III</t>
  </si>
  <si>
    <t>Trent J. Carman</t>
  </si>
  <si>
    <t>David L. Dolstein</t>
  </si>
  <si>
    <t>Michael D. Allen</t>
  </si>
  <si>
    <t>Sharon J. Keck</t>
  </si>
  <si>
    <t>Paul H. Tate</t>
  </si>
  <si>
    <t>Edward T. Rupert</t>
  </si>
  <si>
    <t>Crystal L. Gordon</t>
  </si>
  <si>
    <t>David Michael Doerr</t>
  </si>
  <si>
    <t>Peter P. Csapo</t>
  </si>
  <si>
    <t>Anne T. Liechty</t>
  </si>
  <si>
    <t>Phyllis D. Montville</t>
  </si>
  <si>
    <t>William B. Yarmuth</t>
  </si>
  <si>
    <t>Cathy S. Newhouse</t>
  </si>
  <si>
    <t>C. Steven Guenthner</t>
  </si>
  <si>
    <t>Patrick Todd Lyles</t>
  </si>
  <si>
    <t>Nancy G. Ralston</t>
  </si>
  <si>
    <t>Rajneesh Kaushal</t>
  </si>
  <si>
    <t>Daniel J. Schwartz</t>
  </si>
  <si>
    <t>Sandra Hogston</t>
  </si>
  <si>
    <t>Thomas G. Grudnowski</t>
  </si>
  <si>
    <t>Eric Educate</t>
  </si>
  <si>
    <t>Charles M. Osborne</t>
  </si>
  <si>
    <t>Michael S. Chiappetta</t>
  </si>
  <si>
    <t>Michael H. Campbell</t>
  </si>
  <si>
    <t>Mark N. Greene</t>
  </si>
  <si>
    <t>Bernhard Nann</t>
  </si>
  <si>
    <t>Richard Shawn Deal</t>
  </si>
  <si>
    <t>Mark Russell Scadina</t>
  </si>
  <si>
    <t>Thomas A. Bradley</t>
  </si>
  <si>
    <t>Deborah Linda Kerr</t>
  </si>
  <si>
    <t>Charles L. Ill, III</t>
  </si>
  <si>
    <t>Jordan W. Graham</t>
  </si>
  <si>
    <t>Michael Joseph Pung</t>
  </si>
  <si>
    <t>Stuart C. Wells</t>
  </si>
  <si>
    <t>William J. Lansing</t>
  </si>
  <si>
    <t>James M. Wehmann</t>
  </si>
  <si>
    <t>Wayne Elliot Huyard</t>
  </si>
  <si>
    <t>Steven M. Klosk</t>
  </si>
  <si>
    <t>James A. Mack</t>
  </si>
  <si>
    <t>Paolo Russolo</t>
  </si>
  <si>
    <t>Luke M. Beshar, CPA, CPA</t>
  </si>
  <si>
    <t>Gary L. Mossman</t>
  </si>
  <si>
    <t>Thomas N. Bird</t>
  </si>
  <si>
    <t>Peter E. Thauer, Esq.</t>
  </si>
  <si>
    <t>Gregory P. Sargen</t>
  </si>
  <si>
    <t>Aldo G. Magnini</t>
  </si>
  <si>
    <t>F. Michael Zachara</t>
  </si>
  <si>
    <t>Shawn P. Cavanagh</t>
  </si>
  <si>
    <t>William M. Haskel</t>
  </si>
  <si>
    <t>Samantha M. Hanley</t>
  </si>
  <si>
    <t>Tom G. Vadaketh</t>
  </si>
  <si>
    <t>John H. Wildman</t>
  </si>
  <si>
    <t>Paul A. Toback</t>
  </si>
  <si>
    <t>Marc D. Bassewitz</t>
  </si>
  <si>
    <t>Barry R. Elson</t>
  </si>
  <si>
    <t>Ronald G. Eidell</t>
  </si>
  <si>
    <t>Carl Landeck</t>
  </si>
  <si>
    <t>James A. McDonald</t>
  </si>
  <si>
    <t>Joseph Kinder</t>
  </si>
  <si>
    <t>Carl Randazzo</t>
  </si>
  <si>
    <t>Robert A. Rucker</t>
  </si>
  <si>
    <t>Leigh M. Behrman</t>
  </si>
  <si>
    <t>Timothy C. Clayton</t>
  </si>
  <si>
    <t>Chris R. Homeister</t>
  </si>
  <si>
    <t>Kirk L. Geadelmann</t>
  </si>
  <si>
    <t>Lynda W. Stout</t>
  </si>
  <si>
    <t>Joyce Maruniak</t>
  </si>
  <si>
    <t>Cabell H. Lolmaugh</t>
  </si>
  <si>
    <t>Stanley P. Silverstein</t>
  </si>
  <si>
    <t>Joseph R. Gromek</t>
  </si>
  <si>
    <t>Lawrence R. Rutkowski</t>
  </si>
  <si>
    <t>Frank Tworecke</t>
  </si>
  <si>
    <t>Helen E. McCluskey</t>
  </si>
  <si>
    <t>Dwight Meyer</t>
  </si>
  <si>
    <t>Burton M. Tansky</t>
  </si>
  <si>
    <t>Karen W. Katz</t>
  </si>
  <si>
    <t>James E. Skinner, CPA</t>
  </si>
  <si>
    <t>Brendan L. Hoffman</t>
  </si>
  <si>
    <t>James J. Gold</t>
  </si>
  <si>
    <t>Gerald A. Barnes</t>
  </si>
  <si>
    <t>Nelson A. Bangs</t>
  </si>
  <si>
    <t>Phillip L. Maxwell</t>
  </si>
  <si>
    <t>Marita ODea Glodt</t>
  </si>
  <si>
    <t>Thomas J. Lind</t>
  </si>
  <si>
    <t>John E. Koryl</t>
  </si>
  <si>
    <t>Joshua G. Schulman</t>
  </si>
  <si>
    <t>Eric W. Gerstenberg</t>
  </si>
  <si>
    <t>James M. Rutledge</t>
  </si>
  <si>
    <t>David M. Parry</t>
  </si>
  <si>
    <t>Eugene A. Cookson, Jr.</t>
  </si>
  <si>
    <t>Alan S. McKim</t>
  </si>
  <si>
    <t>Brian P. Weber</t>
  </si>
  <si>
    <t>Robert E. Gagnon</t>
  </si>
  <si>
    <t>Michael L. Battles</t>
  </si>
  <si>
    <t>David J. Vergo</t>
  </si>
  <si>
    <t>Michael C. Nahl</t>
  </si>
  <si>
    <t>William M. McCarthy</t>
  </si>
  <si>
    <t>Joseph G. Morone</t>
  </si>
  <si>
    <t>Dieter Polt</t>
  </si>
  <si>
    <t>Thomas H. Curry</t>
  </si>
  <si>
    <t>Daniel A. Halftermeyer</t>
  </si>
  <si>
    <t>David B. Madden</t>
  </si>
  <si>
    <t>Ralph M. Polumbo</t>
  </si>
  <si>
    <t>Michael J. Joyce</t>
  </si>
  <si>
    <t>John B. Cozzolino</t>
  </si>
  <si>
    <t>Michael K. Burke</t>
  </si>
  <si>
    <t>Robert A. Hansen</t>
  </si>
  <si>
    <t>Diane M. Loudon</t>
  </si>
  <si>
    <t>Charles J. Silva, Jr.</t>
  </si>
  <si>
    <t>Olivier M. Jarrault</t>
  </si>
  <si>
    <t>William E. Saxelby</t>
  </si>
  <si>
    <t>Jonathon M. Singer</t>
  </si>
  <si>
    <t>James M. O'Connell</t>
  </si>
  <si>
    <t>Richard E. Bailey</t>
  </si>
  <si>
    <t>R. Craig Yoder, Ph.D.</t>
  </si>
  <si>
    <t>Gregory A. Ozga</t>
  </si>
  <si>
    <t>Michael T. Leatherman</t>
  </si>
  <si>
    <t>Michael Ross Kennedy</t>
  </si>
  <si>
    <t>Michael P. Kaminski</t>
  </si>
  <si>
    <t>George Douglas King</t>
  </si>
  <si>
    <t>Mark A. Zorko</t>
  </si>
  <si>
    <t>Daniel J. Fujii</t>
  </si>
  <si>
    <t>Lawrence E. Washow</t>
  </si>
  <si>
    <t>Gary L. Castagna</t>
  </si>
  <si>
    <t>Gary D. Morrison</t>
  </si>
  <si>
    <t>Ryan F. McKendrick</t>
  </si>
  <si>
    <t>Donald W. Pearson</t>
  </si>
  <si>
    <t>Michael R. Johnson</t>
  </si>
  <si>
    <t>Robert J. Trauger</t>
  </si>
  <si>
    <t>James W. Ashley, Jr.</t>
  </si>
  <si>
    <t>Henry L. Nordhoff</t>
  </si>
  <si>
    <t>Daniel L. Kacian, Ph.D., M.D.</t>
  </si>
  <si>
    <t>Niall Conway</t>
  </si>
  <si>
    <t>R. William Bowen, J.D.</t>
  </si>
  <si>
    <t>Herman Rosenman</t>
  </si>
  <si>
    <t>Larry T. Mimms</t>
  </si>
  <si>
    <t>Diane De Walt</t>
  </si>
  <si>
    <t>Carl W. Hull</t>
  </si>
  <si>
    <t>Eric X. Tardif</t>
  </si>
  <si>
    <t>Eric Lai, Ph.D.</t>
  </si>
  <si>
    <t>Jorgine Ellerbrock</t>
  </si>
  <si>
    <t>Willard D. Oberton</t>
  </si>
  <si>
    <t>Daniel L. Florness</t>
  </si>
  <si>
    <t>Nicholas J. Lundquist, Jr.</t>
  </si>
  <si>
    <t>Steven L. Appelwick</t>
  </si>
  <si>
    <t>Leland J. Hein, Jr.</t>
  </si>
  <si>
    <t>James C. Jansen</t>
  </si>
  <si>
    <t>Steven A. Rucinski</t>
  </si>
  <si>
    <t>Kenneth R. Nance</t>
  </si>
  <si>
    <t>Gary A. Polipnick</t>
  </si>
  <si>
    <t>Reyne K. Wisecup</t>
  </si>
  <si>
    <t>Terry Modock Owen</t>
  </si>
  <si>
    <t>Sheryl Ann Lisowski</t>
  </si>
  <si>
    <t>Jeffery M. Watts</t>
  </si>
  <si>
    <t>Holden Lewis</t>
  </si>
  <si>
    <t>Charles S. Miller</t>
  </si>
  <si>
    <t>John F. Gifford</t>
  </si>
  <si>
    <t>Tun Doluca</t>
  </si>
  <si>
    <t>Pirooz Parvarandeh</t>
  </si>
  <si>
    <t>Richard C. Hood</t>
  </si>
  <si>
    <t>Vijay Ullal</t>
  </si>
  <si>
    <t>Alan P. Hale</t>
  </si>
  <si>
    <t>Carl W. Jasper</t>
  </si>
  <si>
    <t>Bruce E. Kiddoo</t>
  </si>
  <si>
    <t>Charles G. Rigg</t>
  </si>
  <si>
    <t>Christopher J. Neil</t>
  </si>
  <si>
    <t>Vivek Jain</t>
  </si>
  <si>
    <t>Chae Lee</t>
  </si>
  <si>
    <t>Matthew J. Murphy</t>
  </si>
  <si>
    <t>Walter L. Sangalli</t>
  </si>
  <si>
    <t>Edwin B. Medlin</t>
  </si>
  <si>
    <t>David M. Loftus</t>
  </si>
  <si>
    <t>Kenneth R. Hahn</t>
  </si>
  <si>
    <t>Timothy J. Stevens, J.D.</t>
  </si>
  <si>
    <t>Matthew A. Thompson</t>
  </si>
  <si>
    <t>T. Tod Nielsen</t>
  </si>
  <si>
    <t>Erik E. Prusch</t>
  </si>
  <si>
    <t>Peter J. Morowski</t>
  </si>
  <si>
    <t>Gregory J. Wrenn</t>
  </si>
  <si>
    <t>Michael Sullivan</t>
  </si>
  <si>
    <t>David W. Packer</t>
  </si>
  <si>
    <t>Richard E. Novak</t>
  </si>
  <si>
    <t>Martin H. Loeffler</t>
  </si>
  <si>
    <t>Diana G. Reardon</t>
  </si>
  <si>
    <t>Richard Adam Norwitt</t>
  </si>
  <si>
    <t>Luc Walter</t>
  </si>
  <si>
    <t>Zachary W. Raley</t>
  </si>
  <si>
    <t>Timothy F. Cohane</t>
  </si>
  <si>
    <t>Gary A. Anderson</t>
  </si>
  <si>
    <t>Richard E. Schneider</t>
  </si>
  <si>
    <t>Craig A. Lampo</t>
  </si>
  <si>
    <t>Di Yang</t>
  </si>
  <si>
    <t>William J. Doherty</t>
  </si>
  <si>
    <t>Lance E. D'Amico</t>
  </si>
  <si>
    <t>Jean-Luc Gavelle</t>
  </si>
  <si>
    <t>Arthur S. Przybyl</t>
  </si>
  <si>
    <t>Abu S. Alam, Ph.D.</t>
  </si>
  <si>
    <t>Jeffrey A. Whitnell, CPA, M.B.A.</t>
  </si>
  <si>
    <t>John R. Sabat</t>
  </si>
  <si>
    <t>Mark M. Silverberg</t>
  </si>
  <si>
    <t>Rajat Rai</t>
  </si>
  <si>
    <t>Joseph Bonaccorsi</t>
  </si>
  <si>
    <t>Timothy A. Dick</t>
  </si>
  <si>
    <t>Bruce Kutinsky</t>
  </si>
  <si>
    <t>Randall E. Pollard</t>
  </si>
  <si>
    <t>Steven Lichter</t>
  </si>
  <si>
    <t>Jonathan Kafer</t>
  </si>
  <si>
    <t>Duane A. Portwood</t>
  </si>
  <si>
    <t>Jeffrey A. Bjorkman</t>
  </si>
  <si>
    <t>Thomas C. Tiller, Jr.</t>
  </si>
  <si>
    <t>Michael W. Malone</t>
  </si>
  <si>
    <t>John B. Corness</t>
  </si>
  <si>
    <t>Bennett J. Morgan</t>
  </si>
  <si>
    <t>Scott W. Wine</t>
  </si>
  <si>
    <t>Wesley W. Barker</t>
  </si>
  <si>
    <t>Michael P. Jonikas</t>
  </si>
  <si>
    <t>Suresh Krishna</t>
  </si>
  <si>
    <t>Matthew J. Homan</t>
  </si>
  <si>
    <t>James P. Williams</t>
  </si>
  <si>
    <t>Stephen L. Eastman</t>
  </si>
  <si>
    <t>Stacy L. Bogart</t>
  </si>
  <si>
    <t>David C. Longren</t>
  </si>
  <si>
    <t>Kenneth J. Pucel</t>
  </si>
  <si>
    <t>Michael T. Speetzen</t>
  </si>
  <si>
    <t>Robert Paul Mack</t>
  </si>
  <si>
    <t>Christopher S. Musso</t>
  </si>
  <si>
    <t>Lucy Clark Dougherty</t>
  </si>
  <si>
    <t>Denis M. Berlan</t>
  </si>
  <si>
    <t>Nathan M. Sarkisian</t>
  </si>
  <si>
    <t>John P. Daane</t>
  </si>
  <si>
    <t>Jordan S. Plofsky</t>
  </si>
  <si>
    <t>George A. Papa</t>
  </si>
  <si>
    <t>James W. Callas</t>
  </si>
  <si>
    <t>Timothy R. Morse</t>
  </si>
  <si>
    <t>Misha R. Burich</t>
  </si>
  <si>
    <t>Ronald J. Pasek</t>
  </si>
  <si>
    <t>William Y. Hata</t>
  </si>
  <si>
    <t>Danny K. Biran</t>
  </si>
  <si>
    <t>Mark Jon Nelson</t>
  </si>
  <si>
    <t>Jeffrey W. Waters</t>
  </si>
  <si>
    <t>Scott A. Bibaud</t>
  </si>
  <si>
    <t>Bradley Steven Howe</t>
  </si>
  <si>
    <t>Scott Douglas Sheffield</t>
  </si>
  <si>
    <t>Timothy L. Dove</t>
  </si>
  <si>
    <t>Danny L. Kellum</t>
  </si>
  <si>
    <t>Chris J. Cheatwood</t>
  </si>
  <si>
    <t>Richard P. Dealy</t>
  </si>
  <si>
    <t>Mark S. Berg</t>
  </si>
  <si>
    <t>Jay P. Still</t>
  </si>
  <si>
    <t>Jerome D. Hall, Jr.</t>
  </si>
  <si>
    <t>Michael J. Van Handel</t>
  </si>
  <si>
    <t>Jeffrey A. Joerres</t>
  </si>
  <si>
    <t>Barbara J. Beck</t>
  </si>
  <si>
    <t>Jean-Pierre Lemonnier</t>
  </si>
  <si>
    <t>Yoav Michaely</t>
  </si>
  <si>
    <t>Owen J. Sullivan</t>
  </si>
  <si>
    <t>Jonas Prising</t>
  </si>
  <si>
    <t>Franoise Gri</t>
  </si>
  <si>
    <t>Darryl E. Green</t>
  </si>
  <si>
    <t>Hans Leentjes</t>
  </si>
  <si>
    <t>Mara E. Swan</t>
  </si>
  <si>
    <t>Sriram Chandrashekar</t>
  </si>
  <si>
    <t>John T. McGinnis</t>
  </si>
  <si>
    <t>Richard D. Buchband</t>
  </si>
  <si>
    <t>Daniel J. Bevevino</t>
  </si>
  <si>
    <t>Craig B. Reynolds</t>
  </si>
  <si>
    <t>John L. Miclot</t>
  </si>
  <si>
    <t>Geoffrey Waters</t>
  </si>
  <si>
    <t>Donald J. Spence</t>
  </si>
  <si>
    <t>Gerald E. McGinnis</t>
  </si>
  <si>
    <t>William F. Ruprecht</t>
  </si>
  <si>
    <t>George Bailey</t>
  </si>
  <si>
    <t>Robin G. Woodhead</t>
  </si>
  <si>
    <t>Mitchell Zuckerman</t>
  </si>
  <si>
    <t>William S. Sheridan</t>
  </si>
  <si>
    <t>Bruno Vinciguerra</t>
  </si>
  <si>
    <t>Kevin Ching</t>
  </si>
  <si>
    <t>Patrick S. McClymont</t>
  </si>
  <si>
    <t>Alfredo Gangotena</t>
  </si>
  <si>
    <t>Lisa Nadler</t>
  </si>
  <si>
    <t>Thomas S. Smith, Jr.</t>
  </si>
  <si>
    <t>Jonathan A. Olsoff</t>
  </si>
  <si>
    <t>David Goodman</t>
  </si>
  <si>
    <t>Dennis M. Weibling</t>
  </si>
  <si>
    <t>Michael Fenton Goss</t>
  </si>
  <si>
    <t>Valentino D. Carlotti</t>
  </si>
  <si>
    <t>Adam David Chinn</t>
  </si>
  <si>
    <t>J. Terrence Lanni</t>
  </si>
  <si>
    <t>Robert H. Baldwin</t>
  </si>
  <si>
    <t>John T. Redmond</t>
  </si>
  <si>
    <t>Gary N. Jacobs</t>
  </si>
  <si>
    <t>James Joseph Murren</t>
  </si>
  <si>
    <t>Daniel J. D'Arrigo</t>
  </si>
  <si>
    <t>Aldo Manzini</t>
  </si>
  <si>
    <t>William M. Scott, IV</t>
  </si>
  <si>
    <t>Robert C. Selwood</t>
  </si>
  <si>
    <t>William Joseph Hornbuckle, IV</t>
  </si>
  <si>
    <t>Corey Ian Sanders</t>
  </si>
  <si>
    <t>John M. McManus, Esq.</t>
  </si>
  <si>
    <t>N. David Bleisch</t>
  </si>
  <si>
    <t>Anita Graham</t>
  </si>
  <si>
    <t>Mark N. Edoff</t>
  </si>
  <si>
    <t>Naren K. Gursahaney</t>
  </si>
  <si>
    <t>Kathryn A. Mikells</t>
  </si>
  <si>
    <t>Donald A. Boerema</t>
  </si>
  <si>
    <t>Alan D. Ferber</t>
  </si>
  <si>
    <t>Michael S. Geltzeiler</t>
  </si>
  <si>
    <t>Jerri L. DeVard</t>
  </si>
  <si>
    <t>James E. Deason</t>
  </si>
  <si>
    <t>Johann R. Manning, Jr.</t>
  </si>
  <si>
    <t>Keith I. Weil</t>
  </si>
  <si>
    <t>Garry K. Johnson</t>
  </si>
  <si>
    <t>John Van Gerwen</t>
  </si>
  <si>
    <t>Harold M. Karp</t>
  </si>
  <si>
    <t>David A. Owen</t>
  </si>
  <si>
    <t>Neil P. DeFeo</t>
  </si>
  <si>
    <t>Kris J. Kelley</t>
  </si>
  <si>
    <t>James S. Cook</t>
  </si>
  <si>
    <t>Perry R. Beadon</t>
  </si>
  <si>
    <t>Thomas M. Schultz</t>
  </si>
  <si>
    <t>Andrew A. Abraham</t>
  </si>
  <si>
    <t>Robert P. Damico</t>
  </si>
  <si>
    <t>David R. Hopkins</t>
  </si>
  <si>
    <t>Lawrence O'Donnell, III</t>
  </si>
  <si>
    <t>David P. Steiner</t>
  </si>
  <si>
    <t>James E. Trevathan, Jr.</t>
  </si>
  <si>
    <t>Duane C. Woods</t>
  </si>
  <si>
    <t>Robert G. Simpson</t>
  </si>
  <si>
    <t>Jeff M. Harris</t>
  </si>
  <si>
    <t>Steven C. Preston</t>
  </si>
  <si>
    <t>James C. Fish, Jr.</t>
  </si>
  <si>
    <t>Grace Elizabeth M. Cowan</t>
  </si>
  <si>
    <t>Rick L. Wittenbraker</t>
  </si>
  <si>
    <t>John J. Morris, Jr.</t>
  </si>
  <si>
    <t>David A. Aardsma</t>
  </si>
  <si>
    <t>Mark Alan Weidman</t>
  </si>
  <si>
    <t>Devina A. Rankin</t>
  </si>
  <si>
    <t>Michael S. Dell</t>
  </si>
  <si>
    <t>Kevin B. Rollins</t>
  </si>
  <si>
    <t>Paul D. Bell</t>
  </si>
  <si>
    <t>Rosendo G. Parra</t>
  </si>
  <si>
    <t>James M. Schneider</t>
  </si>
  <si>
    <t>Donald J. Carty</t>
  </si>
  <si>
    <t>Stephen J. Felice</t>
  </si>
  <si>
    <t>Stephen F. Schuckenbrock</t>
  </si>
  <si>
    <t>Michael R. Cannon</t>
  </si>
  <si>
    <t>Ronald G. Garriques</t>
  </si>
  <si>
    <t>Mark Jarvis</t>
  </si>
  <si>
    <t>Brian T. Gladden</t>
  </si>
  <si>
    <t>Jeffrey W. Clarke</t>
  </si>
  <si>
    <t>Thomas W. Sweet</t>
  </si>
  <si>
    <t>Marius A. Haas</t>
  </si>
  <si>
    <t>Rory P. Read</t>
  </si>
  <si>
    <t>David I. Goulden</t>
  </si>
  <si>
    <t>Howard D. Elias</t>
  </si>
  <si>
    <t>Jeremy Burton</t>
  </si>
  <si>
    <t>Allison Dew</t>
  </si>
  <si>
    <t>William F. Scannell</t>
  </si>
  <si>
    <t>Richard A. Boehne</t>
  </si>
  <si>
    <t>Kenneth W. Lowe</t>
  </si>
  <si>
    <t>John F. Lansing</t>
  </si>
  <si>
    <t>Joseph G. NeCastro</t>
  </si>
  <si>
    <t>Mark G. Contreras</t>
  </si>
  <si>
    <t>Anatolio B. Cruz, III</t>
  </si>
  <si>
    <t>Timothy E. Stautberg</t>
  </si>
  <si>
    <t>William B. Peterson</t>
  </si>
  <si>
    <t>Lisa Ann Knutson</t>
  </si>
  <si>
    <t>William Appleton</t>
  </si>
  <si>
    <t>Brian G. Lawlor</t>
  </si>
  <si>
    <t>Timothy M. Wesolowski</t>
  </si>
  <si>
    <t>Adam P. Symson</t>
  </si>
  <si>
    <t>Douglas F. Lyons</t>
  </si>
  <si>
    <t>Catherine M. Burzik</t>
  </si>
  <si>
    <t>Martin J. Landon</t>
  </si>
  <si>
    <t>Stephen D. Seidel</t>
  </si>
  <si>
    <t>Lynne D. Sly</t>
  </si>
  <si>
    <t>Todd M. Fruchterman</t>
  </si>
  <si>
    <t>Jorg W. Menten</t>
  </si>
  <si>
    <t>Mark B. Carbeau</t>
  </si>
  <si>
    <t>Linwood A. Staub</t>
  </si>
  <si>
    <t>Paul G. Thomas</t>
  </si>
  <si>
    <t>Michael C. Genau</t>
  </si>
  <si>
    <t>Lisa N. Colleran</t>
  </si>
  <si>
    <t>Joseph F. Woody</t>
  </si>
  <si>
    <t>Teresa A. Johnson, CPA</t>
  </si>
  <si>
    <t>Peter Arnold</t>
  </si>
  <si>
    <t>Michael E. Mathews</t>
  </si>
  <si>
    <t>Philip M. Croxford</t>
  </si>
  <si>
    <t>Robert P. Hureau</t>
  </si>
  <si>
    <t>Brian T. Busenlehner</t>
  </si>
  <si>
    <t>Thomas W. Casey</t>
  </si>
  <si>
    <t>David Edward Ball</t>
  </si>
  <si>
    <t>Laura Piccinini</t>
  </si>
  <si>
    <t>John T. Bibb</t>
  </si>
  <si>
    <t>Francis J. Kramer</t>
  </si>
  <si>
    <t>Craig A. Creaturo</t>
  </si>
  <si>
    <t>Carl J. Johnson</t>
  </si>
  <si>
    <t>Vincent D. Mattera, Jr.</t>
  </si>
  <si>
    <t>Herman E. Reedy</t>
  </si>
  <si>
    <t>James Martinelli</t>
  </si>
  <si>
    <t>Mary Jane Raymond</t>
  </si>
  <si>
    <t>Giovanni Barbarossa</t>
  </si>
  <si>
    <t>Gary Alan Kapusta</t>
  </si>
  <si>
    <t>David G. Wagner</t>
  </si>
  <si>
    <t>Jo Anne Schwendinger</t>
  </si>
  <si>
    <t>David M. Gandossi</t>
  </si>
  <si>
    <t>Wolfram Ridder</t>
  </si>
  <si>
    <t>Jimmy S. H. Lee</t>
  </si>
  <si>
    <t>Claes-Inge Isacson</t>
  </si>
  <si>
    <t>Leonhard Nossol</t>
  </si>
  <si>
    <t>David K. Ure</t>
  </si>
  <si>
    <t>David M. Cooper</t>
  </si>
  <si>
    <t>Adolf Koppensteiner</t>
  </si>
  <si>
    <t>James R. Moffett, Jr.</t>
  </si>
  <si>
    <t>Richard C. Adkerson</t>
  </si>
  <si>
    <t>Adrianto Machribie</t>
  </si>
  <si>
    <t>Michael J. Arnold</t>
  </si>
  <si>
    <t>Mark J. Johnson</t>
  </si>
  <si>
    <t>Kathleen Lynne Quirk</t>
  </si>
  <si>
    <t>Timothy Roy Snider</t>
  </si>
  <si>
    <t>James C. Flores</t>
  </si>
  <si>
    <t>Harry Milton Conger, IV</t>
  </si>
  <si>
    <t>Richard S. Hill</t>
  </si>
  <si>
    <t>Sasson Somekh</t>
  </si>
  <si>
    <t>William H. Kurtz</t>
  </si>
  <si>
    <t>Thomas Caulfield</t>
  </si>
  <si>
    <t>Ginetto Addiego</t>
  </si>
  <si>
    <t>Fusen Ernie Chen</t>
  </si>
  <si>
    <t>Jeffrey C. Benzing</t>
  </si>
  <si>
    <t>Timothy M. Archer</t>
  </si>
  <si>
    <t>John D. Hertz</t>
  </si>
  <si>
    <t>Andrew J. Gottlieb</t>
  </si>
  <si>
    <t>Charles E. Brown</t>
  </si>
  <si>
    <t>Carl S. Rubin</t>
  </si>
  <si>
    <t>Stephen A. Odland</t>
  </si>
  <si>
    <t>Patricia A. McKay</t>
  </si>
  <si>
    <t>Daisy L. Vanderlinde</t>
  </si>
  <si>
    <t>Stephen M. Schmidt</t>
  </si>
  <si>
    <t>Michael D. Newman</t>
  </si>
  <si>
    <t>Neil R. Austrian</t>
  </si>
  <si>
    <t>Kevin A. Peters</t>
  </si>
  <si>
    <t>Elisa D. Garcia C.</t>
  </si>
  <si>
    <t>Farla Efros</t>
  </si>
  <si>
    <t>Deborah A. O'Connor</t>
  </si>
  <si>
    <t>Roland C. Smith</t>
  </si>
  <si>
    <t>Ravichandra K. Saligram</t>
  </si>
  <si>
    <t>Michael Allison</t>
  </si>
  <si>
    <t>Robert J. Moore</t>
  </si>
  <si>
    <t>Stephen E. Hare, CPA</t>
  </si>
  <si>
    <t>Mark S. Cosby</t>
  </si>
  <si>
    <t>Troy A. Rice</t>
  </si>
  <si>
    <t>Juliet Johansson</t>
  </si>
  <si>
    <t>John W. Gannfors</t>
  </si>
  <si>
    <t>Stephen Robert Calkins</t>
  </si>
  <si>
    <t>Brian Todd Hale</t>
  </si>
  <si>
    <t>Gerry P. Smith</t>
  </si>
  <si>
    <t>Joseph T. Lower</t>
  </si>
  <si>
    <t>Robert E. Beauchamp</t>
  </si>
  <si>
    <t>Daniel Barnea</t>
  </si>
  <si>
    <t>Cosmo P. Santullo</t>
  </si>
  <si>
    <t>Stephen B. Solcher</t>
  </si>
  <si>
    <t>Denise M. Clolery</t>
  </si>
  <si>
    <t>James W. Grant</t>
  </si>
  <si>
    <t>John D. McMahon</t>
  </si>
  <si>
    <t>William D. Miller</t>
  </si>
  <si>
    <t>Dev C. Ittycheria</t>
  </si>
  <si>
    <t>Hollie Sammons Castro</t>
  </si>
  <si>
    <t>Michael A. Vescuso</t>
  </si>
  <si>
    <t>Kenneth W. Berryman</t>
  </si>
  <si>
    <t>Behnia Kiarash Behnia</t>
  </si>
  <si>
    <t>Paul Avenant</t>
  </si>
  <si>
    <t>John R. Landon</t>
  </si>
  <si>
    <t>Steven J. Hilton</t>
  </si>
  <si>
    <t>Larry Wayne Seay</t>
  </si>
  <si>
    <t>C. Timothy White</t>
  </si>
  <si>
    <t>Sandra R. A. Karrmann</t>
  </si>
  <si>
    <t>Steven M. Davis</t>
  </si>
  <si>
    <t>Phillippe Lord</t>
  </si>
  <si>
    <t>Javier Feliciano</t>
  </si>
  <si>
    <t>Hilla Sferruzza</t>
  </si>
  <si>
    <t>Steven F. Leer</t>
  </si>
  <si>
    <t>C. Henry Besten, Jr.</t>
  </si>
  <si>
    <t>John W. Eaves</t>
  </si>
  <si>
    <t>Robert J. Messey, CPA, CPA</t>
  </si>
  <si>
    <t>Robert G. Jones</t>
  </si>
  <si>
    <t>Paul A. Lang</t>
  </si>
  <si>
    <t>John T. Drexler</t>
  </si>
  <si>
    <t>David N. Warnecke</t>
  </si>
  <si>
    <t>Kenneth D. Cochran</t>
  </si>
  <si>
    <t>John A. Ziegler, Jr.</t>
  </si>
  <si>
    <t>Ira B. Lampert</t>
  </si>
  <si>
    <t>Keith L. Lampert</t>
  </si>
  <si>
    <t>Urs W. Stampfli</t>
  </si>
  <si>
    <t>Gerald J. Angeli</t>
  </si>
  <si>
    <t>Alan Schutzman</t>
  </si>
  <si>
    <t>Scott L. Lampert</t>
  </si>
  <si>
    <t>Blaine A. Robinson</t>
  </si>
  <si>
    <t>Timothy W. Newkirk</t>
  </si>
  <si>
    <t>Brian T. Cahill</t>
  </si>
  <si>
    <t>Sukh Bassi, Ph.D.</t>
  </si>
  <si>
    <t>Laidacker M. Seaberg</t>
  </si>
  <si>
    <t>Randall M. Schrick</t>
  </si>
  <si>
    <t>Donald G. Coffey, Ph.D.</t>
  </si>
  <si>
    <t>Robert J. Zonneveld</t>
  </si>
  <si>
    <t>Donald P. Tracy</t>
  </si>
  <si>
    <t>Scott B. Phillips</t>
  </si>
  <si>
    <t>David E. Rindom</t>
  </si>
  <si>
    <t>Augustus C. Griffin</t>
  </si>
  <si>
    <t>David E. Dykstra</t>
  </si>
  <si>
    <t>Thomas K. Pigott</t>
  </si>
  <si>
    <t>Michael Rodger Buttshaw</t>
  </si>
  <si>
    <t>Stephen J. Glaser</t>
  </si>
  <si>
    <t>Allyson Vanderford</t>
  </si>
  <si>
    <t>Donald R. Uzzi</t>
  </si>
  <si>
    <t>John J. Sheehan</t>
  </si>
  <si>
    <t>Rajiv Garg</t>
  </si>
  <si>
    <t>Kenneth Wasserman</t>
  </si>
  <si>
    <t>Jon H. Peterson</t>
  </si>
  <si>
    <t>Guy Claudy</t>
  </si>
  <si>
    <t>Michael A. Berman</t>
  </si>
  <si>
    <t>Victor L. Cisario</t>
  </si>
  <si>
    <t>John E. Ball</t>
  </si>
  <si>
    <t>Terry A. Tevis</t>
  </si>
  <si>
    <t>Abraham N. Reichental</t>
  </si>
  <si>
    <t>Charles W. Hull</t>
  </si>
  <si>
    <t>Kevin P. McAlea</t>
  </si>
  <si>
    <t>Robert M. Grace, Jr.</t>
  </si>
  <si>
    <t>Damon J. Gregoire</t>
  </si>
  <si>
    <t>Cathy L. Lewis</t>
  </si>
  <si>
    <t>Andrew Martin Johnson</t>
  </si>
  <si>
    <t>Mark William Wright</t>
  </si>
  <si>
    <t>Theodore A. Hull</t>
  </si>
  <si>
    <t>David Robert Styka</t>
  </si>
  <si>
    <t>Vyomesh I. Joshi</t>
  </si>
  <si>
    <t>John Nicholas McMullen, B.A.</t>
  </si>
  <si>
    <t>John R. Blocker, Jr.</t>
  </si>
  <si>
    <t>Louis A. Raspino, Jr.</t>
  </si>
  <si>
    <t>W. Gregory Looser</t>
  </si>
  <si>
    <t>Kevin C. Robert</t>
  </si>
  <si>
    <t>Rodney W. Eads</t>
  </si>
  <si>
    <t>Brian C. Voegele</t>
  </si>
  <si>
    <t>Lonnie D. Bane</t>
  </si>
  <si>
    <t>Kalil George Wasaff</t>
  </si>
  <si>
    <t>Imran Toufeeq</t>
  </si>
  <si>
    <t>Robert C. Strauss</t>
  </si>
  <si>
    <t>Juan A. Mantelle</t>
  </si>
  <si>
    <t>W. Neil Jones</t>
  </si>
  <si>
    <t>Jeffrey F. Eisenberg</t>
  </si>
  <si>
    <t>Diane M. Barrett</t>
  </si>
  <si>
    <t>Eduardo G. Abrao, M.D.</t>
  </si>
  <si>
    <t>Michael D. Price</t>
  </si>
  <si>
    <t>Steven M. Dinh</t>
  </si>
  <si>
    <t>Richard P. Gilbert</t>
  </si>
  <si>
    <t>Joel S. Lippman, M.D., MPH, FACOG</t>
  </si>
  <si>
    <t>Peter C. Brandt</t>
  </si>
  <si>
    <t>J. Larry Nichols</t>
  </si>
  <si>
    <t>Darryl G. Smette</t>
  </si>
  <si>
    <t>Brian J. Jennings</t>
  </si>
  <si>
    <t>John Richels</t>
  </si>
  <si>
    <t>Stephen J. Hadden</t>
  </si>
  <si>
    <t>Danny J. Heatly</t>
  </si>
  <si>
    <t>Robert A. Myers</t>
  </si>
  <si>
    <t>David A. Hager</t>
  </si>
  <si>
    <t>Jeffrey A. Agosta</t>
  </si>
  <si>
    <t>Lyndon C. Taylor</t>
  </si>
  <si>
    <t>Tony D. Vaughn</t>
  </si>
  <si>
    <t>Thomas L. Mitchell, CPA</t>
  </si>
  <si>
    <t>Frank W. Rudolph</t>
  </si>
  <si>
    <t>R. Alan Marcum</t>
  </si>
  <si>
    <t>Jeffrey L. Ritenour</t>
  </si>
  <si>
    <t>ceoann</t>
  </si>
  <si>
    <t/>
  </si>
  <si>
    <t>CEO</t>
  </si>
  <si>
    <t>othcomp</t>
  </si>
  <si>
    <t>year</t>
  </si>
  <si>
    <t>missing</t>
  </si>
  <si>
    <t>nomatch</t>
  </si>
  <si>
    <t>company contribution</t>
  </si>
  <si>
    <t xml:space="preserve">pension </t>
  </si>
  <si>
    <t>life insurance</t>
  </si>
  <si>
    <t xml:space="preserve">other insurance </t>
  </si>
  <si>
    <t xml:space="preserve">travel expense or allowance </t>
  </si>
  <si>
    <t xml:space="preserve">spouse or guest aircraft </t>
  </si>
  <si>
    <t>gifts and awards</t>
  </si>
  <si>
    <t>charity</t>
  </si>
  <si>
    <t>administrative staff and facilities</t>
  </si>
  <si>
    <t xml:space="preserve">discount products </t>
  </si>
  <si>
    <t xml:space="preserve">office and room decoration </t>
  </si>
  <si>
    <t xml:space="preserve">non-business hotel </t>
  </si>
  <si>
    <t xml:space="preserve">country club dues </t>
  </si>
  <si>
    <t xml:space="preserve">tickets for sports and entertainments </t>
  </si>
  <si>
    <t>legal fee</t>
  </si>
  <si>
    <t xml:space="preserve">relocation </t>
  </si>
  <si>
    <t xml:space="preserve">housing allowance </t>
  </si>
  <si>
    <t>living allowance</t>
  </si>
  <si>
    <t xml:space="preserve">perk allowance </t>
  </si>
  <si>
    <t xml:space="preserve">discount stock </t>
  </si>
  <si>
    <t>restricted stock</t>
  </si>
  <si>
    <t xml:space="preserve">dividends </t>
  </si>
  <si>
    <t xml:space="preserve">financial planning </t>
  </si>
  <si>
    <t xml:space="preserve">consulting </t>
  </si>
  <si>
    <t>tax (relocation)</t>
  </si>
  <si>
    <t>tax (expatriate)</t>
  </si>
  <si>
    <t>tax (other)</t>
  </si>
  <si>
    <t>director fee</t>
  </si>
  <si>
    <t xml:space="preserve">gym, wellness, and fitness </t>
  </si>
  <si>
    <t>tuition assistance</t>
  </si>
  <si>
    <t>signing bonus</t>
  </si>
  <si>
    <t>retirement transition</t>
  </si>
  <si>
    <t xml:space="preserve">severance </t>
  </si>
  <si>
    <t xml:space="preserve">other </t>
  </si>
  <si>
    <t>co_per_rol</t>
    <phoneticPr fontId="0" type="noConversion"/>
  </si>
  <si>
    <t>compnay car (auto)</t>
    <phoneticPr fontId="0" type="noConversion"/>
  </si>
  <si>
    <t>x</t>
    <phoneticPr fontId="0" type="noConversion"/>
  </si>
  <si>
    <t>personal allowance</t>
    <phoneticPr fontId="0" type="noConversion"/>
  </si>
  <si>
    <t xml:space="preserve">transportation allowance </t>
    <phoneticPr fontId="0" type="noConversion"/>
  </si>
  <si>
    <t xml:space="preserve">personal aircraft </t>
    <phoneticPr fontId="0" type="noConversion"/>
  </si>
  <si>
    <t xml:space="preserve">personal and home security </t>
    <phoneticPr fontId="0" type="noConversion"/>
  </si>
  <si>
    <t>medical, health, or physical expenses</t>
    <phoneticPr fontId="0" type="noConversion"/>
  </si>
  <si>
    <t>expatriate payment</t>
    <phoneticPr fontId="0" type="noConversion"/>
  </si>
  <si>
    <t>Aaron D. Todd, III</t>
    <phoneticPr fontId="0" type="noConversion"/>
  </si>
  <si>
    <t>Michael D. Allen</t>
    <phoneticPr fontId="0" type="noConversion"/>
  </si>
  <si>
    <t>Gary A. Anderson</t>
    <phoneticPr fontId="0" type="noConversion"/>
  </si>
  <si>
    <t>vacation time-off</t>
    <phoneticPr fontId="0" type="noConversion"/>
  </si>
  <si>
    <t xml:space="preserve"> </t>
    <phoneticPr fontId="0" type="noConversion"/>
  </si>
  <si>
    <t>x</t>
    <phoneticPr fontId="0" type="noConversion"/>
  </si>
  <si>
    <t>x</t>
    <phoneticPr fontId="0" type="noConversion"/>
  </si>
  <si>
    <t>x</t>
    <phoneticPr fontId="0" type="noConversion"/>
  </si>
  <si>
    <t>x</t>
    <phoneticPr fontId="0" type="noConversion"/>
  </si>
  <si>
    <t>de minimis payments made for the vesting of fractional shares</t>
    <phoneticPr fontId="0" type="noConversion"/>
  </si>
  <si>
    <t>x</t>
    <phoneticPr fontId="0" type="noConversion"/>
  </si>
  <si>
    <t>x</t>
    <phoneticPr fontId="0" type="noConversion"/>
  </si>
  <si>
    <t>x</t>
    <phoneticPr fontId="0" type="noConversion"/>
  </si>
  <si>
    <t>x</t>
    <phoneticPr fontId="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</si>
</sst>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1" fillId="4" borderId="1" applyNumberFormat="0" applyFont="0" applyAlignment="0" applyProtection="0">
      <alignment vertical="center"/>
    </xf>
  </cellStyleXfs>
  <cellXfs count="9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0" xfId="0" applyFont="1"/>
    <xf numFmtId="0" fontId="0" fillId="2" borderId="0" xfId="0" applyFill="1"/>
    <xf numFmtId="0" fontId="0" fillId="3" borderId="0" xfId="0" applyFill="1"/>
    <xf numFmtId="0" fontId="1" fillId="2" borderId="0" xfId="0" applyFont="1" applyFill="1"/>
    <xf numFmtId="0" fontId="0" fillId="4" borderId="1" xfId="1" applyFont="1" applyAlignment="1"/>
    <xf numFmtId="0" fontId="0" fillId="2" borderId="1" xfId="1" applyFont="1" applyFill="1" applyAlignment="1"/>
  </cellXfs>
  <cellStyles count="2">
    <cellStyle name="常规" xfId="0" builtinId="0"/>
    <cellStyle name="注释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2670"/>
  <sheetViews>
    <sheetView tabSelected="1" zoomScale="96" workbookViewId="0">
      <pane xSplit="7" ySplit="1" topLeftCell="AD2649" activePane="bottomRight" state="frozen"/>
      <selection pane="topRight" activeCell="H1" sqref="H1"/>
      <selection pane="bottomLeft" activeCell="A2" sqref="A2"/>
      <selection pane="bottomRight" activeCell="A2028" sqref="A2028"/>
    </sheetView>
  </sheetViews>
  <sheetFormatPr defaultRowHeight="12.5" x14ac:dyDescent="0.25"/>
  <cols>
    <col min="1" max="1" width="13.1796875" customWidth="1"/>
    <col min="2" max="2" width="8.7265625" hidden="1" customWidth="1"/>
    <col min="3" max="3" width="23.90625" customWidth="1"/>
    <col min="4" max="4" width="0" hidden="1" customWidth="1"/>
    <col min="5" max="6" width="8.7265625" hidden="1" customWidth="1"/>
    <col min="10" max="10" width="20.6328125" customWidth="1"/>
    <col min="11" max="12" width="8.7265625" customWidth="1"/>
    <col min="13" max="13" width="14.36328125" customWidth="1"/>
    <col min="14" max="14" width="24.90625" customWidth="1"/>
    <col min="15" max="15" width="15.08984375" customWidth="1"/>
    <col min="16" max="16" width="21.08984375" customWidth="1"/>
    <col min="17" max="17" width="16" customWidth="1"/>
    <col min="18" max="18" width="14.81640625" customWidth="1"/>
    <col min="20" max="20" width="27" customWidth="1"/>
    <col min="21" max="21" width="16.08984375" customWidth="1"/>
    <col min="22" max="22" width="23.6328125" customWidth="1"/>
    <col min="23" max="23" width="15.6328125" customWidth="1"/>
    <col min="24" max="24" width="17.54296875" customWidth="1"/>
    <col min="25" max="25" width="14.453125" customWidth="1"/>
    <col min="29" max="29" width="21.54296875" customWidth="1"/>
    <col min="30" max="30" width="18.7265625" customWidth="1"/>
    <col min="31" max="31" width="16" customWidth="1"/>
    <col min="32" max="32" width="16.36328125" customWidth="1"/>
    <col min="33" max="33" width="15" customWidth="1"/>
    <col min="37" max="37" width="17.54296875" customWidth="1"/>
    <col min="38" max="38" width="22.26953125" customWidth="1"/>
    <col min="39" max="39" width="31.81640625" customWidth="1"/>
    <col min="40" max="40" width="14" customWidth="1"/>
    <col min="45" max="45" width="13.7265625" customWidth="1"/>
    <col min="46" max="46" width="24.54296875" customWidth="1"/>
    <col min="47" max="47" width="19.08984375" customWidth="1"/>
    <col min="48" max="48" width="16" customWidth="1"/>
    <col min="49" max="49" width="17.81640625" customWidth="1"/>
    <col min="50" max="50" width="9.54296875" customWidth="1"/>
    <col min="51" max="51" width="7.54296875" customWidth="1"/>
    <col min="52" max="52" width="26.36328125" style="7" customWidth="1"/>
  </cols>
  <sheetData>
    <row r="1" spans="1:52" x14ac:dyDescent="0.25">
      <c r="A1" t="s">
        <v>0</v>
      </c>
      <c r="B1" t="s">
        <v>51</v>
      </c>
      <c r="C1" t="s">
        <v>102</v>
      </c>
      <c r="D1" s="2" t="s">
        <v>747</v>
      </c>
      <c r="E1" t="s">
        <v>706</v>
      </c>
      <c r="F1" t="s">
        <v>709</v>
      </c>
      <c r="G1" t="s">
        <v>710</v>
      </c>
      <c r="H1" s="1" t="s">
        <v>711</v>
      </c>
      <c r="I1" s="1" t="s">
        <v>712</v>
      </c>
      <c r="J1" s="1" t="s">
        <v>713</v>
      </c>
      <c r="K1" s="1" t="s">
        <v>714</v>
      </c>
      <c r="L1" s="1" t="s">
        <v>715</v>
      </c>
      <c r="M1" s="1" t="s">
        <v>716</v>
      </c>
      <c r="N1" s="1" t="s">
        <v>717</v>
      </c>
      <c r="O1" s="3" t="s">
        <v>752</v>
      </c>
      <c r="P1" t="s">
        <v>718</v>
      </c>
      <c r="Q1" s="3" t="s">
        <v>748</v>
      </c>
      <c r="R1" t="s">
        <v>719</v>
      </c>
      <c r="S1" t="s">
        <v>720</v>
      </c>
      <c r="T1" s="1" t="s">
        <v>721</v>
      </c>
      <c r="U1" t="s">
        <v>722</v>
      </c>
      <c r="V1" t="s">
        <v>723</v>
      </c>
      <c r="W1" t="s">
        <v>724</v>
      </c>
      <c r="X1" t="s">
        <v>725</v>
      </c>
      <c r="Y1" t="s">
        <v>726</v>
      </c>
      <c r="Z1" t="s">
        <v>727</v>
      </c>
      <c r="AA1" s="3" t="s">
        <v>755</v>
      </c>
      <c r="AB1" t="s">
        <v>728</v>
      </c>
      <c r="AC1" s="2" t="s">
        <v>751</v>
      </c>
      <c r="AD1" t="s">
        <v>729</v>
      </c>
      <c r="AE1" s="1" t="s">
        <v>730</v>
      </c>
      <c r="AF1" s="3" t="s">
        <v>750</v>
      </c>
      <c r="AG1" t="s">
        <v>731</v>
      </c>
      <c r="AH1" t="s">
        <v>732</v>
      </c>
      <c r="AI1" t="s">
        <v>733</v>
      </c>
      <c r="AJ1" t="s">
        <v>734</v>
      </c>
      <c r="AK1" t="s">
        <v>759</v>
      </c>
      <c r="AL1" t="s">
        <v>753</v>
      </c>
      <c r="AM1" s="3" t="s">
        <v>754</v>
      </c>
      <c r="AN1" s="1" t="s">
        <v>735</v>
      </c>
      <c r="AO1" t="s">
        <v>736</v>
      </c>
      <c r="AP1" s="1" t="s">
        <v>737</v>
      </c>
      <c r="AQ1" s="1" t="s">
        <v>738</v>
      </c>
      <c r="AR1" s="1" t="s">
        <v>739</v>
      </c>
      <c r="AS1" s="1" t="s">
        <v>740</v>
      </c>
      <c r="AT1" s="1" t="s">
        <v>741</v>
      </c>
      <c r="AU1" s="1" t="s">
        <v>742</v>
      </c>
      <c r="AV1" s="1" t="s">
        <v>743</v>
      </c>
      <c r="AW1" s="1" t="s">
        <v>744</v>
      </c>
      <c r="AX1" s="1" t="s">
        <v>745</v>
      </c>
      <c r="AY1" t="s">
        <v>746</v>
      </c>
    </row>
    <row r="2" spans="1:52" s="4" customFormat="1" hidden="1" x14ac:dyDescent="0.25">
      <c r="A2" s="4" t="s">
        <v>1</v>
      </c>
      <c r="B2" s="4" t="s">
        <v>52</v>
      </c>
      <c r="C2" s="4" t="s">
        <v>103</v>
      </c>
      <c r="D2" s="4">
        <v>12547</v>
      </c>
      <c r="E2" s="4" t="s">
        <v>707</v>
      </c>
      <c r="F2" s="4">
        <v>78.599999999999994</v>
      </c>
      <c r="G2" s="4">
        <v>2006</v>
      </c>
      <c r="L2" s="4">
        <v>2970</v>
      </c>
      <c r="O2" s="6" t="s">
        <v>749</v>
      </c>
      <c r="Q2" s="6" t="s">
        <v>749</v>
      </c>
      <c r="AC2" s="4">
        <v>75630</v>
      </c>
      <c r="AY2" s="4">
        <v>75630</v>
      </c>
      <c r="AZ2" s="7"/>
    </row>
    <row r="3" spans="1:52" hidden="1" x14ac:dyDescent="0.25">
      <c r="A3" t="s">
        <v>1</v>
      </c>
      <c r="B3" t="s">
        <v>52</v>
      </c>
      <c r="C3" t="s">
        <v>104</v>
      </c>
      <c r="D3">
        <v>21762</v>
      </c>
      <c r="E3" t="s">
        <v>707</v>
      </c>
      <c r="F3">
        <v>26.064</v>
      </c>
      <c r="G3">
        <v>2006</v>
      </c>
      <c r="J3">
        <f>3519+18981</f>
        <v>22500</v>
      </c>
      <c r="L3">
        <v>3564</v>
      </c>
    </row>
    <row r="4" spans="1:52" hidden="1" x14ac:dyDescent="0.25">
      <c r="A4" t="s">
        <v>1</v>
      </c>
      <c r="B4" t="s">
        <v>52</v>
      </c>
      <c r="C4" t="s">
        <v>105</v>
      </c>
      <c r="D4">
        <v>29214</v>
      </c>
      <c r="E4" t="s">
        <v>708</v>
      </c>
      <c r="F4">
        <v>310.90699999999998</v>
      </c>
      <c r="G4">
        <v>2006</v>
      </c>
      <c r="J4">
        <f>3000+19500</f>
        <v>22500</v>
      </c>
      <c r="L4">
        <v>60000</v>
      </c>
      <c r="O4" s="2" t="s">
        <v>749</v>
      </c>
      <c r="Q4" t="s">
        <v>749</v>
      </c>
      <c r="AC4">
        <v>227258</v>
      </c>
      <c r="AY4">
        <v>228407</v>
      </c>
    </row>
    <row r="5" spans="1:52" hidden="1" x14ac:dyDescent="0.25">
      <c r="A5" t="s">
        <v>1</v>
      </c>
      <c r="B5" t="s">
        <v>52</v>
      </c>
      <c r="C5" t="s">
        <v>106</v>
      </c>
      <c r="D5">
        <v>30928</v>
      </c>
      <c r="E5" t="s">
        <v>707</v>
      </c>
      <c r="F5">
        <v>21.689</v>
      </c>
      <c r="G5">
        <v>2006</v>
      </c>
      <c r="J5">
        <f>3000+15600</f>
        <v>18600</v>
      </c>
      <c r="L5">
        <v>3089</v>
      </c>
    </row>
    <row r="6" spans="1:52" hidden="1" x14ac:dyDescent="0.25">
      <c r="A6" t="s">
        <v>1</v>
      </c>
      <c r="B6" t="s">
        <v>52</v>
      </c>
      <c r="C6" t="s">
        <v>107</v>
      </c>
      <c r="D6">
        <v>30929</v>
      </c>
      <c r="E6" t="s">
        <v>707</v>
      </c>
      <c r="F6">
        <v>25.521999999999998</v>
      </c>
      <c r="G6">
        <v>2006</v>
      </c>
      <c r="J6">
        <f>6429+16071</f>
        <v>22500</v>
      </c>
      <c r="L6">
        <v>1873</v>
      </c>
      <c r="Q6" t="s">
        <v>749</v>
      </c>
      <c r="AY6">
        <v>1149</v>
      </c>
    </row>
    <row r="7" spans="1:52" hidden="1" x14ac:dyDescent="0.25">
      <c r="A7" t="s">
        <v>1</v>
      </c>
      <c r="B7" t="s">
        <v>52</v>
      </c>
      <c r="C7" t="s">
        <v>103</v>
      </c>
      <c r="D7">
        <v>12547</v>
      </c>
      <c r="E7" t="s">
        <v>707</v>
      </c>
      <c r="F7">
        <v>72.177000000000007</v>
      </c>
      <c r="G7">
        <v>2007</v>
      </c>
      <c r="L7">
        <v>3390</v>
      </c>
      <c r="O7" s="2" t="s">
        <v>749</v>
      </c>
      <c r="Q7" s="2" t="s">
        <v>749</v>
      </c>
      <c r="AC7">
        <v>68787</v>
      </c>
      <c r="AY7">
        <v>68787</v>
      </c>
    </row>
    <row r="8" spans="1:52" hidden="1" x14ac:dyDescent="0.25">
      <c r="A8" t="s">
        <v>1</v>
      </c>
      <c r="B8" t="s">
        <v>52</v>
      </c>
      <c r="C8" t="s">
        <v>104</v>
      </c>
      <c r="D8">
        <v>21762</v>
      </c>
      <c r="E8" t="s">
        <v>707</v>
      </c>
      <c r="F8">
        <v>24.533999999999999</v>
      </c>
      <c r="G8">
        <v>2007</v>
      </c>
      <c r="J8">
        <f>3100+19400</f>
        <v>22500</v>
      </c>
      <c r="L8">
        <v>2034</v>
      </c>
    </row>
    <row r="9" spans="1:52" hidden="1" x14ac:dyDescent="0.25">
      <c r="A9" t="s">
        <v>1</v>
      </c>
      <c r="B9" t="s">
        <v>52</v>
      </c>
      <c r="C9" t="s">
        <v>105</v>
      </c>
      <c r="D9">
        <v>29214</v>
      </c>
      <c r="E9" t="s">
        <v>708</v>
      </c>
      <c r="F9">
        <v>314.75900000000001</v>
      </c>
      <c r="G9">
        <v>2007</v>
      </c>
      <c r="J9">
        <f>3100+19400</f>
        <v>22500</v>
      </c>
      <c r="L9">
        <v>60000</v>
      </c>
      <c r="O9" s="2" t="s">
        <v>749</v>
      </c>
      <c r="Q9" t="s">
        <v>749</v>
      </c>
      <c r="AC9">
        <v>231110</v>
      </c>
      <c r="AY9">
        <v>460666</v>
      </c>
    </row>
    <row r="10" spans="1:52" hidden="1" x14ac:dyDescent="0.25">
      <c r="A10" t="s">
        <v>1</v>
      </c>
      <c r="B10" t="s">
        <v>52</v>
      </c>
      <c r="C10" t="s">
        <v>106</v>
      </c>
      <c r="D10">
        <v>30928</v>
      </c>
      <c r="E10" t="s">
        <v>707</v>
      </c>
      <c r="F10">
        <v>24.263000000000002</v>
      </c>
      <c r="G10">
        <v>2007</v>
      </c>
      <c r="J10">
        <f>6750+15750</f>
        <v>22500</v>
      </c>
      <c r="L10">
        <v>1763</v>
      </c>
    </row>
    <row r="11" spans="1:52" hidden="1" x14ac:dyDescent="0.25">
      <c r="A11" t="s">
        <v>1</v>
      </c>
      <c r="B11" t="s">
        <v>52</v>
      </c>
      <c r="C11" t="s">
        <v>107</v>
      </c>
      <c r="D11">
        <v>30929</v>
      </c>
      <c r="E11" t="s">
        <v>707</v>
      </c>
      <c r="F11">
        <v>24.719000000000001</v>
      </c>
      <c r="G11">
        <v>2007</v>
      </c>
      <c r="J11">
        <f>6643+15857</f>
        <v>22500</v>
      </c>
      <c r="L11">
        <v>1070</v>
      </c>
      <c r="Q11" t="s">
        <v>749</v>
      </c>
      <c r="AY11">
        <v>1149</v>
      </c>
    </row>
    <row r="12" spans="1:52" hidden="1" x14ac:dyDescent="0.25">
      <c r="A12" t="s">
        <v>1</v>
      </c>
      <c r="B12" t="s">
        <v>52</v>
      </c>
      <c r="C12" t="s">
        <v>103</v>
      </c>
      <c r="D12">
        <v>12547</v>
      </c>
      <c r="E12" t="s">
        <v>707</v>
      </c>
      <c r="F12">
        <v>17.417999999999999</v>
      </c>
      <c r="G12">
        <v>2008</v>
      </c>
      <c r="L12">
        <v>3390</v>
      </c>
      <c r="O12" s="2" t="s">
        <v>749</v>
      </c>
      <c r="Q12" s="2" t="s">
        <v>749</v>
      </c>
      <c r="AC12">
        <v>14028</v>
      </c>
      <c r="AY12">
        <v>14028</v>
      </c>
    </row>
    <row r="13" spans="1:52" hidden="1" x14ac:dyDescent="0.25">
      <c r="A13" t="s">
        <v>1</v>
      </c>
      <c r="B13" t="s">
        <v>52</v>
      </c>
      <c r="C13" t="s">
        <v>104</v>
      </c>
      <c r="D13">
        <v>21762</v>
      </c>
      <c r="E13" t="s">
        <v>707</v>
      </c>
      <c r="F13">
        <v>24.533999999999999</v>
      </c>
      <c r="G13">
        <v>2008</v>
      </c>
      <c r="J13">
        <f>3100+19400</f>
        <v>22500</v>
      </c>
      <c r="L13">
        <v>2034</v>
      </c>
    </row>
    <row r="14" spans="1:52" hidden="1" x14ac:dyDescent="0.25">
      <c r="A14" t="s">
        <v>1</v>
      </c>
      <c r="B14" t="s">
        <v>52</v>
      </c>
      <c r="C14" t="s">
        <v>105</v>
      </c>
      <c r="D14">
        <v>29214</v>
      </c>
      <c r="E14" t="s">
        <v>708</v>
      </c>
      <c r="F14">
        <v>229.98099999999999</v>
      </c>
      <c r="G14">
        <v>2008</v>
      </c>
      <c r="J14">
        <v>22500</v>
      </c>
      <c r="L14">
        <v>60000</v>
      </c>
      <c r="O14" s="2" t="s">
        <v>749</v>
      </c>
      <c r="Q14" t="s">
        <v>749</v>
      </c>
      <c r="AC14">
        <v>146332</v>
      </c>
      <c r="AY14">
        <v>147481</v>
      </c>
    </row>
    <row r="15" spans="1:52" hidden="1" x14ac:dyDescent="0.25">
      <c r="A15" t="s">
        <v>1</v>
      </c>
      <c r="B15" t="s">
        <v>52</v>
      </c>
      <c r="C15" t="s">
        <v>106</v>
      </c>
      <c r="D15">
        <v>30928</v>
      </c>
      <c r="E15" t="s">
        <v>707</v>
      </c>
      <c r="F15">
        <v>25.885999999999999</v>
      </c>
      <c r="G15">
        <v>2008</v>
      </c>
      <c r="J15">
        <f>6900+15600</f>
        <v>22500</v>
      </c>
      <c r="L15">
        <v>1763</v>
      </c>
      <c r="AR15">
        <v>1623</v>
      </c>
    </row>
    <row r="16" spans="1:52" hidden="1" x14ac:dyDescent="0.25">
      <c r="A16" t="s">
        <v>1</v>
      </c>
      <c r="B16" t="s">
        <v>52</v>
      </c>
      <c r="C16" t="s">
        <v>108</v>
      </c>
      <c r="D16">
        <v>37646</v>
      </c>
      <c r="E16" t="s">
        <v>707</v>
      </c>
      <c r="F16">
        <v>27.619</v>
      </c>
      <c r="G16">
        <v>2008</v>
      </c>
      <c r="J16">
        <f>6900+13033</f>
        <v>19933</v>
      </c>
      <c r="L16">
        <v>1085</v>
      </c>
      <c r="AR16">
        <v>6601</v>
      </c>
    </row>
    <row r="17" spans="1:51" hidden="1" x14ac:dyDescent="0.25">
      <c r="A17" t="s">
        <v>1</v>
      </c>
      <c r="B17" t="s">
        <v>52</v>
      </c>
      <c r="C17" t="s">
        <v>103</v>
      </c>
      <c r="D17">
        <v>12547</v>
      </c>
      <c r="E17" t="s">
        <v>707</v>
      </c>
      <c r="F17">
        <v>30.317</v>
      </c>
      <c r="G17">
        <v>2009</v>
      </c>
      <c r="L17">
        <v>3780</v>
      </c>
      <c r="O17" s="2" t="s">
        <v>749</v>
      </c>
      <c r="Q17" s="2" t="s">
        <v>749</v>
      </c>
      <c r="AC17">
        <v>26537</v>
      </c>
      <c r="AY17">
        <v>26537</v>
      </c>
    </row>
    <row r="18" spans="1:51" hidden="1" x14ac:dyDescent="0.25">
      <c r="A18" t="s">
        <v>1</v>
      </c>
      <c r="B18" t="s">
        <v>52</v>
      </c>
      <c r="C18" t="s">
        <v>104</v>
      </c>
      <c r="D18">
        <v>21762</v>
      </c>
      <c r="E18" t="s">
        <v>707</v>
      </c>
      <c r="F18">
        <v>468.24299999999999</v>
      </c>
      <c r="G18">
        <v>2009</v>
      </c>
      <c r="J18">
        <f>3300+19200</f>
        <v>22500</v>
      </c>
      <c r="L18">
        <v>1512</v>
      </c>
      <c r="AO18">
        <v>300000</v>
      </c>
      <c r="AX18">
        <v>144231</v>
      </c>
    </row>
    <row r="19" spans="1:51" hidden="1" x14ac:dyDescent="0.25">
      <c r="A19" t="s">
        <v>1</v>
      </c>
      <c r="B19" t="s">
        <v>52</v>
      </c>
      <c r="C19" t="s">
        <v>105</v>
      </c>
      <c r="D19">
        <v>29214</v>
      </c>
      <c r="E19" t="s">
        <v>708</v>
      </c>
      <c r="F19">
        <v>2522.7919999999999</v>
      </c>
      <c r="G19">
        <v>2009</v>
      </c>
      <c r="J19">
        <f>3300+19200</f>
        <v>22500</v>
      </c>
      <c r="L19">
        <v>60000</v>
      </c>
      <c r="O19" s="2" t="s">
        <v>749</v>
      </c>
      <c r="Q19" t="s">
        <v>749</v>
      </c>
      <c r="AC19">
        <v>54577</v>
      </c>
      <c r="AR19">
        <v>2384566</v>
      </c>
      <c r="AY19">
        <v>55726</v>
      </c>
    </row>
    <row r="20" spans="1:51" hidden="1" x14ac:dyDescent="0.25">
      <c r="A20" t="s">
        <v>1</v>
      </c>
      <c r="B20" t="s">
        <v>52</v>
      </c>
      <c r="C20" t="s">
        <v>106</v>
      </c>
      <c r="D20">
        <v>30928</v>
      </c>
      <c r="E20" t="s">
        <v>707</v>
      </c>
      <c r="F20">
        <v>35.365000000000002</v>
      </c>
      <c r="G20">
        <v>2009</v>
      </c>
      <c r="J20">
        <f>7350+15150</f>
        <v>22500</v>
      </c>
      <c r="L20">
        <v>1966</v>
      </c>
      <c r="AR20">
        <v>10449</v>
      </c>
    </row>
    <row r="21" spans="1:51" hidden="1" x14ac:dyDescent="0.25">
      <c r="A21" t="s">
        <v>1</v>
      </c>
      <c r="B21" t="s">
        <v>52</v>
      </c>
      <c r="C21" t="s">
        <v>108</v>
      </c>
      <c r="D21">
        <v>37646</v>
      </c>
      <c r="E21" t="s">
        <v>707</v>
      </c>
      <c r="F21">
        <v>113.961</v>
      </c>
      <c r="G21">
        <v>2009</v>
      </c>
      <c r="J21">
        <f>7350+15150</f>
        <v>22500</v>
      </c>
      <c r="L21">
        <v>2268</v>
      </c>
      <c r="AR21">
        <v>48211</v>
      </c>
      <c r="AY21">
        <v>42042</v>
      </c>
    </row>
    <row r="22" spans="1:51" hidden="1" x14ac:dyDescent="0.25">
      <c r="A22" t="s">
        <v>1</v>
      </c>
      <c r="B22" t="s">
        <v>52</v>
      </c>
      <c r="C22" t="s">
        <v>109</v>
      </c>
      <c r="D22">
        <v>42303</v>
      </c>
      <c r="E22" t="s">
        <v>707</v>
      </c>
      <c r="F22">
        <v>72.072999999999993</v>
      </c>
      <c r="G22">
        <v>2009</v>
      </c>
      <c r="J22">
        <f>3300+17700</f>
        <v>21000</v>
      </c>
      <c r="L22">
        <v>31607</v>
      </c>
      <c r="AR22">
        <v>20006</v>
      </c>
    </row>
    <row r="23" spans="1:51" hidden="1" x14ac:dyDescent="0.25">
      <c r="A23" t="s">
        <v>1</v>
      </c>
      <c r="B23" t="s">
        <v>52</v>
      </c>
      <c r="C23" t="s">
        <v>103</v>
      </c>
      <c r="D23">
        <v>12547</v>
      </c>
      <c r="E23" t="s">
        <v>707</v>
      </c>
      <c r="F23">
        <v>160.22900000000001</v>
      </c>
      <c r="G23">
        <v>2010</v>
      </c>
      <c r="L23">
        <v>3780</v>
      </c>
      <c r="O23" s="2" t="s">
        <v>749</v>
      </c>
      <c r="Q23" s="2" t="s">
        <v>749</v>
      </c>
      <c r="AC23">
        <v>156449</v>
      </c>
      <c r="AY23">
        <v>156449</v>
      </c>
    </row>
    <row r="24" spans="1:51" hidden="1" x14ac:dyDescent="0.25">
      <c r="A24" t="s">
        <v>1</v>
      </c>
      <c r="B24" t="s">
        <v>52</v>
      </c>
      <c r="C24" t="s">
        <v>105</v>
      </c>
      <c r="D24">
        <v>29214</v>
      </c>
      <c r="E24" t="s">
        <v>708</v>
      </c>
      <c r="F24">
        <v>2977.7220000000002</v>
      </c>
      <c r="G24">
        <v>2010</v>
      </c>
      <c r="J24">
        <f>3300+19200</f>
        <v>22500</v>
      </c>
      <c r="L24">
        <v>130555</v>
      </c>
      <c r="O24" s="2" t="s">
        <v>749</v>
      </c>
      <c r="Q24" s="3" t="s">
        <v>749</v>
      </c>
      <c r="AC24">
        <v>262707</v>
      </c>
      <c r="AR24">
        <v>2553311</v>
      </c>
      <c r="AY24">
        <v>263856</v>
      </c>
    </row>
    <row r="25" spans="1:51" hidden="1" x14ac:dyDescent="0.25">
      <c r="A25" t="s">
        <v>1</v>
      </c>
      <c r="B25" t="s">
        <v>52</v>
      </c>
      <c r="C25" t="s">
        <v>106</v>
      </c>
      <c r="D25">
        <v>30928</v>
      </c>
      <c r="E25" t="s">
        <v>707</v>
      </c>
      <c r="F25">
        <v>44.622999999999998</v>
      </c>
      <c r="G25">
        <v>2010</v>
      </c>
      <c r="J25">
        <f>7350+15150</f>
        <v>22500</v>
      </c>
      <c r="L25">
        <v>1966</v>
      </c>
      <c r="AR25">
        <v>20157</v>
      </c>
    </row>
    <row r="26" spans="1:51" hidden="1" x14ac:dyDescent="0.25">
      <c r="A26" t="s">
        <v>1</v>
      </c>
      <c r="B26" t="s">
        <v>52</v>
      </c>
      <c r="C26" t="s">
        <v>108</v>
      </c>
      <c r="D26">
        <v>37646</v>
      </c>
      <c r="E26" t="s">
        <v>707</v>
      </c>
      <c r="F26">
        <v>188.30500000000001</v>
      </c>
      <c r="G26">
        <v>2010</v>
      </c>
      <c r="J26">
        <f>7350+15150</f>
        <v>22500</v>
      </c>
      <c r="L26">
        <v>2268</v>
      </c>
      <c r="O26" s="2" t="s">
        <v>749</v>
      </c>
      <c r="AC26">
        <v>41686</v>
      </c>
      <c r="AR26">
        <v>94494</v>
      </c>
      <c r="AY26">
        <f>27357+41686</f>
        <v>69043</v>
      </c>
    </row>
    <row r="27" spans="1:51" hidden="1" x14ac:dyDescent="0.25">
      <c r="A27" t="s">
        <v>1</v>
      </c>
      <c r="B27" t="s">
        <v>52</v>
      </c>
      <c r="C27" t="s">
        <v>110</v>
      </c>
      <c r="D27">
        <v>43834</v>
      </c>
      <c r="E27" t="s">
        <v>707</v>
      </c>
      <c r="F27">
        <v>66.656000000000006</v>
      </c>
      <c r="G27">
        <v>2010</v>
      </c>
      <c r="J27">
        <f>3300+17815</f>
        <v>21115</v>
      </c>
      <c r="L27">
        <v>1134</v>
      </c>
      <c r="AR27">
        <v>44407</v>
      </c>
    </row>
    <row r="28" spans="1:51" hidden="1" x14ac:dyDescent="0.25">
      <c r="A28" t="s">
        <v>1</v>
      </c>
      <c r="B28" t="s">
        <v>52</v>
      </c>
      <c r="C28" t="s">
        <v>103</v>
      </c>
      <c r="D28">
        <v>12547</v>
      </c>
      <c r="E28" t="s">
        <v>707</v>
      </c>
      <c r="F28">
        <v>9.4659999999999993</v>
      </c>
      <c r="G28">
        <v>2011</v>
      </c>
      <c r="L28">
        <v>3780</v>
      </c>
      <c r="Q28" t="s">
        <v>749</v>
      </c>
      <c r="AY28">
        <v>5686</v>
      </c>
    </row>
    <row r="29" spans="1:51" hidden="1" x14ac:dyDescent="0.25">
      <c r="A29" t="s">
        <v>1</v>
      </c>
      <c r="B29" t="s">
        <v>52</v>
      </c>
      <c r="C29" t="s">
        <v>105</v>
      </c>
      <c r="D29">
        <v>29214</v>
      </c>
      <c r="E29" t="s">
        <v>708</v>
      </c>
      <c r="F29">
        <v>1605.433</v>
      </c>
      <c r="G29">
        <v>2011</v>
      </c>
      <c r="J29">
        <v>24904</v>
      </c>
      <c r="L29">
        <v>131280</v>
      </c>
      <c r="O29" t="s">
        <v>749</v>
      </c>
      <c r="Q29" t="s">
        <v>749</v>
      </c>
      <c r="AL29">
        <v>38300</v>
      </c>
      <c r="AY29">
        <v>557600</v>
      </c>
    </row>
    <row r="30" spans="1:51" hidden="1" x14ac:dyDescent="0.25">
      <c r="A30" t="s">
        <v>1</v>
      </c>
      <c r="B30" t="s">
        <v>52</v>
      </c>
      <c r="C30" t="s">
        <v>106</v>
      </c>
      <c r="D30">
        <v>30928</v>
      </c>
      <c r="E30" t="s">
        <v>707</v>
      </c>
      <c r="F30">
        <v>131.22800000000001</v>
      </c>
      <c r="G30">
        <v>2011</v>
      </c>
      <c r="J30">
        <v>25750</v>
      </c>
      <c r="L30">
        <v>1966</v>
      </c>
      <c r="AR30">
        <v>23512</v>
      </c>
    </row>
    <row r="31" spans="1:51" hidden="1" x14ac:dyDescent="0.25">
      <c r="A31" t="s">
        <v>1</v>
      </c>
      <c r="B31" t="s">
        <v>52</v>
      </c>
      <c r="C31" t="s">
        <v>108</v>
      </c>
      <c r="D31">
        <v>37646</v>
      </c>
      <c r="E31" t="s">
        <v>707</v>
      </c>
      <c r="F31">
        <v>174.87700000000001</v>
      </c>
      <c r="G31">
        <v>2011</v>
      </c>
      <c r="J31">
        <v>25673</v>
      </c>
      <c r="L31">
        <v>2268</v>
      </c>
      <c r="AR31">
        <v>98988</v>
      </c>
      <c r="AY31">
        <v>47948</v>
      </c>
    </row>
    <row r="32" spans="1:51" hidden="1" x14ac:dyDescent="0.25">
      <c r="A32" t="s">
        <v>1</v>
      </c>
      <c r="B32" t="s">
        <v>52</v>
      </c>
      <c r="C32" t="s">
        <v>110</v>
      </c>
      <c r="D32">
        <v>43834</v>
      </c>
      <c r="E32" t="s">
        <v>707</v>
      </c>
      <c r="F32">
        <v>76.513000000000005</v>
      </c>
      <c r="G32">
        <v>2011</v>
      </c>
      <c r="J32">
        <v>25818</v>
      </c>
      <c r="L32">
        <v>1134</v>
      </c>
      <c r="AR32">
        <v>49561</v>
      </c>
    </row>
    <row r="33" spans="1:51" hidden="1" x14ac:dyDescent="0.25">
      <c r="A33" t="s">
        <v>1</v>
      </c>
      <c r="B33" t="s">
        <v>52</v>
      </c>
      <c r="C33" t="s">
        <v>103</v>
      </c>
      <c r="D33">
        <v>12547</v>
      </c>
      <c r="E33" t="s">
        <v>707</v>
      </c>
      <c r="F33">
        <v>11.997</v>
      </c>
      <c r="G33">
        <v>2012</v>
      </c>
      <c r="L33">
        <v>3780</v>
      </c>
      <c r="Q33" t="s">
        <v>749</v>
      </c>
      <c r="AY33">
        <v>8217</v>
      </c>
    </row>
    <row r="34" spans="1:51" hidden="1" x14ac:dyDescent="0.25">
      <c r="A34" t="s">
        <v>1</v>
      </c>
      <c r="B34" t="s">
        <v>52</v>
      </c>
      <c r="C34" t="s">
        <v>105</v>
      </c>
      <c r="D34">
        <v>29214</v>
      </c>
      <c r="E34" t="s">
        <v>708</v>
      </c>
      <c r="F34">
        <v>1410.2339999999999</v>
      </c>
      <c r="G34">
        <v>2012</v>
      </c>
      <c r="J34">
        <v>26250</v>
      </c>
      <c r="L34">
        <v>131280</v>
      </c>
      <c r="O34" t="s">
        <v>749</v>
      </c>
      <c r="Q34" t="s">
        <v>749</v>
      </c>
      <c r="AL34">
        <v>583808</v>
      </c>
      <c r="AY34">
        <v>660247</v>
      </c>
    </row>
    <row r="35" spans="1:51" hidden="1" x14ac:dyDescent="0.25">
      <c r="A35" t="s">
        <v>1</v>
      </c>
      <c r="B35" t="s">
        <v>52</v>
      </c>
      <c r="C35" t="s">
        <v>106</v>
      </c>
      <c r="D35">
        <v>30928</v>
      </c>
      <c r="E35" t="s">
        <v>707</v>
      </c>
      <c r="F35">
        <v>66.418000000000006</v>
      </c>
      <c r="G35">
        <v>2012</v>
      </c>
      <c r="J35">
        <v>26250</v>
      </c>
      <c r="L35">
        <v>1966</v>
      </c>
      <c r="AR35">
        <v>38202</v>
      </c>
    </row>
    <row r="36" spans="1:51" hidden="1" x14ac:dyDescent="0.25">
      <c r="A36" t="s">
        <v>1</v>
      </c>
      <c r="B36" t="s">
        <v>52</v>
      </c>
      <c r="C36" t="s">
        <v>108</v>
      </c>
      <c r="D36">
        <v>37646</v>
      </c>
      <c r="E36" t="s">
        <v>707</v>
      </c>
      <c r="F36">
        <v>403.90699999999998</v>
      </c>
      <c r="G36">
        <v>2012</v>
      </c>
      <c r="J36">
        <v>26250</v>
      </c>
      <c r="L36">
        <v>2268</v>
      </c>
      <c r="O36" t="s">
        <v>749</v>
      </c>
      <c r="Q36" t="s">
        <v>749</v>
      </c>
      <c r="AR36">
        <v>130517</v>
      </c>
      <c r="AY36">
        <f>194043+50829</f>
        <v>244872</v>
      </c>
    </row>
    <row r="37" spans="1:51" hidden="1" x14ac:dyDescent="0.25">
      <c r="A37" t="s">
        <v>1</v>
      </c>
      <c r="B37" t="s">
        <v>52</v>
      </c>
      <c r="C37" t="s">
        <v>110</v>
      </c>
      <c r="D37">
        <v>43834</v>
      </c>
      <c r="E37" t="s">
        <v>707</v>
      </c>
      <c r="F37">
        <v>96.254999999999995</v>
      </c>
      <c r="G37">
        <v>2012</v>
      </c>
      <c r="J37">
        <v>26250</v>
      </c>
      <c r="L37">
        <v>1134</v>
      </c>
      <c r="AR37">
        <v>68871</v>
      </c>
    </row>
    <row r="38" spans="1:51" hidden="1" x14ac:dyDescent="0.25">
      <c r="A38" t="s">
        <v>1</v>
      </c>
      <c r="B38" t="s">
        <v>52</v>
      </c>
      <c r="C38" t="s">
        <v>103</v>
      </c>
      <c r="D38">
        <v>12547</v>
      </c>
      <c r="E38" t="s">
        <v>707</v>
      </c>
      <c r="F38">
        <v>11.965999999999999</v>
      </c>
      <c r="G38">
        <v>2013</v>
      </c>
      <c r="L38">
        <v>3780</v>
      </c>
      <c r="Q38" t="s">
        <v>749</v>
      </c>
      <c r="AY38">
        <v>8186</v>
      </c>
    </row>
    <row r="39" spans="1:51" hidden="1" x14ac:dyDescent="0.25">
      <c r="A39" t="s">
        <v>1</v>
      </c>
      <c r="B39" t="s">
        <v>52</v>
      </c>
      <c r="C39" t="s">
        <v>105</v>
      </c>
      <c r="D39">
        <v>29214</v>
      </c>
      <c r="E39" t="s">
        <v>708</v>
      </c>
      <c r="F39">
        <v>1230.8589999999999</v>
      </c>
      <c r="G39">
        <v>2013</v>
      </c>
      <c r="J39">
        <v>26250</v>
      </c>
      <c r="L39">
        <v>131280</v>
      </c>
      <c r="O39" t="s">
        <v>749</v>
      </c>
      <c r="Q39" t="s">
        <v>749</v>
      </c>
      <c r="AL39">
        <v>531152</v>
      </c>
      <c r="AY39">
        <v>533527</v>
      </c>
    </row>
    <row r="40" spans="1:51" hidden="1" x14ac:dyDescent="0.25">
      <c r="A40" t="s">
        <v>1</v>
      </c>
      <c r="B40" t="s">
        <v>52</v>
      </c>
      <c r="C40" t="s">
        <v>106</v>
      </c>
      <c r="D40">
        <v>30928</v>
      </c>
      <c r="E40" t="s">
        <v>707</v>
      </c>
      <c r="F40">
        <v>64.290000000000006</v>
      </c>
      <c r="G40">
        <v>2013</v>
      </c>
      <c r="J40">
        <v>26250</v>
      </c>
      <c r="L40">
        <v>2012</v>
      </c>
      <c r="AR40">
        <v>36028</v>
      </c>
    </row>
    <row r="41" spans="1:51" hidden="1" x14ac:dyDescent="0.25">
      <c r="A41" t="s">
        <v>1</v>
      </c>
      <c r="B41" t="s">
        <v>52</v>
      </c>
      <c r="C41" t="s">
        <v>108</v>
      </c>
      <c r="D41">
        <v>37646</v>
      </c>
      <c r="E41" t="s">
        <v>707</v>
      </c>
      <c r="F41">
        <v>237.857</v>
      </c>
      <c r="G41">
        <v>2013</v>
      </c>
      <c r="J41">
        <v>26250</v>
      </c>
      <c r="L41">
        <v>3096</v>
      </c>
      <c r="AR41">
        <v>154251</v>
      </c>
      <c r="AY41">
        <v>54260</v>
      </c>
    </row>
    <row r="42" spans="1:51" hidden="1" x14ac:dyDescent="0.25">
      <c r="A42" t="s">
        <v>1</v>
      </c>
      <c r="B42" t="s">
        <v>52</v>
      </c>
      <c r="C42" t="s">
        <v>110</v>
      </c>
      <c r="D42">
        <v>43834</v>
      </c>
      <c r="E42" t="s">
        <v>707</v>
      </c>
      <c r="F42">
        <v>126.282</v>
      </c>
      <c r="G42">
        <v>2013</v>
      </c>
      <c r="J42">
        <v>23176</v>
      </c>
      <c r="L42">
        <v>1257</v>
      </c>
      <c r="AR42">
        <v>95246</v>
      </c>
      <c r="AY42">
        <v>2520</v>
      </c>
    </row>
    <row r="43" spans="1:51" hidden="1" x14ac:dyDescent="0.25">
      <c r="A43" t="s">
        <v>1</v>
      </c>
      <c r="B43" t="s">
        <v>52</v>
      </c>
      <c r="C43" t="s">
        <v>103</v>
      </c>
      <c r="D43">
        <v>12547</v>
      </c>
      <c r="E43" t="s">
        <v>707</v>
      </c>
      <c r="F43">
        <v>52.149000000000001</v>
      </c>
      <c r="G43">
        <v>2014</v>
      </c>
      <c r="L43">
        <v>3960</v>
      </c>
      <c r="O43" t="s">
        <v>749</v>
      </c>
      <c r="Q43" t="s">
        <v>749</v>
      </c>
      <c r="AY43">
        <f>48189</f>
        <v>48189</v>
      </c>
    </row>
    <row r="44" spans="1:51" hidden="1" x14ac:dyDescent="0.25">
      <c r="A44" t="s">
        <v>1</v>
      </c>
      <c r="B44" t="s">
        <v>52</v>
      </c>
      <c r="C44" t="s">
        <v>105</v>
      </c>
      <c r="D44">
        <v>29214</v>
      </c>
      <c r="E44" t="s">
        <v>708</v>
      </c>
      <c r="F44">
        <v>1390.2940000000001</v>
      </c>
      <c r="G44">
        <v>2014</v>
      </c>
      <c r="J44">
        <v>26250</v>
      </c>
      <c r="L44">
        <v>130920</v>
      </c>
      <c r="O44" t="s">
        <v>749</v>
      </c>
      <c r="Q44" t="s">
        <v>749</v>
      </c>
      <c r="S44">
        <v>7500</v>
      </c>
      <c r="AL44">
        <v>522769</v>
      </c>
      <c r="AY44">
        <v>702855</v>
      </c>
    </row>
    <row r="45" spans="1:51" hidden="1" x14ac:dyDescent="0.25">
      <c r="A45" t="s">
        <v>1</v>
      </c>
      <c r="B45" t="s">
        <v>52</v>
      </c>
      <c r="C45" t="s">
        <v>108</v>
      </c>
      <c r="D45">
        <v>37646</v>
      </c>
      <c r="E45" t="s">
        <v>707</v>
      </c>
      <c r="F45">
        <v>280.79500000000002</v>
      </c>
      <c r="G45">
        <v>2014</v>
      </c>
      <c r="J45">
        <v>26250</v>
      </c>
      <c r="L45">
        <v>3960</v>
      </c>
      <c r="O45" t="s">
        <v>749</v>
      </c>
      <c r="Q45" t="s">
        <v>749</v>
      </c>
      <c r="AR45">
        <v>162403</v>
      </c>
      <c r="AY45">
        <f>61408+26774</f>
        <v>88182</v>
      </c>
    </row>
    <row r="46" spans="1:51" hidden="1" x14ac:dyDescent="0.25">
      <c r="A46" t="s">
        <v>1</v>
      </c>
      <c r="B46" t="s">
        <v>52</v>
      </c>
      <c r="C46" t="s">
        <v>110</v>
      </c>
      <c r="D46">
        <v>43834</v>
      </c>
      <c r="E46" t="s">
        <v>707</v>
      </c>
      <c r="F46">
        <v>118.605</v>
      </c>
      <c r="G46">
        <v>2014</v>
      </c>
      <c r="J46">
        <v>26250</v>
      </c>
      <c r="L46">
        <v>1386</v>
      </c>
      <c r="AR46">
        <v>90969</v>
      </c>
    </row>
    <row r="47" spans="1:51" hidden="1" x14ac:dyDescent="0.25">
      <c r="A47" t="s">
        <v>1</v>
      </c>
      <c r="B47" t="s">
        <v>52</v>
      </c>
      <c r="C47" t="s">
        <v>111</v>
      </c>
      <c r="D47">
        <v>50661</v>
      </c>
      <c r="E47" t="s">
        <v>707</v>
      </c>
      <c r="F47">
        <v>2026.8589999999999</v>
      </c>
      <c r="G47">
        <v>2014</v>
      </c>
      <c r="J47">
        <v>24958</v>
      </c>
      <c r="L47">
        <v>1901</v>
      </c>
      <c r="AY47">
        <v>2000000</v>
      </c>
    </row>
    <row r="48" spans="1:51" hidden="1" x14ac:dyDescent="0.25">
      <c r="A48" t="s">
        <v>1</v>
      </c>
      <c r="B48" t="s">
        <v>52</v>
      </c>
      <c r="C48" t="s">
        <v>103</v>
      </c>
      <c r="D48">
        <v>12547</v>
      </c>
      <c r="E48" t="s">
        <v>707</v>
      </c>
      <c r="F48">
        <v>11.555</v>
      </c>
      <c r="G48">
        <v>2015</v>
      </c>
      <c r="L48">
        <v>3780</v>
      </c>
      <c r="Q48" t="s">
        <v>749</v>
      </c>
      <c r="AY48">
        <v>7775</v>
      </c>
    </row>
    <row r="49" spans="1:51" hidden="1" x14ac:dyDescent="0.25">
      <c r="A49" t="s">
        <v>1</v>
      </c>
      <c r="B49" t="s">
        <v>52</v>
      </c>
      <c r="C49" t="s">
        <v>105</v>
      </c>
      <c r="D49">
        <v>29214</v>
      </c>
      <c r="E49" t="s">
        <v>708</v>
      </c>
      <c r="F49">
        <v>1152.883</v>
      </c>
      <c r="G49">
        <v>2015</v>
      </c>
      <c r="J49">
        <f>4200+22050</f>
        <v>26250</v>
      </c>
      <c r="L49">
        <v>234564</v>
      </c>
      <c r="O49" t="s">
        <v>749</v>
      </c>
      <c r="Q49" t="s">
        <v>749</v>
      </c>
      <c r="S49">
        <v>7500</v>
      </c>
      <c r="AL49">
        <v>513218</v>
      </c>
      <c r="AY49">
        <v>371351</v>
      </c>
    </row>
    <row r="50" spans="1:51" hidden="1" x14ac:dyDescent="0.25">
      <c r="A50" t="s">
        <v>1</v>
      </c>
      <c r="B50" t="s">
        <v>52</v>
      </c>
      <c r="C50" t="s">
        <v>108</v>
      </c>
      <c r="D50">
        <v>37646</v>
      </c>
      <c r="E50" t="s">
        <v>707</v>
      </c>
      <c r="F50">
        <v>295.44600000000003</v>
      </c>
      <c r="G50">
        <v>2015</v>
      </c>
      <c r="J50">
        <f>9275+16975</f>
        <v>26250</v>
      </c>
      <c r="L50">
        <v>16975</v>
      </c>
      <c r="Q50" t="s">
        <v>749</v>
      </c>
      <c r="AR50">
        <v>170735</v>
      </c>
      <c r="AY50">
        <f>68714+25967</f>
        <v>94681</v>
      </c>
    </row>
    <row r="51" spans="1:51" hidden="1" x14ac:dyDescent="0.25">
      <c r="A51" t="s">
        <v>1</v>
      </c>
      <c r="B51" t="s">
        <v>52</v>
      </c>
      <c r="C51" t="s">
        <v>110</v>
      </c>
      <c r="D51">
        <v>43834</v>
      </c>
      <c r="E51" t="s">
        <v>707</v>
      </c>
      <c r="F51">
        <v>136.167</v>
      </c>
      <c r="G51">
        <v>2015</v>
      </c>
      <c r="J51">
        <f>4200+22050</f>
        <v>26250</v>
      </c>
      <c r="L51">
        <v>1323</v>
      </c>
      <c r="AR51">
        <v>100866</v>
      </c>
      <c r="AY51">
        <v>7728</v>
      </c>
    </row>
    <row r="52" spans="1:51" hidden="1" x14ac:dyDescent="0.25">
      <c r="A52" t="s">
        <v>1</v>
      </c>
      <c r="B52" t="s">
        <v>52</v>
      </c>
      <c r="C52" t="s">
        <v>111</v>
      </c>
      <c r="D52">
        <v>50661</v>
      </c>
      <c r="E52" t="s">
        <v>707</v>
      </c>
      <c r="F52">
        <v>69.876999999999995</v>
      </c>
      <c r="G52">
        <v>2015</v>
      </c>
      <c r="J52">
        <f>9000+17250</f>
        <v>26250</v>
      </c>
      <c r="L52">
        <v>1814</v>
      </c>
      <c r="AR52">
        <v>41813</v>
      </c>
    </row>
    <row r="53" spans="1:51" hidden="1" x14ac:dyDescent="0.25">
      <c r="A53" t="s">
        <v>1</v>
      </c>
      <c r="B53" t="s">
        <v>52</v>
      </c>
      <c r="C53" t="s">
        <v>112</v>
      </c>
      <c r="D53">
        <v>52642</v>
      </c>
      <c r="E53" t="s">
        <v>707</v>
      </c>
      <c r="F53">
        <v>91.07</v>
      </c>
      <c r="G53">
        <v>2015</v>
      </c>
      <c r="J53">
        <f>5250+21000</f>
        <v>26250</v>
      </c>
      <c r="L53">
        <v>1210</v>
      </c>
      <c r="AR53">
        <v>63610</v>
      </c>
    </row>
    <row r="54" spans="1:51" hidden="1" x14ac:dyDescent="0.25">
      <c r="A54" t="s">
        <v>1</v>
      </c>
      <c r="B54" t="s">
        <v>52</v>
      </c>
      <c r="C54" t="s">
        <v>105</v>
      </c>
      <c r="D54">
        <v>29214</v>
      </c>
      <c r="E54" t="s">
        <v>708</v>
      </c>
      <c r="F54">
        <v>1147.704</v>
      </c>
      <c r="G54">
        <v>2016</v>
      </c>
      <c r="J54">
        <f>4200+19646</f>
        <v>23846</v>
      </c>
      <c r="L54">
        <v>234564</v>
      </c>
      <c r="O54" t="s">
        <v>749</v>
      </c>
      <c r="Q54" t="s">
        <v>749</v>
      </c>
      <c r="S54">
        <v>7500</v>
      </c>
      <c r="AL54">
        <v>537945</v>
      </c>
      <c r="AY54">
        <v>343849</v>
      </c>
    </row>
    <row r="55" spans="1:51" hidden="1" x14ac:dyDescent="0.25">
      <c r="A55" t="s">
        <v>1</v>
      </c>
      <c r="B55" t="s">
        <v>52</v>
      </c>
      <c r="C55" t="s">
        <v>108</v>
      </c>
      <c r="D55">
        <v>37646</v>
      </c>
      <c r="E55" t="s">
        <v>707</v>
      </c>
      <c r="F55">
        <v>321.44200000000001</v>
      </c>
      <c r="G55">
        <v>2016</v>
      </c>
      <c r="J55">
        <f>8912+14550</f>
        <v>23462</v>
      </c>
      <c r="L55">
        <v>3780</v>
      </c>
      <c r="O55" t="s">
        <v>749</v>
      </c>
      <c r="Q55" t="s">
        <v>749</v>
      </c>
      <c r="AR55">
        <v>169033</v>
      </c>
      <c r="AY55">
        <f>71813+53354</f>
        <v>125167</v>
      </c>
    </row>
    <row r="56" spans="1:51" hidden="1" x14ac:dyDescent="0.25">
      <c r="A56" t="s">
        <v>1</v>
      </c>
      <c r="B56" t="s">
        <v>52</v>
      </c>
      <c r="C56" t="s">
        <v>110</v>
      </c>
      <c r="D56">
        <v>43834</v>
      </c>
      <c r="E56" t="s">
        <v>707</v>
      </c>
      <c r="F56">
        <v>137.31100000000001</v>
      </c>
      <c r="G56">
        <v>2016</v>
      </c>
      <c r="J56">
        <f>3937+18900</f>
        <v>22837</v>
      </c>
      <c r="L56">
        <v>1465</v>
      </c>
      <c r="AR56">
        <v>102224</v>
      </c>
      <c r="AY56">
        <v>10785</v>
      </c>
    </row>
    <row r="57" spans="1:51" hidden="1" x14ac:dyDescent="0.25">
      <c r="A57" t="s">
        <v>1</v>
      </c>
      <c r="B57" t="s">
        <v>52</v>
      </c>
      <c r="C57" t="s">
        <v>111</v>
      </c>
      <c r="D57">
        <v>50661</v>
      </c>
      <c r="E57" t="s">
        <v>707</v>
      </c>
      <c r="F57">
        <v>58.642000000000003</v>
      </c>
      <c r="G57">
        <v>2016</v>
      </c>
      <c r="J57">
        <f>8176+14786</f>
        <v>22962</v>
      </c>
      <c r="L57">
        <v>1814</v>
      </c>
      <c r="AR57">
        <v>33866</v>
      </c>
    </row>
    <row r="58" spans="1:51" hidden="1" x14ac:dyDescent="0.25">
      <c r="A58" t="s">
        <v>1</v>
      </c>
      <c r="B58" t="s">
        <v>52</v>
      </c>
      <c r="C58" t="s">
        <v>112</v>
      </c>
      <c r="D58">
        <v>52642</v>
      </c>
      <c r="E58" t="s">
        <v>707</v>
      </c>
      <c r="F58">
        <v>99.759</v>
      </c>
      <c r="G58">
        <v>2016</v>
      </c>
      <c r="J58">
        <f>4808+18000</f>
        <v>22808</v>
      </c>
      <c r="L58">
        <v>1361</v>
      </c>
      <c r="AR58">
        <v>75590</v>
      </c>
    </row>
    <row r="59" spans="1:51" hidden="1" x14ac:dyDescent="0.25">
      <c r="A59" t="s">
        <v>1</v>
      </c>
      <c r="B59" t="s">
        <v>52</v>
      </c>
      <c r="C59" t="s">
        <v>105</v>
      </c>
      <c r="D59">
        <v>29214</v>
      </c>
      <c r="E59" t="s">
        <v>708</v>
      </c>
      <c r="F59">
        <v>1179.048</v>
      </c>
      <c r="G59">
        <v>2017</v>
      </c>
      <c r="J59">
        <f>3600+20631</f>
        <v>24231</v>
      </c>
      <c r="L59">
        <v>234564</v>
      </c>
      <c r="O59" t="s">
        <v>749</v>
      </c>
      <c r="Q59" t="s">
        <v>749</v>
      </c>
      <c r="S59">
        <v>7500</v>
      </c>
      <c r="AL59">
        <v>640552</v>
      </c>
      <c r="AY59">
        <f>272201</f>
        <v>272201</v>
      </c>
    </row>
    <row r="60" spans="1:51" hidden="1" x14ac:dyDescent="0.25">
      <c r="A60" t="s">
        <v>1</v>
      </c>
      <c r="B60" t="s">
        <v>52</v>
      </c>
      <c r="C60" t="s">
        <v>108</v>
      </c>
      <c r="D60">
        <v>37646</v>
      </c>
      <c r="E60" t="s">
        <v>707</v>
      </c>
      <c r="F60">
        <v>363.47399999999999</v>
      </c>
      <c r="G60">
        <v>2017</v>
      </c>
      <c r="J60">
        <f>8100+16708</f>
        <v>24808</v>
      </c>
      <c r="L60">
        <v>3780</v>
      </c>
      <c r="O60" t="s">
        <v>749</v>
      </c>
      <c r="Q60" t="s">
        <v>749</v>
      </c>
      <c r="AR60">
        <v>198932</v>
      </c>
      <c r="AY60">
        <f>93356+42598</f>
        <v>135954</v>
      </c>
    </row>
    <row r="61" spans="1:51" hidden="1" x14ac:dyDescent="0.25">
      <c r="A61" t="s">
        <v>1</v>
      </c>
      <c r="B61" t="s">
        <v>52</v>
      </c>
      <c r="C61" t="s">
        <v>110</v>
      </c>
      <c r="D61">
        <v>43834</v>
      </c>
      <c r="E61" t="s">
        <v>707</v>
      </c>
      <c r="F61">
        <v>132.84200000000001</v>
      </c>
      <c r="G61">
        <v>2017</v>
      </c>
      <c r="J61">
        <f>3600+21929</f>
        <v>25529</v>
      </c>
      <c r="L61">
        <v>1890</v>
      </c>
      <c r="AR61">
        <v>102710</v>
      </c>
      <c r="AY61">
        <v>2713</v>
      </c>
    </row>
    <row r="62" spans="1:51" hidden="1" x14ac:dyDescent="0.25">
      <c r="A62" t="s">
        <v>1</v>
      </c>
      <c r="B62" t="s">
        <v>52</v>
      </c>
      <c r="C62" t="s">
        <v>111</v>
      </c>
      <c r="D62">
        <v>50661</v>
      </c>
      <c r="E62" t="s">
        <v>707</v>
      </c>
      <c r="F62">
        <v>64.903000000000006</v>
      </c>
      <c r="G62">
        <v>2017</v>
      </c>
      <c r="J62">
        <f>8308+17250</f>
        <v>25558</v>
      </c>
      <c r="L62">
        <v>2041</v>
      </c>
      <c r="AR62">
        <v>37304</v>
      </c>
    </row>
    <row r="63" spans="1:51" hidden="1" x14ac:dyDescent="0.25">
      <c r="A63" t="s">
        <v>1</v>
      </c>
      <c r="B63" t="s">
        <v>52</v>
      </c>
      <c r="C63" t="s">
        <v>112</v>
      </c>
      <c r="D63">
        <v>52642</v>
      </c>
      <c r="E63" t="s">
        <v>707</v>
      </c>
      <c r="F63">
        <v>106.324</v>
      </c>
      <c r="G63">
        <v>2017</v>
      </c>
      <c r="J63">
        <f>4673+21000</f>
        <v>25673</v>
      </c>
      <c r="L63">
        <v>1512</v>
      </c>
      <c r="AR63">
        <v>79139</v>
      </c>
    </row>
    <row r="64" spans="1:51" hidden="1" x14ac:dyDescent="0.25">
      <c r="A64" t="s">
        <v>1</v>
      </c>
      <c r="B64" t="s">
        <v>52</v>
      </c>
      <c r="C64" t="s">
        <v>105</v>
      </c>
      <c r="D64">
        <v>29214</v>
      </c>
      <c r="E64" t="s">
        <v>708</v>
      </c>
      <c r="F64">
        <v>1006.504</v>
      </c>
      <c r="G64">
        <v>2018</v>
      </c>
      <c r="J64">
        <f>4317+20203</f>
        <v>24520</v>
      </c>
      <c r="L64">
        <f>232940</f>
        <v>232940</v>
      </c>
      <c r="O64" t="s">
        <v>749</v>
      </c>
      <c r="Q64" t="s">
        <v>749</v>
      </c>
      <c r="AL64">
        <v>587150</v>
      </c>
      <c r="AY64">
        <v>161894</v>
      </c>
    </row>
    <row r="65" spans="1:52" hidden="1" x14ac:dyDescent="0.25">
      <c r="A65" t="s">
        <v>1</v>
      </c>
      <c r="B65" t="s">
        <v>52</v>
      </c>
      <c r="C65" t="s">
        <v>108</v>
      </c>
      <c r="D65">
        <v>37646</v>
      </c>
      <c r="E65" t="s">
        <v>707</v>
      </c>
      <c r="F65">
        <v>359.53300000000002</v>
      </c>
      <c r="G65">
        <v>2018</v>
      </c>
      <c r="J65">
        <f>9625+14317</f>
        <v>23942</v>
      </c>
      <c r="L65">
        <v>3960</v>
      </c>
      <c r="O65" t="s">
        <v>749</v>
      </c>
      <c r="Q65" t="s">
        <v>749</v>
      </c>
      <c r="AR65">
        <v>162721</v>
      </c>
      <c r="AY65">
        <f>69555+99355</f>
        <v>168910</v>
      </c>
    </row>
    <row r="66" spans="1:52" hidden="1" x14ac:dyDescent="0.25">
      <c r="A66" t="s">
        <v>1</v>
      </c>
      <c r="B66" t="s">
        <v>52</v>
      </c>
      <c r="C66" t="s">
        <v>110</v>
      </c>
      <c r="D66">
        <v>43834</v>
      </c>
      <c r="E66" t="s">
        <v>707</v>
      </c>
      <c r="F66">
        <v>301.12099999999998</v>
      </c>
      <c r="G66">
        <v>2018</v>
      </c>
      <c r="J66">
        <f>4317+18905</f>
        <v>23222</v>
      </c>
      <c r="L66">
        <v>1650</v>
      </c>
      <c r="AR66">
        <v>94132</v>
      </c>
      <c r="AX66">
        <v>178871</v>
      </c>
      <c r="AY66">
        <v>3246</v>
      </c>
    </row>
    <row r="67" spans="1:52" hidden="1" x14ac:dyDescent="0.25">
      <c r="A67" t="s">
        <v>1</v>
      </c>
      <c r="B67" t="s">
        <v>52</v>
      </c>
      <c r="C67" t="s">
        <v>111</v>
      </c>
      <c r="D67">
        <v>50661</v>
      </c>
      <c r="E67" t="s">
        <v>707</v>
      </c>
      <c r="F67">
        <v>65.304000000000002</v>
      </c>
      <c r="G67">
        <v>2018</v>
      </c>
      <c r="J67">
        <f>8707+14571</f>
        <v>23278</v>
      </c>
      <c r="L67">
        <v>2138</v>
      </c>
      <c r="AR67">
        <v>39888</v>
      </c>
    </row>
    <row r="68" spans="1:52" hidden="1" x14ac:dyDescent="0.25">
      <c r="A68" t="s">
        <v>1</v>
      </c>
      <c r="B68" t="s">
        <v>52</v>
      </c>
      <c r="C68" t="s">
        <v>112</v>
      </c>
      <c r="D68">
        <v>52642</v>
      </c>
      <c r="E68" t="s">
        <v>707</v>
      </c>
      <c r="F68">
        <v>223.34800000000001</v>
      </c>
      <c r="G68">
        <v>2018</v>
      </c>
      <c r="J68">
        <f>5202+17875</f>
        <v>23077</v>
      </c>
      <c r="L68">
        <v>1320</v>
      </c>
      <c r="AR68">
        <v>54761</v>
      </c>
      <c r="AX68">
        <f>144190</f>
        <v>144190</v>
      </c>
    </row>
    <row r="69" spans="1:52" hidden="1" x14ac:dyDescent="0.25">
      <c r="A69" t="s">
        <v>1</v>
      </c>
      <c r="B69" t="s">
        <v>52</v>
      </c>
      <c r="C69" t="s">
        <v>113</v>
      </c>
      <c r="D69">
        <v>61713</v>
      </c>
      <c r="E69" t="s">
        <v>707</v>
      </c>
      <c r="F69">
        <v>24.335999999999999</v>
      </c>
      <c r="G69">
        <v>2018</v>
      </c>
      <c r="J69">
        <f>4190+18800</f>
        <v>22990</v>
      </c>
      <c r="L69">
        <v>1346</v>
      </c>
    </row>
    <row r="70" spans="1:52" hidden="1" x14ac:dyDescent="0.25">
      <c r="A70" t="s">
        <v>1</v>
      </c>
      <c r="B70" t="s">
        <v>52</v>
      </c>
      <c r="C70" t="s">
        <v>114</v>
      </c>
      <c r="D70">
        <v>61714</v>
      </c>
      <c r="E70" t="s">
        <v>707</v>
      </c>
      <c r="F70">
        <v>20.905000000000001</v>
      </c>
      <c r="G70">
        <v>2018</v>
      </c>
      <c r="J70">
        <f>4075+15800</f>
        <v>19875</v>
      </c>
      <c r="L70">
        <v>1030</v>
      </c>
    </row>
    <row r="71" spans="1:52" hidden="1" x14ac:dyDescent="0.25">
      <c r="A71" t="s">
        <v>1</v>
      </c>
      <c r="B71" t="s">
        <v>52</v>
      </c>
      <c r="C71" t="s">
        <v>115</v>
      </c>
      <c r="D71">
        <v>61715</v>
      </c>
      <c r="E71" t="s">
        <v>707</v>
      </c>
      <c r="F71">
        <v>20.693000000000001</v>
      </c>
      <c r="G71">
        <v>2018</v>
      </c>
      <c r="J71">
        <f>7825+12060</f>
        <v>19885</v>
      </c>
      <c r="L71">
        <v>808</v>
      </c>
    </row>
    <row r="72" spans="1:52" s="4" customFormat="1" hidden="1" x14ac:dyDescent="0.25">
      <c r="A72" s="4" t="s">
        <v>2</v>
      </c>
      <c r="B72" s="4" t="s">
        <v>53</v>
      </c>
      <c r="C72" s="4" t="s">
        <v>116</v>
      </c>
      <c r="D72" s="4">
        <v>47878</v>
      </c>
      <c r="E72" s="4" t="s">
        <v>707</v>
      </c>
      <c r="F72" s="4">
        <v>44.148000000000003</v>
      </c>
      <c r="G72" s="4">
        <v>2011</v>
      </c>
      <c r="H72" s="4">
        <v>1</v>
      </c>
      <c r="AZ72" s="7"/>
    </row>
    <row r="73" spans="1:52" hidden="1" x14ac:dyDescent="0.25">
      <c r="A73" t="s">
        <v>2</v>
      </c>
      <c r="B73" t="s">
        <v>53</v>
      </c>
      <c r="C73" t="s">
        <v>117</v>
      </c>
      <c r="D73">
        <v>47879</v>
      </c>
      <c r="E73" t="s">
        <v>707</v>
      </c>
      <c r="F73">
        <v>57.658000000000001</v>
      </c>
      <c r="G73">
        <v>2011</v>
      </c>
      <c r="H73">
        <v>1</v>
      </c>
    </row>
    <row r="74" spans="1:52" hidden="1" x14ac:dyDescent="0.25">
      <c r="A74" t="s">
        <v>2</v>
      </c>
      <c r="B74" t="s">
        <v>53</v>
      </c>
      <c r="C74" t="s">
        <v>118</v>
      </c>
      <c r="D74">
        <v>47875</v>
      </c>
      <c r="E74" t="s">
        <v>707</v>
      </c>
      <c r="F74">
        <v>51.316000000000003</v>
      </c>
      <c r="G74">
        <v>2012</v>
      </c>
      <c r="H74">
        <v>1</v>
      </c>
    </row>
    <row r="75" spans="1:52" hidden="1" x14ac:dyDescent="0.25">
      <c r="A75" t="s">
        <v>2</v>
      </c>
      <c r="B75" t="s">
        <v>53</v>
      </c>
      <c r="C75" t="s">
        <v>119</v>
      </c>
      <c r="D75">
        <v>47876</v>
      </c>
      <c r="E75" t="s">
        <v>707</v>
      </c>
      <c r="F75">
        <v>13.946</v>
      </c>
      <c r="G75">
        <v>2012</v>
      </c>
      <c r="H75">
        <v>1</v>
      </c>
    </row>
    <row r="76" spans="1:52" hidden="1" x14ac:dyDescent="0.25">
      <c r="A76" t="s">
        <v>2</v>
      </c>
      <c r="B76" t="s">
        <v>53</v>
      </c>
      <c r="C76" t="s">
        <v>120</v>
      </c>
      <c r="D76">
        <v>47877</v>
      </c>
      <c r="E76" t="s">
        <v>707</v>
      </c>
      <c r="F76">
        <v>25.375</v>
      </c>
      <c r="G76">
        <v>2012</v>
      </c>
      <c r="H76">
        <v>1</v>
      </c>
    </row>
    <row r="77" spans="1:52" hidden="1" x14ac:dyDescent="0.25">
      <c r="A77" t="s">
        <v>2</v>
      </c>
      <c r="B77" t="s">
        <v>53</v>
      </c>
      <c r="C77" t="s">
        <v>116</v>
      </c>
      <c r="D77">
        <v>47878</v>
      </c>
      <c r="E77" t="s">
        <v>707</v>
      </c>
      <c r="F77">
        <v>42.728999999999999</v>
      </c>
      <c r="G77">
        <v>2012</v>
      </c>
      <c r="H77">
        <v>1</v>
      </c>
    </row>
    <row r="78" spans="1:52" hidden="1" x14ac:dyDescent="0.25">
      <c r="A78" t="s">
        <v>2</v>
      </c>
      <c r="B78" t="s">
        <v>53</v>
      </c>
      <c r="C78" t="s">
        <v>117</v>
      </c>
      <c r="D78">
        <v>47879</v>
      </c>
      <c r="E78" t="s">
        <v>707</v>
      </c>
      <c r="F78">
        <v>49.558999999999997</v>
      </c>
      <c r="G78">
        <v>2012</v>
      </c>
      <c r="H78">
        <v>1</v>
      </c>
    </row>
    <row r="79" spans="1:52" hidden="1" x14ac:dyDescent="0.25">
      <c r="A79" t="s">
        <v>2</v>
      </c>
      <c r="B79" t="s">
        <v>53</v>
      </c>
      <c r="C79" t="s">
        <v>118</v>
      </c>
      <c r="D79">
        <v>47875</v>
      </c>
      <c r="E79" t="s">
        <v>707</v>
      </c>
      <c r="F79">
        <v>91.465999999999994</v>
      </c>
      <c r="G79">
        <v>2013</v>
      </c>
      <c r="J79">
        <f>11475+10200+18823+37403</f>
        <v>77901</v>
      </c>
      <c r="AY79">
        <v>6002</v>
      </c>
    </row>
    <row r="80" spans="1:52" hidden="1" x14ac:dyDescent="0.25">
      <c r="A80" t="s">
        <v>2</v>
      </c>
      <c r="B80" t="s">
        <v>53</v>
      </c>
      <c r="C80" t="s">
        <v>119</v>
      </c>
      <c r="D80">
        <v>47876</v>
      </c>
      <c r="E80" t="s">
        <v>707</v>
      </c>
      <c r="F80">
        <v>51.904000000000003</v>
      </c>
      <c r="G80">
        <v>2013</v>
      </c>
      <c r="J80">
        <f>11475+10200+4646+17796</f>
        <v>44117</v>
      </c>
      <c r="AY80">
        <v>2787</v>
      </c>
    </row>
    <row r="81" spans="1:51" hidden="1" x14ac:dyDescent="0.25">
      <c r="A81" t="s">
        <v>2</v>
      </c>
      <c r="B81" t="s">
        <v>53</v>
      </c>
      <c r="C81" t="s">
        <v>120</v>
      </c>
      <c r="D81">
        <v>47877</v>
      </c>
      <c r="E81" t="s">
        <v>707</v>
      </c>
      <c r="F81">
        <v>48.930999999999997</v>
      </c>
      <c r="G81">
        <v>2013</v>
      </c>
      <c r="J81">
        <f>10871+12200+4646+15796</f>
        <v>43513</v>
      </c>
      <c r="AY81">
        <v>1419</v>
      </c>
    </row>
    <row r="82" spans="1:51" hidden="1" x14ac:dyDescent="0.25">
      <c r="A82" t="s">
        <v>2</v>
      </c>
      <c r="B82" t="s">
        <v>53</v>
      </c>
      <c r="C82" t="s">
        <v>116</v>
      </c>
      <c r="D82">
        <v>47878</v>
      </c>
      <c r="E82" t="s">
        <v>707</v>
      </c>
      <c r="F82">
        <v>83.448999999999998</v>
      </c>
      <c r="G82">
        <v>2013</v>
      </c>
      <c r="J82">
        <f>19567+51695</f>
        <v>71262</v>
      </c>
      <c r="AY82">
        <v>4500</v>
      </c>
    </row>
    <row r="83" spans="1:51" hidden="1" x14ac:dyDescent="0.25">
      <c r="A83" t="s">
        <v>2</v>
      </c>
      <c r="B83" t="s">
        <v>53</v>
      </c>
      <c r="C83" t="s">
        <v>117</v>
      </c>
      <c r="D83">
        <v>47879</v>
      </c>
      <c r="E83" t="s">
        <v>708</v>
      </c>
      <c r="F83">
        <v>110.929</v>
      </c>
      <c r="G83">
        <v>2013</v>
      </c>
      <c r="J83">
        <f>21395+70824</f>
        <v>92219</v>
      </c>
      <c r="AY83">
        <v>7461</v>
      </c>
    </row>
    <row r="84" spans="1:51" hidden="1" x14ac:dyDescent="0.25">
      <c r="A84" t="s">
        <v>2</v>
      </c>
      <c r="B84" t="s">
        <v>53</v>
      </c>
      <c r="C84" t="s">
        <v>118</v>
      </c>
      <c r="D84">
        <v>47875</v>
      </c>
      <c r="E84" t="s">
        <v>707</v>
      </c>
      <c r="F84">
        <v>112.886</v>
      </c>
      <c r="G84">
        <v>2014</v>
      </c>
      <c r="J84">
        <f>23400+72304</f>
        <v>95704</v>
      </c>
      <c r="AY84">
        <v>1143</v>
      </c>
    </row>
    <row r="85" spans="1:51" hidden="1" x14ac:dyDescent="0.25">
      <c r="A85" t="s">
        <v>2</v>
      </c>
      <c r="B85" t="s">
        <v>53</v>
      </c>
      <c r="C85" t="s">
        <v>119</v>
      </c>
      <c r="D85">
        <v>47876</v>
      </c>
      <c r="E85" t="s">
        <v>707</v>
      </c>
      <c r="F85">
        <v>67.575000000000003</v>
      </c>
      <c r="G85">
        <v>2014</v>
      </c>
      <c r="J85">
        <f>23400+43225</f>
        <v>66625</v>
      </c>
      <c r="AY85">
        <v>950</v>
      </c>
    </row>
    <row r="86" spans="1:51" hidden="1" x14ac:dyDescent="0.25">
      <c r="A86" t="s">
        <v>2</v>
      </c>
      <c r="B86" t="s">
        <v>53</v>
      </c>
      <c r="C86" t="s">
        <v>120</v>
      </c>
      <c r="D86">
        <v>47877</v>
      </c>
      <c r="E86" t="s">
        <v>707</v>
      </c>
      <c r="F86">
        <v>67.278000000000006</v>
      </c>
      <c r="G86">
        <v>2014</v>
      </c>
      <c r="J86">
        <f>23400+42424</f>
        <v>65824</v>
      </c>
      <c r="AY86">
        <v>1454</v>
      </c>
    </row>
    <row r="87" spans="1:51" hidden="1" x14ac:dyDescent="0.25">
      <c r="A87" t="s">
        <v>2</v>
      </c>
      <c r="B87" t="s">
        <v>53</v>
      </c>
      <c r="C87" t="s">
        <v>116</v>
      </c>
      <c r="D87">
        <v>47878</v>
      </c>
      <c r="E87" t="s">
        <v>707</v>
      </c>
      <c r="F87">
        <v>1187</v>
      </c>
      <c r="G87">
        <v>2014</v>
      </c>
      <c r="J87">
        <f>5125+45476</f>
        <v>50601</v>
      </c>
      <c r="AX87">
        <v>1131863</v>
      </c>
      <c r="AY87">
        <v>4536</v>
      </c>
    </row>
    <row r="88" spans="1:51" hidden="1" x14ac:dyDescent="0.25">
      <c r="A88" t="s">
        <v>2</v>
      </c>
      <c r="B88" t="s">
        <v>53</v>
      </c>
      <c r="C88" t="s">
        <v>117</v>
      </c>
      <c r="D88">
        <v>47879</v>
      </c>
      <c r="E88" t="s">
        <v>708</v>
      </c>
      <c r="F88">
        <v>211.04400000000001</v>
      </c>
      <c r="G88">
        <v>2014</v>
      </c>
      <c r="J88">
        <f>10400+191120</f>
        <v>201520</v>
      </c>
      <c r="AY88">
        <v>9524</v>
      </c>
    </row>
    <row r="89" spans="1:51" hidden="1" x14ac:dyDescent="0.25">
      <c r="A89" t="s">
        <v>2</v>
      </c>
      <c r="B89" t="s">
        <v>53</v>
      </c>
      <c r="C89" t="s">
        <v>121</v>
      </c>
      <c r="D89">
        <v>50158</v>
      </c>
      <c r="E89" t="s">
        <v>707</v>
      </c>
      <c r="F89">
        <v>18.686</v>
      </c>
      <c r="G89">
        <v>2014</v>
      </c>
      <c r="J89">
        <f>18686</f>
        <v>18686</v>
      </c>
    </row>
    <row r="90" spans="1:51" hidden="1" x14ac:dyDescent="0.25">
      <c r="A90" t="s">
        <v>2</v>
      </c>
      <c r="B90" t="s">
        <v>53</v>
      </c>
      <c r="C90" t="s">
        <v>122</v>
      </c>
      <c r="D90">
        <v>50159</v>
      </c>
      <c r="E90" t="s">
        <v>707</v>
      </c>
      <c r="F90">
        <v>51.622999999999998</v>
      </c>
      <c r="G90">
        <v>2014</v>
      </c>
      <c r="J90">
        <f>23400+27730</f>
        <v>51130</v>
      </c>
      <c r="AY90">
        <v>493</v>
      </c>
    </row>
    <row r="91" spans="1:51" hidden="1" x14ac:dyDescent="0.25">
      <c r="A91" t="s">
        <v>2</v>
      </c>
      <c r="B91" t="s">
        <v>53</v>
      </c>
      <c r="C91" t="s">
        <v>118</v>
      </c>
      <c r="D91">
        <v>47875</v>
      </c>
      <c r="E91" t="s">
        <v>707</v>
      </c>
      <c r="F91">
        <v>112.886</v>
      </c>
      <c r="G91">
        <v>2015</v>
      </c>
      <c r="J91">
        <f>26500+85122</f>
        <v>111622</v>
      </c>
      <c r="AY91">
        <v>1264</v>
      </c>
    </row>
    <row r="92" spans="1:51" hidden="1" x14ac:dyDescent="0.25">
      <c r="A92" t="s">
        <v>2</v>
      </c>
      <c r="B92" t="s">
        <v>53</v>
      </c>
      <c r="C92" t="s">
        <v>119</v>
      </c>
      <c r="D92">
        <v>47876</v>
      </c>
      <c r="E92" t="s">
        <v>707</v>
      </c>
      <c r="F92">
        <v>277.01600000000002</v>
      </c>
      <c r="G92">
        <v>2015</v>
      </c>
      <c r="J92">
        <f>26500+64602</f>
        <v>91102</v>
      </c>
      <c r="AA92">
        <v>184565</v>
      </c>
      <c r="AY92">
        <v>1349</v>
      </c>
    </row>
    <row r="93" spans="1:51" hidden="1" x14ac:dyDescent="0.25">
      <c r="A93" t="s">
        <v>2</v>
      </c>
      <c r="B93" t="s">
        <v>53</v>
      </c>
      <c r="C93" t="s">
        <v>120</v>
      </c>
      <c r="D93">
        <v>47877</v>
      </c>
      <c r="E93" t="s">
        <v>707</v>
      </c>
      <c r="F93">
        <v>88.85</v>
      </c>
      <c r="G93">
        <v>2015</v>
      </c>
      <c r="J93">
        <f>26500+58670</f>
        <v>85170</v>
      </c>
      <c r="AY93">
        <v>3680</v>
      </c>
    </row>
    <row r="94" spans="1:51" hidden="1" x14ac:dyDescent="0.25">
      <c r="A94" t="s">
        <v>2</v>
      </c>
      <c r="B94" t="s">
        <v>53</v>
      </c>
      <c r="C94" t="s">
        <v>117</v>
      </c>
      <c r="D94">
        <v>47879</v>
      </c>
      <c r="E94" t="s">
        <v>708</v>
      </c>
      <c r="F94">
        <v>261.87799999999999</v>
      </c>
      <c r="G94">
        <v>2015</v>
      </c>
      <c r="J94">
        <f>10600+235820</f>
        <v>246420</v>
      </c>
      <c r="AY94">
        <v>15458</v>
      </c>
    </row>
    <row r="95" spans="1:51" hidden="1" x14ac:dyDescent="0.25">
      <c r="A95" t="s">
        <v>2</v>
      </c>
      <c r="B95" t="s">
        <v>53</v>
      </c>
      <c r="C95" t="s">
        <v>121</v>
      </c>
      <c r="D95">
        <v>50158</v>
      </c>
      <c r="E95" t="s">
        <v>707</v>
      </c>
      <c r="F95">
        <v>82.638000000000005</v>
      </c>
      <c r="G95">
        <v>2015</v>
      </c>
      <c r="J95">
        <f>26500+51544</f>
        <v>78044</v>
      </c>
      <c r="AY95">
        <v>4594</v>
      </c>
    </row>
    <row r="96" spans="1:51" hidden="1" x14ac:dyDescent="0.25">
      <c r="A96" t="s">
        <v>2</v>
      </c>
      <c r="B96" t="s">
        <v>53</v>
      </c>
      <c r="C96" t="s">
        <v>122</v>
      </c>
      <c r="D96">
        <v>50159</v>
      </c>
      <c r="E96" t="s">
        <v>707</v>
      </c>
      <c r="F96">
        <v>64.144999999999996</v>
      </c>
      <c r="G96">
        <v>2015</v>
      </c>
      <c r="H96">
        <v>1</v>
      </c>
    </row>
    <row r="97" spans="1:51" hidden="1" x14ac:dyDescent="0.25">
      <c r="A97" t="s">
        <v>2</v>
      </c>
      <c r="B97" t="s">
        <v>53</v>
      </c>
      <c r="C97" t="s">
        <v>118</v>
      </c>
      <c r="D97">
        <v>47875</v>
      </c>
      <c r="E97" t="s">
        <v>707</v>
      </c>
      <c r="F97">
        <v>119.499</v>
      </c>
      <c r="G97">
        <v>2016</v>
      </c>
      <c r="J97">
        <f>25175+89667</f>
        <v>114842</v>
      </c>
      <c r="AY97">
        <v>4657</v>
      </c>
    </row>
    <row r="98" spans="1:51" hidden="1" x14ac:dyDescent="0.25">
      <c r="A98" t="s">
        <v>2</v>
      </c>
      <c r="B98" t="s">
        <v>53</v>
      </c>
      <c r="C98" t="s">
        <v>119</v>
      </c>
      <c r="D98">
        <v>47876</v>
      </c>
      <c r="E98" t="s">
        <v>707</v>
      </c>
      <c r="F98">
        <v>966.60400000000004</v>
      </c>
      <c r="G98">
        <v>2016</v>
      </c>
      <c r="J98">
        <f>25175+82435</f>
        <v>107610</v>
      </c>
      <c r="AA98">
        <v>856481</v>
      </c>
      <c r="AY98">
        <v>2513</v>
      </c>
    </row>
    <row r="99" spans="1:51" hidden="1" x14ac:dyDescent="0.25">
      <c r="A99" t="s">
        <v>2</v>
      </c>
      <c r="B99" t="s">
        <v>53</v>
      </c>
      <c r="C99" t="s">
        <v>120</v>
      </c>
      <c r="D99">
        <v>47877</v>
      </c>
      <c r="E99" t="s">
        <v>707</v>
      </c>
      <c r="F99">
        <v>93.299000000000007</v>
      </c>
      <c r="G99">
        <v>2016</v>
      </c>
      <c r="J99">
        <f>25175+63873</f>
        <v>89048</v>
      </c>
      <c r="AY99">
        <v>4251</v>
      </c>
    </row>
    <row r="100" spans="1:51" hidden="1" x14ac:dyDescent="0.25">
      <c r="A100" t="s">
        <v>2</v>
      </c>
      <c r="B100" t="s">
        <v>53</v>
      </c>
      <c r="C100" t="s">
        <v>117</v>
      </c>
      <c r="D100">
        <v>47879</v>
      </c>
      <c r="E100" t="s">
        <v>708</v>
      </c>
      <c r="F100">
        <v>296.67500000000001</v>
      </c>
      <c r="G100">
        <v>2016</v>
      </c>
      <c r="J100">
        <f>10600+256317</f>
        <v>266917</v>
      </c>
      <c r="AY100">
        <v>29758</v>
      </c>
    </row>
    <row r="101" spans="1:51" hidden="1" x14ac:dyDescent="0.25">
      <c r="A101" t="s">
        <v>2</v>
      </c>
      <c r="B101" t="s">
        <v>53</v>
      </c>
      <c r="C101" t="s">
        <v>121</v>
      </c>
      <c r="D101">
        <v>50158</v>
      </c>
      <c r="E101" t="s">
        <v>707</v>
      </c>
      <c r="F101">
        <v>103.072</v>
      </c>
      <c r="G101">
        <v>2016</v>
      </c>
      <c r="J101">
        <f>25175+74024</f>
        <v>99199</v>
      </c>
      <c r="AY101">
        <v>3873</v>
      </c>
    </row>
    <row r="102" spans="1:51" hidden="1" x14ac:dyDescent="0.25">
      <c r="A102" t="s">
        <v>2</v>
      </c>
      <c r="B102" t="s">
        <v>53</v>
      </c>
      <c r="C102" t="s">
        <v>122</v>
      </c>
      <c r="D102">
        <v>50159</v>
      </c>
      <c r="E102" t="s">
        <v>707</v>
      </c>
      <c r="F102">
        <v>73.525999999999996</v>
      </c>
      <c r="G102">
        <v>2016</v>
      </c>
      <c r="J102">
        <f>25175+47289</f>
        <v>72464</v>
      </c>
      <c r="AY102">
        <v>1062</v>
      </c>
    </row>
    <row r="103" spans="1:51" hidden="1" x14ac:dyDescent="0.25">
      <c r="A103" t="s">
        <v>2</v>
      </c>
      <c r="B103" t="s">
        <v>53</v>
      </c>
      <c r="C103" t="s">
        <v>118</v>
      </c>
      <c r="D103">
        <v>47875</v>
      </c>
      <c r="E103" t="s">
        <v>707</v>
      </c>
      <c r="F103">
        <v>112.245</v>
      </c>
      <c r="G103">
        <v>2017</v>
      </c>
      <c r="J103">
        <f>24300+85813</f>
        <v>110113</v>
      </c>
      <c r="AY103">
        <v>2132</v>
      </c>
    </row>
    <row r="104" spans="1:51" hidden="1" x14ac:dyDescent="0.25">
      <c r="A104" t="s">
        <v>2</v>
      </c>
      <c r="B104" t="s">
        <v>53</v>
      </c>
      <c r="C104" t="s">
        <v>119</v>
      </c>
      <c r="D104">
        <v>47876</v>
      </c>
      <c r="E104" t="s">
        <v>707</v>
      </c>
      <c r="F104">
        <v>1485.268</v>
      </c>
      <c r="G104">
        <v>2017</v>
      </c>
      <c r="J104">
        <f>24300+86033</f>
        <v>110333</v>
      </c>
      <c r="AA104">
        <v>1371864</v>
      </c>
      <c r="AY104">
        <v>3071</v>
      </c>
    </row>
    <row r="105" spans="1:51" hidden="1" x14ac:dyDescent="0.25">
      <c r="A105" t="s">
        <v>2</v>
      </c>
      <c r="B105" t="s">
        <v>53</v>
      </c>
      <c r="C105" t="s">
        <v>120</v>
      </c>
      <c r="D105">
        <v>47877</v>
      </c>
      <c r="E105" t="s">
        <v>707</v>
      </c>
      <c r="F105">
        <v>99.894999999999996</v>
      </c>
      <c r="G105">
        <v>2017</v>
      </c>
      <c r="J105">
        <f>24300+70749</f>
        <v>95049</v>
      </c>
      <c r="AY105">
        <v>4846</v>
      </c>
    </row>
    <row r="106" spans="1:51" hidden="1" x14ac:dyDescent="0.25">
      <c r="A106" t="s">
        <v>2</v>
      </c>
      <c r="B106" t="s">
        <v>53</v>
      </c>
      <c r="C106" t="s">
        <v>117</v>
      </c>
      <c r="D106">
        <v>47879</v>
      </c>
      <c r="E106" t="s">
        <v>708</v>
      </c>
      <c r="F106">
        <v>288.85899999999998</v>
      </c>
      <c r="G106">
        <v>2017</v>
      </c>
      <c r="J106">
        <f>10800+248331</f>
        <v>259131</v>
      </c>
      <c r="AY106">
        <v>29728</v>
      </c>
    </row>
    <row r="107" spans="1:51" hidden="1" x14ac:dyDescent="0.25">
      <c r="A107" t="s">
        <v>2</v>
      </c>
      <c r="B107" t="s">
        <v>53</v>
      </c>
      <c r="C107" t="s">
        <v>122</v>
      </c>
      <c r="D107">
        <v>50159</v>
      </c>
      <c r="E107" t="s">
        <v>707</v>
      </c>
      <c r="F107">
        <v>101.38800000000001</v>
      </c>
      <c r="G107">
        <v>2017</v>
      </c>
      <c r="J107">
        <f>23400+76737</f>
        <v>100137</v>
      </c>
      <c r="AY107">
        <v>1251</v>
      </c>
    </row>
    <row r="108" spans="1:51" hidden="1" x14ac:dyDescent="0.25">
      <c r="A108" t="s">
        <v>2</v>
      </c>
      <c r="B108" t="s">
        <v>53</v>
      </c>
      <c r="C108" t="s">
        <v>118</v>
      </c>
      <c r="D108">
        <v>47875</v>
      </c>
      <c r="E108" t="s">
        <v>707</v>
      </c>
      <c r="F108">
        <v>129.608</v>
      </c>
      <c r="G108">
        <v>2018</v>
      </c>
      <c r="J108">
        <f>27500+99916</f>
        <v>127416</v>
      </c>
      <c r="AY108">
        <v>2192</v>
      </c>
    </row>
    <row r="109" spans="1:51" hidden="1" x14ac:dyDescent="0.25">
      <c r="A109" t="s">
        <v>2</v>
      </c>
      <c r="B109" t="s">
        <v>53</v>
      </c>
      <c r="C109" t="s">
        <v>119</v>
      </c>
      <c r="D109">
        <v>47876</v>
      </c>
      <c r="E109" t="s">
        <v>707</v>
      </c>
      <c r="F109">
        <v>1721.89</v>
      </c>
      <c r="G109">
        <v>2018</v>
      </c>
      <c r="J109">
        <f>27500+100678</f>
        <v>128178</v>
      </c>
      <c r="AA109">
        <v>1590314</v>
      </c>
      <c r="AY109">
        <v>3398</v>
      </c>
    </row>
    <row r="110" spans="1:51" hidden="1" x14ac:dyDescent="0.25">
      <c r="A110" t="s">
        <v>2</v>
      </c>
      <c r="B110" t="s">
        <v>53</v>
      </c>
      <c r="C110" t="s">
        <v>120</v>
      </c>
      <c r="D110">
        <v>47877</v>
      </c>
      <c r="E110" t="s">
        <v>707</v>
      </c>
      <c r="F110">
        <v>121.425</v>
      </c>
      <c r="G110">
        <v>2018</v>
      </c>
      <c r="J110">
        <f>27500+88500</f>
        <v>116000</v>
      </c>
      <c r="AY110">
        <v>5425</v>
      </c>
    </row>
    <row r="111" spans="1:51" hidden="1" x14ac:dyDescent="0.25">
      <c r="A111" t="s">
        <v>2</v>
      </c>
      <c r="B111" t="s">
        <v>53</v>
      </c>
      <c r="C111" t="s">
        <v>117</v>
      </c>
      <c r="D111">
        <v>47879</v>
      </c>
      <c r="E111" t="s">
        <v>708</v>
      </c>
      <c r="F111">
        <v>321.96800000000002</v>
      </c>
      <c r="G111">
        <v>2018</v>
      </c>
      <c r="J111">
        <f>11000+281250</f>
        <v>292250</v>
      </c>
      <c r="AY111">
        <v>29718</v>
      </c>
    </row>
    <row r="112" spans="1:51" hidden="1" x14ac:dyDescent="0.25">
      <c r="A112" t="s">
        <v>2</v>
      </c>
      <c r="B112" t="s">
        <v>53</v>
      </c>
      <c r="C112" t="s">
        <v>122</v>
      </c>
      <c r="D112">
        <v>50159</v>
      </c>
      <c r="E112" t="s">
        <v>707</v>
      </c>
      <c r="F112">
        <v>117.651</v>
      </c>
      <c r="G112">
        <v>2018</v>
      </c>
      <c r="J112">
        <f>25541+90078</f>
        <v>115619</v>
      </c>
      <c r="AY112">
        <v>2032</v>
      </c>
    </row>
    <row r="113" spans="1:52" s="4" customFormat="1" hidden="1" x14ac:dyDescent="0.25">
      <c r="A113" s="4" t="s">
        <v>3</v>
      </c>
      <c r="B113" s="4" t="s">
        <v>54</v>
      </c>
      <c r="C113" s="4" t="s">
        <v>123</v>
      </c>
      <c r="D113" s="4">
        <v>53194</v>
      </c>
      <c r="E113" s="4" t="s">
        <v>708</v>
      </c>
      <c r="F113" s="4">
        <v>15.077999999999999</v>
      </c>
      <c r="G113" s="4">
        <v>2007</v>
      </c>
      <c r="J113" s="4" t="s">
        <v>749</v>
      </c>
      <c r="Q113" s="4" t="s">
        <v>749</v>
      </c>
      <c r="Z113" s="4" t="s">
        <v>749</v>
      </c>
      <c r="AZ113" s="7"/>
    </row>
    <row r="114" spans="1:52" hidden="1" x14ac:dyDescent="0.25">
      <c r="A114" t="s">
        <v>3</v>
      </c>
      <c r="B114" t="s">
        <v>54</v>
      </c>
      <c r="C114" t="s">
        <v>124</v>
      </c>
      <c r="D114">
        <v>53198</v>
      </c>
      <c r="E114" t="s">
        <v>707</v>
      </c>
      <c r="F114">
        <v>13.817</v>
      </c>
      <c r="G114">
        <v>2007</v>
      </c>
      <c r="J114" t="s">
        <v>749</v>
      </c>
      <c r="Q114" t="s">
        <v>749</v>
      </c>
      <c r="Z114" t="s">
        <v>749</v>
      </c>
    </row>
    <row r="115" spans="1:52" hidden="1" x14ac:dyDescent="0.25">
      <c r="A115" t="s">
        <v>3</v>
      </c>
      <c r="B115" t="s">
        <v>54</v>
      </c>
      <c r="C115" t="s">
        <v>125</v>
      </c>
      <c r="D115">
        <v>53200</v>
      </c>
      <c r="E115" t="s">
        <v>707</v>
      </c>
      <c r="F115">
        <v>10.521000000000001</v>
      </c>
      <c r="G115">
        <v>2007</v>
      </c>
      <c r="J115" t="s">
        <v>749</v>
      </c>
      <c r="Q115" t="s">
        <v>749</v>
      </c>
      <c r="Z115" t="s">
        <v>749</v>
      </c>
    </row>
    <row r="116" spans="1:52" hidden="1" x14ac:dyDescent="0.25">
      <c r="A116" t="s">
        <v>3</v>
      </c>
      <c r="B116" t="s">
        <v>54</v>
      </c>
      <c r="C116" t="s">
        <v>126</v>
      </c>
      <c r="D116">
        <v>53202</v>
      </c>
      <c r="E116" t="s">
        <v>707</v>
      </c>
      <c r="F116">
        <v>13.811999999999999</v>
      </c>
      <c r="G116">
        <v>2007</v>
      </c>
      <c r="J116" t="s">
        <v>749</v>
      </c>
      <c r="Q116" t="s">
        <v>749</v>
      </c>
      <c r="Z116" t="s">
        <v>749</v>
      </c>
    </row>
    <row r="117" spans="1:52" hidden="1" x14ac:dyDescent="0.25">
      <c r="A117" t="s">
        <v>3</v>
      </c>
      <c r="B117" t="s">
        <v>54</v>
      </c>
      <c r="C117" t="s">
        <v>123</v>
      </c>
      <c r="D117">
        <v>53194</v>
      </c>
      <c r="E117" t="s">
        <v>708</v>
      </c>
      <c r="F117">
        <v>29.260999999999999</v>
      </c>
      <c r="G117">
        <v>2008</v>
      </c>
      <c r="J117" t="s">
        <v>749</v>
      </c>
      <c r="Q117" t="s">
        <v>749</v>
      </c>
      <c r="Z117" t="s">
        <v>749</v>
      </c>
    </row>
    <row r="118" spans="1:52" hidden="1" x14ac:dyDescent="0.25">
      <c r="A118" t="s">
        <v>3</v>
      </c>
      <c r="B118" t="s">
        <v>54</v>
      </c>
      <c r="C118" t="s">
        <v>124</v>
      </c>
      <c r="D118">
        <v>53198</v>
      </c>
      <c r="E118" t="s">
        <v>707</v>
      </c>
      <c r="F118">
        <v>15.215</v>
      </c>
      <c r="G118">
        <v>2008</v>
      </c>
      <c r="J118" t="s">
        <v>749</v>
      </c>
      <c r="Q118" t="s">
        <v>749</v>
      </c>
      <c r="Z118" t="s">
        <v>749</v>
      </c>
    </row>
    <row r="119" spans="1:52" hidden="1" x14ac:dyDescent="0.25">
      <c r="A119" t="s">
        <v>3</v>
      </c>
      <c r="B119" t="s">
        <v>54</v>
      </c>
      <c r="C119" t="s">
        <v>127</v>
      </c>
      <c r="D119">
        <v>53199</v>
      </c>
      <c r="E119" t="s">
        <v>707</v>
      </c>
      <c r="F119">
        <v>23.629000000000001</v>
      </c>
      <c r="G119">
        <v>2008</v>
      </c>
      <c r="J119" t="s">
        <v>749</v>
      </c>
      <c r="K119" t="s">
        <v>749</v>
      </c>
      <c r="Q119" t="s">
        <v>749</v>
      </c>
      <c r="Z119" t="s">
        <v>749</v>
      </c>
    </row>
    <row r="120" spans="1:52" hidden="1" x14ac:dyDescent="0.25">
      <c r="A120" t="s">
        <v>3</v>
      </c>
      <c r="B120" t="s">
        <v>54</v>
      </c>
      <c r="C120" t="s">
        <v>125</v>
      </c>
      <c r="D120">
        <v>53200</v>
      </c>
      <c r="E120" t="s">
        <v>707</v>
      </c>
      <c r="F120">
        <v>11.959</v>
      </c>
      <c r="G120">
        <v>2008</v>
      </c>
      <c r="J120" t="s">
        <v>749</v>
      </c>
      <c r="Q120" t="s">
        <v>749</v>
      </c>
      <c r="Z120" t="s">
        <v>749</v>
      </c>
    </row>
    <row r="121" spans="1:52" hidden="1" x14ac:dyDescent="0.25">
      <c r="A121" t="s">
        <v>3</v>
      </c>
      <c r="B121" t="s">
        <v>54</v>
      </c>
      <c r="C121" t="s">
        <v>126</v>
      </c>
      <c r="D121">
        <v>53202</v>
      </c>
      <c r="E121" t="s">
        <v>707</v>
      </c>
      <c r="F121">
        <v>8.4030000000000005</v>
      </c>
      <c r="G121">
        <v>2008</v>
      </c>
      <c r="J121" t="s">
        <v>749</v>
      </c>
      <c r="Q121" t="s">
        <v>749</v>
      </c>
      <c r="Z121" t="s">
        <v>749</v>
      </c>
    </row>
    <row r="122" spans="1:52" hidden="1" x14ac:dyDescent="0.25">
      <c r="A122" t="s">
        <v>3</v>
      </c>
      <c r="B122" t="s">
        <v>54</v>
      </c>
      <c r="C122" t="s">
        <v>123</v>
      </c>
      <c r="D122">
        <v>53194</v>
      </c>
      <c r="E122" t="s">
        <v>708</v>
      </c>
      <c r="F122">
        <v>720.00400000000002</v>
      </c>
      <c r="G122">
        <v>2009</v>
      </c>
      <c r="J122" t="s">
        <v>749</v>
      </c>
      <c r="Q122" t="s">
        <v>749</v>
      </c>
      <c r="Z122" t="s">
        <v>749</v>
      </c>
      <c r="AX122">
        <v>701399</v>
      </c>
    </row>
    <row r="123" spans="1:52" hidden="1" x14ac:dyDescent="0.25">
      <c r="A123" t="s">
        <v>3</v>
      </c>
      <c r="B123" t="s">
        <v>54</v>
      </c>
      <c r="C123" t="s">
        <v>124</v>
      </c>
      <c r="D123">
        <v>53198</v>
      </c>
      <c r="E123" t="s">
        <v>707</v>
      </c>
      <c r="F123">
        <v>15.484</v>
      </c>
      <c r="G123">
        <v>2009</v>
      </c>
      <c r="J123" t="s">
        <v>749</v>
      </c>
      <c r="Q123" t="s">
        <v>749</v>
      </c>
      <c r="Z123" t="s">
        <v>749</v>
      </c>
    </row>
    <row r="124" spans="1:52" hidden="1" x14ac:dyDescent="0.25">
      <c r="A124" t="s">
        <v>3</v>
      </c>
      <c r="B124" t="s">
        <v>54</v>
      </c>
      <c r="C124" t="s">
        <v>127</v>
      </c>
      <c r="D124">
        <v>53199</v>
      </c>
      <c r="E124" t="s">
        <v>707</v>
      </c>
      <c r="F124">
        <v>68.903999999999996</v>
      </c>
      <c r="G124">
        <v>2009</v>
      </c>
      <c r="J124" t="s">
        <v>749</v>
      </c>
      <c r="K124" t="s">
        <v>749</v>
      </c>
      <c r="Q124" t="s">
        <v>749</v>
      </c>
      <c r="Z124" t="s">
        <v>749</v>
      </c>
      <c r="AD124">
        <v>33201</v>
      </c>
    </row>
    <row r="125" spans="1:52" hidden="1" x14ac:dyDescent="0.25">
      <c r="A125" t="s">
        <v>3</v>
      </c>
      <c r="B125" t="s">
        <v>54</v>
      </c>
      <c r="C125" t="s">
        <v>125</v>
      </c>
      <c r="D125">
        <v>53200</v>
      </c>
      <c r="E125" t="s">
        <v>707</v>
      </c>
      <c r="F125">
        <v>210.70599999999999</v>
      </c>
      <c r="G125">
        <v>2009</v>
      </c>
      <c r="J125" t="s">
        <v>749</v>
      </c>
      <c r="Q125" t="s">
        <v>749</v>
      </c>
      <c r="Z125" t="s">
        <v>749</v>
      </c>
      <c r="AX125">
        <v>198302</v>
      </c>
    </row>
    <row r="126" spans="1:52" hidden="1" x14ac:dyDescent="0.25">
      <c r="A126" t="s">
        <v>3</v>
      </c>
      <c r="B126" t="s">
        <v>54</v>
      </c>
      <c r="C126" t="s">
        <v>123</v>
      </c>
      <c r="D126">
        <v>53194</v>
      </c>
      <c r="E126" t="s">
        <v>707</v>
      </c>
      <c r="F126">
        <v>6.21</v>
      </c>
      <c r="G126">
        <v>2010</v>
      </c>
      <c r="J126" t="s">
        <v>749</v>
      </c>
      <c r="Q126" t="s">
        <v>749</v>
      </c>
    </row>
    <row r="127" spans="1:52" hidden="1" x14ac:dyDescent="0.25">
      <c r="A127" t="s">
        <v>3</v>
      </c>
      <c r="B127" t="s">
        <v>54</v>
      </c>
      <c r="C127" t="s">
        <v>124</v>
      </c>
      <c r="D127">
        <v>53198</v>
      </c>
      <c r="E127" t="s">
        <v>707</v>
      </c>
      <c r="F127">
        <v>509.34699999999998</v>
      </c>
      <c r="G127">
        <v>2010</v>
      </c>
      <c r="J127" t="s">
        <v>749</v>
      </c>
      <c r="Q127" t="s">
        <v>749</v>
      </c>
      <c r="AX127">
        <v>497614</v>
      </c>
    </row>
    <row r="128" spans="1:52" hidden="1" x14ac:dyDescent="0.25">
      <c r="A128" t="s">
        <v>3</v>
      </c>
      <c r="B128" t="s">
        <v>54</v>
      </c>
      <c r="C128" t="s">
        <v>127</v>
      </c>
      <c r="D128">
        <v>53199</v>
      </c>
      <c r="E128" t="s">
        <v>708</v>
      </c>
      <c r="F128">
        <v>53.529000000000003</v>
      </c>
      <c r="G128">
        <v>2010</v>
      </c>
      <c r="J128" t="s">
        <v>749</v>
      </c>
      <c r="K128" t="s">
        <v>749</v>
      </c>
      <c r="Q128" t="s">
        <v>749</v>
      </c>
    </row>
    <row r="129" spans="1:30" hidden="1" x14ac:dyDescent="0.25">
      <c r="A129" t="s">
        <v>3</v>
      </c>
      <c r="B129" t="s">
        <v>54</v>
      </c>
      <c r="C129" t="s">
        <v>128</v>
      </c>
      <c r="D129">
        <v>53201</v>
      </c>
      <c r="E129" t="s">
        <v>707</v>
      </c>
      <c r="F129">
        <v>43.417999999999999</v>
      </c>
      <c r="G129">
        <v>2010</v>
      </c>
      <c r="J129" t="s">
        <v>749</v>
      </c>
      <c r="Q129" t="s">
        <v>749</v>
      </c>
      <c r="AD129">
        <v>35843</v>
      </c>
    </row>
    <row r="130" spans="1:30" hidden="1" x14ac:dyDescent="0.25">
      <c r="A130" t="s">
        <v>3</v>
      </c>
      <c r="B130" t="s">
        <v>54</v>
      </c>
      <c r="C130" t="s">
        <v>127</v>
      </c>
      <c r="D130">
        <v>53199</v>
      </c>
      <c r="E130" t="s">
        <v>708</v>
      </c>
      <c r="F130">
        <v>59</v>
      </c>
      <c r="G130">
        <v>2011</v>
      </c>
      <c r="J130" t="s">
        <v>749</v>
      </c>
      <c r="Q130" t="s">
        <v>749</v>
      </c>
    </row>
    <row r="131" spans="1:30" hidden="1" x14ac:dyDescent="0.25">
      <c r="A131" t="s">
        <v>3</v>
      </c>
      <c r="B131" t="s">
        <v>54</v>
      </c>
      <c r="C131" t="s">
        <v>128</v>
      </c>
      <c r="D131">
        <v>53201</v>
      </c>
      <c r="E131" t="s">
        <v>707</v>
      </c>
      <c r="F131">
        <v>11.486000000000001</v>
      </c>
      <c r="G131">
        <v>2011</v>
      </c>
      <c r="J131" t="s">
        <v>749</v>
      </c>
      <c r="K131" t="s">
        <v>749</v>
      </c>
      <c r="Q131" t="s">
        <v>749</v>
      </c>
      <c r="AD131">
        <v>35843</v>
      </c>
    </row>
    <row r="132" spans="1:30" hidden="1" x14ac:dyDescent="0.25">
      <c r="A132" t="s">
        <v>3</v>
      </c>
      <c r="B132" t="s">
        <v>54</v>
      </c>
      <c r="C132" t="s">
        <v>127</v>
      </c>
      <c r="D132">
        <v>53199</v>
      </c>
      <c r="E132" t="s">
        <v>708</v>
      </c>
      <c r="F132">
        <v>21.5</v>
      </c>
      <c r="G132">
        <v>2012</v>
      </c>
      <c r="J132" t="s">
        <v>749</v>
      </c>
      <c r="Q132" t="s">
        <v>749</v>
      </c>
    </row>
    <row r="133" spans="1:30" hidden="1" x14ac:dyDescent="0.25">
      <c r="A133" t="s">
        <v>3</v>
      </c>
      <c r="B133" t="s">
        <v>54</v>
      </c>
      <c r="C133" t="s">
        <v>128</v>
      </c>
      <c r="D133">
        <v>53201</v>
      </c>
      <c r="E133" t="s">
        <v>707</v>
      </c>
      <c r="F133">
        <v>14.444000000000001</v>
      </c>
      <c r="G133">
        <v>2012</v>
      </c>
      <c r="J133" t="s">
        <v>749</v>
      </c>
      <c r="K133" t="s">
        <v>749</v>
      </c>
      <c r="Q133" t="s">
        <v>749</v>
      </c>
    </row>
    <row r="134" spans="1:30" hidden="1" x14ac:dyDescent="0.25">
      <c r="A134" t="s">
        <v>3</v>
      </c>
      <c r="B134" t="s">
        <v>54</v>
      </c>
      <c r="C134" t="s">
        <v>127</v>
      </c>
      <c r="D134">
        <v>53199</v>
      </c>
      <c r="E134" t="s">
        <v>708</v>
      </c>
      <c r="F134">
        <v>9</v>
      </c>
      <c r="G134">
        <v>2013</v>
      </c>
      <c r="Q134">
        <v>9000</v>
      </c>
    </row>
    <row r="135" spans="1:30" hidden="1" x14ac:dyDescent="0.25">
      <c r="A135" t="s">
        <v>3</v>
      </c>
      <c r="B135" t="s">
        <v>54</v>
      </c>
      <c r="C135" t="s">
        <v>128</v>
      </c>
      <c r="D135">
        <v>53201</v>
      </c>
      <c r="E135" t="s">
        <v>707</v>
      </c>
      <c r="F135">
        <v>12.75</v>
      </c>
      <c r="G135">
        <v>2013</v>
      </c>
      <c r="J135" t="s">
        <v>749</v>
      </c>
      <c r="Q135" t="s">
        <v>749</v>
      </c>
    </row>
    <row r="136" spans="1:30" hidden="1" x14ac:dyDescent="0.25">
      <c r="A136" t="s">
        <v>3</v>
      </c>
      <c r="B136" t="s">
        <v>54</v>
      </c>
      <c r="C136" t="s">
        <v>129</v>
      </c>
      <c r="D136">
        <v>53195</v>
      </c>
      <c r="E136" t="s">
        <v>707</v>
      </c>
      <c r="F136">
        <v>11.195</v>
      </c>
      <c r="G136">
        <v>2014</v>
      </c>
      <c r="J136" t="s">
        <v>749</v>
      </c>
      <c r="Q136" t="s">
        <v>749</v>
      </c>
    </row>
    <row r="137" spans="1:30" hidden="1" x14ac:dyDescent="0.25">
      <c r="A137" t="s">
        <v>3</v>
      </c>
      <c r="B137" t="s">
        <v>54</v>
      </c>
      <c r="C137" t="s">
        <v>130</v>
      </c>
      <c r="D137">
        <v>53196</v>
      </c>
      <c r="E137" t="s">
        <v>707</v>
      </c>
      <c r="F137">
        <v>15.558</v>
      </c>
      <c r="G137">
        <v>2014</v>
      </c>
      <c r="J137" t="s">
        <v>749</v>
      </c>
      <c r="Q137" t="s">
        <v>749</v>
      </c>
    </row>
    <row r="138" spans="1:30" hidden="1" x14ac:dyDescent="0.25">
      <c r="A138" t="s">
        <v>3</v>
      </c>
      <c r="B138" t="s">
        <v>54</v>
      </c>
      <c r="C138" t="s">
        <v>131</v>
      </c>
      <c r="D138">
        <v>53197</v>
      </c>
      <c r="E138" t="s">
        <v>707</v>
      </c>
      <c r="F138">
        <v>2.9769999999999999</v>
      </c>
      <c r="G138">
        <v>2014</v>
      </c>
      <c r="J138" t="s">
        <v>749</v>
      </c>
      <c r="Q138" t="s">
        <v>749</v>
      </c>
    </row>
    <row r="139" spans="1:30" hidden="1" x14ac:dyDescent="0.25">
      <c r="A139" t="s">
        <v>3</v>
      </c>
      <c r="B139" t="s">
        <v>54</v>
      </c>
      <c r="C139" t="s">
        <v>127</v>
      </c>
      <c r="D139">
        <v>53199</v>
      </c>
      <c r="E139" t="s">
        <v>708</v>
      </c>
      <c r="F139">
        <v>9</v>
      </c>
      <c r="G139">
        <v>2014</v>
      </c>
      <c r="J139" t="s">
        <v>749</v>
      </c>
      <c r="Q139">
        <v>9000</v>
      </c>
    </row>
    <row r="140" spans="1:30" hidden="1" x14ac:dyDescent="0.25">
      <c r="A140" t="s">
        <v>3</v>
      </c>
      <c r="B140" t="s">
        <v>54</v>
      </c>
      <c r="C140" t="s">
        <v>128</v>
      </c>
      <c r="D140">
        <v>53201</v>
      </c>
      <c r="E140" t="s">
        <v>707</v>
      </c>
      <c r="F140">
        <v>15.087</v>
      </c>
      <c r="G140">
        <v>2014</v>
      </c>
      <c r="J140" t="s">
        <v>749</v>
      </c>
      <c r="Q140" t="s">
        <v>749</v>
      </c>
    </row>
    <row r="141" spans="1:30" hidden="1" x14ac:dyDescent="0.25">
      <c r="A141" t="s">
        <v>3</v>
      </c>
      <c r="B141" t="s">
        <v>54</v>
      </c>
      <c r="C141" t="s">
        <v>129</v>
      </c>
      <c r="D141">
        <v>53195</v>
      </c>
      <c r="E141" t="s">
        <v>707</v>
      </c>
      <c r="F141">
        <v>14.141</v>
      </c>
      <c r="G141">
        <v>2015</v>
      </c>
      <c r="J141" t="s">
        <v>749</v>
      </c>
      <c r="Q141" t="s">
        <v>749</v>
      </c>
    </row>
    <row r="142" spans="1:30" hidden="1" x14ac:dyDescent="0.25">
      <c r="A142" t="s">
        <v>3</v>
      </c>
      <c r="B142" t="s">
        <v>54</v>
      </c>
      <c r="C142" t="s">
        <v>130</v>
      </c>
      <c r="D142">
        <v>53196</v>
      </c>
      <c r="E142" t="s">
        <v>707</v>
      </c>
      <c r="F142">
        <v>14.212999999999999</v>
      </c>
      <c r="G142">
        <v>2015</v>
      </c>
      <c r="J142" t="s">
        <v>749</v>
      </c>
      <c r="Q142" t="s">
        <v>749</v>
      </c>
    </row>
    <row r="143" spans="1:30" hidden="1" x14ac:dyDescent="0.25">
      <c r="A143" t="s">
        <v>3</v>
      </c>
      <c r="B143" t="s">
        <v>54</v>
      </c>
      <c r="C143" t="s">
        <v>131</v>
      </c>
      <c r="D143">
        <v>53197</v>
      </c>
      <c r="E143" t="s">
        <v>707</v>
      </c>
      <c r="F143">
        <v>14.042999999999999</v>
      </c>
      <c r="G143">
        <v>2015</v>
      </c>
      <c r="J143" t="s">
        <v>749</v>
      </c>
      <c r="Q143" t="s">
        <v>749</v>
      </c>
    </row>
    <row r="144" spans="1:30" hidden="1" x14ac:dyDescent="0.25">
      <c r="A144" t="s">
        <v>3</v>
      </c>
      <c r="B144" t="s">
        <v>54</v>
      </c>
      <c r="C144" t="s">
        <v>127</v>
      </c>
      <c r="D144">
        <v>53199</v>
      </c>
      <c r="E144" t="s">
        <v>708</v>
      </c>
      <c r="F144">
        <v>6.944</v>
      </c>
      <c r="G144">
        <v>2015</v>
      </c>
      <c r="J144" t="s">
        <v>749</v>
      </c>
      <c r="Q144">
        <v>6944</v>
      </c>
    </row>
    <row r="145" spans="1:52" hidden="1" x14ac:dyDescent="0.25">
      <c r="A145" t="s">
        <v>3</v>
      </c>
      <c r="B145" t="s">
        <v>54</v>
      </c>
      <c r="C145" t="s">
        <v>128</v>
      </c>
      <c r="D145">
        <v>53201</v>
      </c>
      <c r="E145" t="s">
        <v>707</v>
      </c>
      <c r="F145">
        <v>14.430999999999999</v>
      </c>
      <c r="G145">
        <v>2015</v>
      </c>
      <c r="J145" t="s">
        <v>749</v>
      </c>
      <c r="Q145" t="s">
        <v>749</v>
      </c>
    </row>
    <row r="146" spans="1:52" hidden="1" x14ac:dyDescent="0.25">
      <c r="A146" t="s">
        <v>3</v>
      </c>
      <c r="B146" t="s">
        <v>54</v>
      </c>
      <c r="C146" t="s">
        <v>132</v>
      </c>
      <c r="D146">
        <v>53614</v>
      </c>
      <c r="E146" t="s">
        <v>707</v>
      </c>
      <c r="F146">
        <v>15.617000000000001</v>
      </c>
      <c r="G146">
        <v>2015</v>
      </c>
      <c r="J146" t="s">
        <v>749</v>
      </c>
      <c r="Q146" t="s">
        <v>749</v>
      </c>
    </row>
    <row r="147" spans="1:52" hidden="1" x14ac:dyDescent="0.25">
      <c r="A147" t="s">
        <v>3</v>
      </c>
      <c r="B147" t="s">
        <v>54</v>
      </c>
      <c r="C147" t="s">
        <v>129</v>
      </c>
      <c r="D147">
        <v>53195</v>
      </c>
      <c r="E147" t="s">
        <v>708</v>
      </c>
      <c r="F147">
        <v>18.126000000000001</v>
      </c>
      <c r="G147">
        <v>2016</v>
      </c>
      <c r="J147" t="s">
        <v>749</v>
      </c>
      <c r="Q147" t="s">
        <v>749</v>
      </c>
      <c r="AI147" t="s">
        <v>749</v>
      </c>
      <c r="AJ147" t="s">
        <v>749</v>
      </c>
    </row>
    <row r="148" spans="1:52" hidden="1" x14ac:dyDescent="0.25">
      <c r="A148" t="s">
        <v>3</v>
      </c>
      <c r="B148" t="s">
        <v>54</v>
      </c>
      <c r="C148" t="s">
        <v>130</v>
      </c>
      <c r="D148">
        <v>53196</v>
      </c>
      <c r="E148" t="s">
        <v>707</v>
      </c>
      <c r="F148">
        <v>9.577</v>
      </c>
      <c r="G148">
        <v>2016</v>
      </c>
      <c r="J148" t="s">
        <v>749</v>
      </c>
      <c r="Q148" t="s">
        <v>749</v>
      </c>
      <c r="AI148" t="s">
        <v>749</v>
      </c>
      <c r="AJ148" t="s">
        <v>749</v>
      </c>
      <c r="AK148" t="s">
        <v>749</v>
      </c>
    </row>
    <row r="149" spans="1:52" hidden="1" x14ac:dyDescent="0.25">
      <c r="A149" t="s">
        <v>3</v>
      </c>
      <c r="B149" t="s">
        <v>54</v>
      </c>
      <c r="C149" t="s">
        <v>131</v>
      </c>
      <c r="D149">
        <v>53197</v>
      </c>
      <c r="E149" t="s">
        <v>707</v>
      </c>
      <c r="F149">
        <v>14.048</v>
      </c>
      <c r="G149">
        <v>2016</v>
      </c>
      <c r="J149" t="s">
        <v>749</v>
      </c>
      <c r="Q149" t="s">
        <v>749</v>
      </c>
      <c r="AJ149" t="s">
        <v>749</v>
      </c>
    </row>
    <row r="150" spans="1:52" hidden="1" x14ac:dyDescent="0.25">
      <c r="A150" t="s">
        <v>3</v>
      </c>
      <c r="B150" t="s">
        <v>54</v>
      </c>
      <c r="C150" t="s">
        <v>127</v>
      </c>
      <c r="D150">
        <v>53199</v>
      </c>
      <c r="E150" t="s">
        <v>707</v>
      </c>
      <c r="F150">
        <v>1.355</v>
      </c>
      <c r="G150">
        <v>2016</v>
      </c>
      <c r="AI150" t="s">
        <v>749</v>
      </c>
      <c r="AJ150" t="s">
        <v>749</v>
      </c>
    </row>
    <row r="151" spans="1:52" hidden="1" x14ac:dyDescent="0.25">
      <c r="A151" t="s">
        <v>3</v>
      </c>
      <c r="B151" t="s">
        <v>54</v>
      </c>
      <c r="C151" t="s">
        <v>128</v>
      </c>
      <c r="D151">
        <v>53201</v>
      </c>
      <c r="E151" t="s">
        <v>707</v>
      </c>
      <c r="F151">
        <v>15.106</v>
      </c>
      <c r="G151">
        <v>2016</v>
      </c>
      <c r="J151" t="s">
        <v>749</v>
      </c>
      <c r="Q151" t="s">
        <v>749</v>
      </c>
      <c r="AI151" t="s">
        <v>749</v>
      </c>
      <c r="AJ151" t="s">
        <v>749</v>
      </c>
    </row>
    <row r="152" spans="1:52" hidden="1" x14ac:dyDescent="0.25">
      <c r="A152" t="s">
        <v>3</v>
      </c>
      <c r="B152" t="s">
        <v>54</v>
      </c>
      <c r="C152" t="s">
        <v>132</v>
      </c>
      <c r="D152">
        <v>53614</v>
      </c>
      <c r="E152" t="s">
        <v>707</v>
      </c>
      <c r="F152">
        <v>14.81</v>
      </c>
      <c r="G152">
        <v>2016</v>
      </c>
      <c r="J152" t="s">
        <v>749</v>
      </c>
      <c r="Q152" t="s">
        <v>749</v>
      </c>
      <c r="AJ152" t="s">
        <v>749</v>
      </c>
    </row>
    <row r="153" spans="1:52" hidden="1" x14ac:dyDescent="0.25">
      <c r="A153" t="s">
        <v>3</v>
      </c>
      <c r="B153" t="s">
        <v>54</v>
      </c>
      <c r="C153" t="s">
        <v>129</v>
      </c>
      <c r="D153">
        <v>53195</v>
      </c>
      <c r="E153" t="s">
        <v>708</v>
      </c>
      <c r="F153">
        <v>131.625</v>
      </c>
      <c r="G153">
        <v>2017</v>
      </c>
      <c r="J153" t="s">
        <v>749</v>
      </c>
      <c r="Q153" t="s">
        <v>749</v>
      </c>
      <c r="AI153" t="s">
        <v>749</v>
      </c>
      <c r="AJ153" t="s">
        <v>749</v>
      </c>
      <c r="AR153" t="s">
        <v>749</v>
      </c>
    </row>
    <row r="154" spans="1:52" hidden="1" x14ac:dyDescent="0.25">
      <c r="A154" t="s">
        <v>3</v>
      </c>
      <c r="B154" t="s">
        <v>54</v>
      </c>
      <c r="C154" t="s">
        <v>127</v>
      </c>
      <c r="D154">
        <v>53199</v>
      </c>
      <c r="E154" t="s">
        <v>707</v>
      </c>
      <c r="F154">
        <v>1.121</v>
      </c>
      <c r="G154">
        <v>2017</v>
      </c>
      <c r="AI154" t="s">
        <v>749</v>
      </c>
      <c r="AJ154" t="s">
        <v>749</v>
      </c>
    </row>
    <row r="155" spans="1:52" hidden="1" x14ac:dyDescent="0.25">
      <c r="A155" t="s">
        <v>3</v>
      </c>
      <c r="B155" t="s">
        <v>54</v>
      </c>
      <c r="C155" t="s">
        <v>128</v>
      </c>
      <c r="D155">
        <v>53201</v>
      </c>
      <c r="E155" t="s">
        <v>707</v>
      </c>
      <c r="F155">
        <v>15.794</v>
      </c>
      <c r="G155">
        <v>2017</v>
      </c>
      <c r="J155" t="s">
        <v>749</v>
      </c>
      <c r="Q155" t="s">
        <v>749</v>
      </c>
      <c r="AI155" t="s">
        <v>749</v>
      </c>
      <c r="AJ155" t="s">
        <v>749</v>
      </c>
    </row>
    <row r="156" spans="1:52" hidden="1" x14ac:dyDescent="0.25">
      <c r="A156" t="s">
        <v>3</v>
      </c>
      <c r="B156" t="s">
        <v>54</v>
      </c>
      <c r="C156" t="s">
        <v>132</v>
      </c>
      <c r="D156">
        <v>53614</v>
      </c>
      <c r="E156" t="s">
        <v>707</v>
      </c>
      <c r="F156">
        <v>15.622999999999999</v>
      </c>
      <c r="G156">
        <v>2017</v>
      </c>
      <c r="J156" t="s">
        <v>749</v>
      </c>
      <c r="Q156" t="s">
        <v>749</v>
      </c>
    </row>
    <row r="157" spans="1:52" hidden="1" x14ac:dyDescent="0.25">
      <c r="A157" t="s">
        <v>3</v>
      </c>
      <c r="B157" t="s">
        <v>54</v>
      </c>
      <c r="C157" t="s">
        <v>133</v>
      </c>
      <c r="D157">
        <v>60505</v>
      </c>
      <c r="E157" t="s">
        <v>707</v>
      </c>
      <c r="F157">
        <v>9.2729999999999997</v>
      </c>
      <c r="G157">
        <v>2017</v>
      </c>
      <c r="J157" t="s">
        <v>749</v>
      </c>
      <c r="Q157" t="s">
        <v>749</v>
      </c>
    </row>
    <row r="158" spans="1:52" hidden="1" x14ac:dyDescent="0.25">
      <c r="A158" t="s">
        <v>3</v>
      </c>
      <c r="B158" t="s">
        <v>54</v>
      </c>
      <c r="C158" t="s">
        <v>134</v>
      </c>
      <c r="D158">
        <v>60506</v>
      </c>
      <c r="E158" t="s">
        <v>707</v>
      </c>
      <c r="F158">
        <v>14.635</v>
      </c>
      <c r="G158">
        <v>2017</v>
      </c>
      <c r="J158" t="s">
        <v>749</v>
      </c>
      <c r="Q158" t="s">
        <v>749</v>
      </c>
    </row>
    <row r="159" spans="1:52" s="4" customFormat="1" hidden="1" x14ac:dyDescent="0.25">
      <c r="A159" s="4" t="s">
        <v>4</v>
      </c>
      <c r="B159" s="4" t="s">
        <v>55</v>
      </c>
      <c r="C159" s="4" t="s">
        <v>756</v>
      </c>
      <c r="D159" s="4">
        <v>35453</v>
      </c>
      <c r="E159" s="4" t="s">
        <v>708</v>
      </c>
      <c r="F159" s="4">
        <v>26.684000000000001</v>
      </c>
      <c r="G159" s="4">
        <v>2006</v>
      </c>
      <c r="J159" s="4">
        <v>18477</v>
      </c>
      <c r="M159" s="4">
        <v>8207</v>
      </c>
      <c r="AZ159" s="7"/>
    </row>
    <row r="160" spans="1:52" hidden="1" x14ac:dyDescent="0.25">
      <c r="A160" t="s">
        <v>4</v>
      </c>
      <c r="B160" t="s">
        <v>55</v>
      </c>
      <c r="C160" t="s">
        <v>136</v>
      </c>
      <c r="D160">
        <v>35454</v>
      </c>
      <c r="E160" t="s">
        <v>707</v>
      </c>
      <c r="F160">
        <v>16.841000000000001</v>
      </c>
      <c r="G160">
        <v>2006</v>
      </c>
      <c r="J160">
        <v>13653</v>
      </c>
      <c r="M160">
        <v>3188</v>
      </c>
    </row>
    <row r="161" spans="1:13" hidden="1" x14ac:dyDescent="0.25">
      <c r="A161" t="s">
        <v>4</v>
      </c>
      <c r="B161" t="s">
        <v>55</v>
      </c>
      <c r="C161" t="s">
        <v>137</v>
      </c>
      <c r="D161">
        <v>35455</v>
      </c>
      <c r="E161" t="s">
        <v>707</v>
      </c>
      <c r="F161">
        <v>18.643000000000001</v>
      </c>
      <c r="G161">
        <v>2006</v>
      </c>
      <c r="J161">
        <v>16829</v>
      </c>
      <c r="M161">
        <v>1814</v>
      </c>
    </row>
    <row r="162" spans="1:13" hidden="1" x14ac:dyDescent="0.25">
      <c r="A162" t="s">
        <v>4</v>
      </c>
      <c r="B162" t="s">
        <v>55</v>
      </c>
      <c r="C162" t="s">
        <v>138</v>
      </c>
      <c r="D162">
        <v>35456</v>
      </c>
      <c r="E162" t="s">
        <v>707</v>
      </c>
      <c r="F162">
        <v>10.561999999999999</v>
      </c>
      <c r="G162">
        <v>2006</v>
      </c>
      <c r="J162">
        <v>10562</v>
      </c>
    </row>
    <row r="163" spans="1:13" hidden="1" x14ac:dyDescent="0.25">
      <c r="A163" t="s">
        <v>4</v>
      </c>
      <c r="B163" t="s">
        <v>55</v>
      </c>
      <c r="C163" t="s">
        <v>139</v>
      </c>
      <c r="D163">
        <v>35457</v>
      </c>
      <c r="E163" t="s">
        <v>707</v>
      </c>
      <c r="F163">
        <v>9.2129999999999992</v>
      </c>
      <c r="G163">
        <v>2006</v>
      </c>
      <c r="J163">
        <v>9213</v>
      </c>
    </row>
    <row r="164" spans="1:13" hidden="1" x14ac:dyDescent="0.25">
      <c r="A164" t="s">
        <v>4</v>
      </c>
      <c r="B164" t="s">
        <v>55</v>
      </c>
      <c r="C164" t="s">
        <v>135</v>
      </c>
      <c r="D164">
        <v>35453</v>
      </c>
      <c r="E164" t="s">
        <v>708</v>
      </c>
      <c r="F164">
        <v>19.148</v>
      </c>
      <c r="G164">
        <v>2007</v>
      </c>
      <c r="J164">
        <v>10941</v>
      </c>
      <c r="M164">
        <v>8207</v>
      </c>
    </row>
    <row r="165" spans="1:13" hidden="1" x14ac:dyDescent="0.25">
      <c r="A165" t="s">
        <v>4</v>
      </c>
      <c r="B165" t="s">
        <v>55</v>
      </c>
      <c r="C165" t="s">
        <v>136</v>
      </c>
      <c r="D165">
        <v>35454</v>
      </c>
      <c r="E165" t="s">
        <v>707</v>
      </c>
      <c r="F165">
        <v>13.906000000000001</v>
      </c>
      <c r="G165">
        <v>2007</v>
      </c>
      <c r="J165">
        <v>10718</v>
      </c>
      <c r="M165">
        <v>3188</v>
      </c>
    </row>
    <row r="166" spans="1:13" hidden="1" x14ac:dyDescent="0.25">
      <c r="A166" t="s">
        <v>4</v>
      </c>
      <c r="B166" t="s">
        <v>55</v>
      </c>
      <c r="C166" t="s">
        <v>137</v>
      </c>
      <c r="D166">
        <v>35455</v>
      </c>
      <c r="E166" t="s">
        <v>707</v>
      </c>
      <c r="F166">
        <v>16.594999999999999</v>
      </c>
      <c r="G166">
        <v>2007</v>
      </c>
      <c r="J166">
        <v>14781</v>
      </c>
      <c r="M166">
        <v>1814</v>
      </c>
    </row>
    <row r="167" spans="1:13" hidden="1" x14ac:dyDescent="0.25">
      <c r="A167" t="s">
        <v>4</v>
      </c>
      <c r="B167" t="s">
        <v>55</v>
      </c>
      <c r="C167" t="s">
        <v>138</v>
      </c>
      <c r="D167">
        <v>35456</v>
      </c>
      <c r="E167" t="s">
        <v>707</v>
      </c>
      <c r="F167">
        <v>11.946999999999999</v>
      </c>
      <c r="G167">
        <v>2007</v>
      </c>
      <c r="J167">
        <v>11036</v>
      </c>
      <c r="M167">
        <v>911</v>
      </c>
    </row>
    <row r="168" spans="1:13" hidden="1" x14ac:dyDescent="0.25">
      <c r="A168" t="s">
        <v>4</v>
      </c>
      <c r="B168" t="s">
        <v>55</v>
      </c>
      <c r="C168" t="s">
        <v>139</v>
      </c>
      <c r="D168">
        <v>35457</v>
      </c>
      <c r="E168" t="s">
        <v>707</v>
      </c>
      <c r="F168">
        <v>9.7469999999999999</v>
      </c>
      <c r="G168">
        <v>2007</v>
      </c>
      <c r="J168">
        <v>8954</v>
      </c>
      <c r="M168">
        <v>793</v>
      </c>
    </row>
    <row r="169" spans="1:13" hidden="1" x14ac:dyDescent="0.25">
      <c r="A169" t="s">
        <v>4</v>
      </c>
      <c r="B169" t="s">
        <v>55</v>
      </c>
      <c r="C169" t="s">
        <v>135</v>
      </c>
      <c r="D169">
        <v>35453</v>
      </c>
      <c r="E169" t="s">
        <v>708</v>
      </c>
      <c r="F169">
        <v>26.332000000000001</v>
      </c>
      <c r="G169">
        <v>2008</v>
      </c>
      <c r="J169">
        <v>18125</v>
      </c>
      <c r="M169">
        <v>8207</v>
      </c>
    </row>
    <row r="170" spans="1:13" hidden="1" x14ac:dyDescent="0.25">
      <c r="A170" t="s">
        <v>4</v>
      </c>
      <c r="B170" t="s">
        <v>55</v>
      </c>
      <c r="C170" t="s">
        <v>136</v>
      </c>
      <c r="D170">
        <v>35454</v>
      </c>
      <c r="E170" t="s">
        <v>707</v>
      </c>
      <c r="F170">
        <v>12.27</v>
      </c>
      <c r="G170">
        <v>2008</v>
      </c>
      <c r="J170">
        <v>9082</v>
      </c>
      <c r="M170">
        <v>3188</v>
      </c>
    </row>
    <row r="171" spans="1:13" hidden="1" x14ac:dyDescent="0.25">
      <c r="A171" t="s">
        <v>4</v>
      </c>
      <c r="B171" t="s">
        <v>55</v>
      </c>
      <c r="C171" t="s">
        <v>137</v>
      </c>
      <c r="D171">
        <v>35455</v>
      </c>
      <c r="E171" t="s">
        <v>707</v>
      </c>
      <c r="F171">
        <v>11.115</v>
      </c>
      <c r="G171">
        <v>2008</v>
      </c>
      <c r="J171">
        <v>9301</v>
      </c>
      <c r="M171">
        <v>1814</v>
      </c>
    </row>
    <row r="172" spans="1:13" hidden="1" x14ac:dyDescent="0.25">
      <c r="A172" t="s">
        <v>4</v>
      </c>
      <c r="B172" t="s">
        <v>55</v>
      </c>
      <c r="C172" t="s">
        <v>138</v>
      </c>
      <c r="D172">
        <v>35456</v>
      </c>
      <c r="E172" t="s">
        <v>707</v>
      </c>
      <c r="F172">
        <v>12.352</v>
      </c>
      <c r="G172">
        <v>2008</v>
      </c>
      <c r="J172">
        <v>11261</v>
      </c>
      <c r="M172">
        <v>1091</v>
      </c>
    </row>
    <row r="173" spans="1:13" hidden="1" x14ac:dyDescent="0.25">
      <c r="A173" t="s">
        <v>4</v>
      </c>
      <c r="B173" t="s">
        <v>55</v>
      </c>
      <c r="C173" t="s">
        <v>139</v>
      </c>
      <c r="D173">
        <v>35457</v>
      </c>
      <c r="E173" t="s">
        <v>707</v>
      </c>
      <c r="F173">
        <v>9.8670000000000009</v>
      </c>
      <c r="G173">
        <v>2008</v>
      </c>
      <c r="J173">
        <v>9074</v>
      </c>
      <c r="M173">
        <v>793</v>
      </c>
    </row>
    <row r="174" spans="1:13" hidden="1" x14ac:dyDescent="0.25">
      <c r="A174" t="s">
        <v>4</v>
      </c>
      <c r="B174" t="s">
        <v>55</v>
      </c>
      <c r="C174" t="s">
        <v>140</v>
      </c>
      <c r="D174">
        <v>37963</v>
      </c>
      <c r="E174" t="s">
        <v>707</v>
      </c>
      <c r="F174">
        <v>6.1950000000000003</v>
      </c>
      <c r="G174">
        <v>2008</v>
      </c>
      <c r="J174">
        <v>6195</v>
      </c>
    </row>
    <row r="175" spans="1:13" hidden="1" x14ac:dyDescent="0.25">
      <c r="A175" t="s">
        <v>4</v>
      </c>
      <c r="B175" t="s">
        <v>55</v>
      </c>
      <c r="C175" t="s">
        <v>135</v>
      </c>
      <c r="D175">
        <v>35453</v>
      </c>
      <c r="E175" t="s">
        <v>708</v>
      </c>
      <c r="F175">
        <v>20.033000000000001</v>
      </c>
      <c r="G175">
        <v>2009</v>
      </c>
      <c r="J175">
        <v>11826</v>
      </c>
      <c r="M175">
        <v>8207</v>
      </c>
    </row>
    <row r="176" spans="1:13" hidden="1" x14ac:dyDescent="0.25">
      <c r="A176" t="s">
        <v>4</v>
      </c>
      <c r="B176" t="s">
        <v>55</v>
      </c>
      <c r="C176" t="s">
        <v>136</v>
      </c>
      <c r="D176">
        <v>35454</v>
      </c>
      <c r="E176" t="s">
        <v>707</v>
      </c>
      <c r="F176">
        <v>11.83</v>
      </c>
      <c r="G176">
        <v>2009</v>
      </c>
      <c r="J176">
        <v>8612</v>
      </c>
      <c r="M176">
        <v>3188</v>
      </c>
    </row>
    <row r="177" spans="1:13" hidden="1" x14ac:dyDescent="0.25">
      <c r="A177" t="s">
        <v>4</v>
      </c>
      <c r="B177" t="s">
        <v>55</v>
      </c>
      <c r="C177" t="s">
        <v>137</v>
      </c>
      <c r="D177">
        <v>35455</v>
      </c>
      <c r="E177" t="s">
        <v>707</v>
      </c>
      <c r="F177">
        <v>14.694000000000001</v>
      </c>
      <c r="G177">
        <v>2009</v>
      </c>
      <c r="J177">
        <v>12880</v>
      </c>
      <c r="M177">
        <v>1814</v>
      </c>
    </row>
    <row r="178" spans="1:13" hidden="1" x14ac:dyDescent="0.25">
      <c r="A178" t="s">
        <v>4</v>
      </c>
      <c r="B178" t="s">
        <v>55</v>
      </c>
      <c r="C178" t="s">
        <v>138</v>
      </c>
      <c r="D178">
        <v>35456</v>
      </c>
      <c r="E178" t="s">
        <v>707</v>
      </c>
      <c r="F178">
        <v>10.494</v>
      </c>
      <c r="G178">
        <v>2009</v>
      </c>
      <c r="J178">
        <v>9403</v>
      </c>
      <c r="M178">
        <v>1091</v>
      </c>
    </row>
    <row r="179" spans="1:13" hidden="1" x14ac:dyDescent="0.25">
      <c r="A179" t="s">
        <v>4</v>
      </c>
      <c r="B179" t="s">
        <v>55</v>
      </c>
      <c r="C179" t="s">
        <v>139</v>
      </c>
      <c r="D179">
        <v>35457</v>
      </c>
      <c r="E179" t="s">
        <v>707</v>
      </c>
      <c r="F179">
        <v>10.589</v>
      </c>
      <c r="G179">
        <v>2009</v>
      </c>
      <c r="J179">
        <v>9796</v>
      </c>
      <c r="M179">
        <v>793</v>
      </c>
    </row>
    <row r="180" spans="1:13" hidden="1" x14ac:dyDescent="0.25">
      <c r="A180" t="s">
        <v>4</v>
      </c>
      <c r="B180" t="s">
        <v>55</v>
      </c>
      <c r="C180" t="s">
        <v>140</v>
      </c>
      <c r="D180">
        <v>37963</v>
      </c>
      <c r="E180" t="s">
        <v>707</v>
      </c>
      <c r="F180">
        <v>11.45</v>
      </c>
      <c r="G180">
        <v>2009</v>
      </c>
      <c r="J180">
        <v>11450</v>
      </c>
    </row>
    <row r="181" spans="1:13" hidden="1" x14ac:dyDescent="0.25">
      <c r="A181" t="s">
        <v>4</v>
      </c>
      <c r="B181" t="s">
        <v>55</v>
      </c>
      <c r="C181" t="s">
        <v>135</v>
      </c>
      <c r="D181">
        <v>35453</v>
      </c>
      <c r="E181" t="s">
        <v>708</v>
      </c>
      <c r="F181">
        <v>21.087</v>
      </c>
      <c r="G181">
        <v>2010</v>
      </c>
      <c r="J181">
        <v>12800</v>
      </c>
      <c r="M181">
        <v>1119</v>
      </c>
    </row>
    <row r="182" spans="1:13" hidden="1" x14ac:dyDescent="0.25">
      <c r="A182" t="s">
        <v>4</v>
      </c>
      <c r="B182" t="s">
        <v>55</v>
      </c>
      <c r="C182" t="s">
        <v>136</v>
      </c>
      <c r="D182">
        <v>35454</v>
      </c>
      <c r="E182" t="s">
        <v>707</v>
      </c>
      <c r="F182">
        <v>15.446</v>
      </c>
      <c r="G182">
        <v>2010</v>
      </c>
      <c r="J182">
        <v>12258</v>
      </c>
      <c r="M182">
        <v>1052</v>
      </c>
    </row>
    <row r="183" spans="1:13" hidden="1" x14ac:dyDescent="0.25">
      <c r="A183" t="s">
        <v>4</v>
      </c>
      <c r="B183" t="s">
        <v>55</v>
      </c>
      <c r="C183" t="s">
        <v>137</v>
      </c>
      <c r="D183">
        <v>35455</v>
      </c>
      <c r="E183" t="s">
        <v>707</v>
      </c>
      <c r="F183">
        <v>14.542999999999999</v>
      </c>
      <c r="G183">
        <v>2010</v>
      </c>
      <c r="J183">
        <v>12800</v>
      </c>
      <c r="M183">
        <v>1663</v>
      </c>
    </row>
    <row r="184" spans="1:13" hidden="1" x14ac:dyDescent="0.25">
      <c r="A184" t="s">
        <v>4</v>
      </c>
      <c r="B184" t="s">
        <v>55</v>
      </c>
      <c r="C184" t="s">
        <v>757</v>
      </c>
      <c r="D184">
        <v>35456</v>
      </c>
      <c r="E184" t="s">
        <v>707</v>
      </c>
      <c r="F184">
        <v>12.811999999999999</v>
      </c>
      <c r="G184">
        <v>2010</v>
      </c>
      <c r="J184">
        <v>11721</v>
      </c>
      <c r="M184">
        <v>1091</v>
      </c>
    </row>
    <row r="185" spans="1:13" hidden="1" x14ac:dyDescent="0.25">
      <c r="A185" t="s">
        <v>4</v>
      </c>
      <c r="B185" t="s">
        <v>55</v>
      </c>
      <c r="C185" t="s">
        <v>139</v>
      </c>
      <c r="D185">
        <v>35457</v>
      </c>
      <c r="E185" t="s">
        <v>707</v>
      </c>
      <c r="F185">
        <v>12.478999999999999</v>
      </c>
      <c r="G185">
        <v>2010</v>
      </c>
      <c r="J185">
        <v>11686</v>
      </c>
      <c r="M185">
        <v>793</v>
      </c>
    </row>
    <row r="186" spans="1:13" hidden="1" x14ac:dyDescent="0.25">
      <c r="A186" t="s">
        <v>4</v>
      </c>
      <c r="B186" t="s">
        <v>55</v>
      </c>
      <c r="C186" t="s">
        <v>140</v>
      </c>
      <c r="D186">
        <v>37963</v>
      </c>
      <c r="E186" t="s">
        <v>707</v>
      </c>
      <c r="F186">
        <v>13.314</v>
      </c>
      <c r="G186">
        <v>2010</v>
      </c>
      <c r="J186">
        <v>12880</v>
      </c>
      <c r="M186">
        <v>434</v>
      </c>
    </row>
    <row r="187" spans="1:13" hidden="1" x14ac:dyDescent="0.25">
      <c r="A187" t="s">
        <v>4</v>
      </c>
      <c r="B187" t="s">
        <v>55</v>
      </c>
      <c r="C187" t="s">
        <v>141</v>
      </c>
      <c r="D187">
        <v>44120</v>
      </c>
      <c r="E187" t="s">
        <v>707</v>
      </c>
      <c r="F187">
        <v>7.9950000000000001</v>
      </c>
      <c r="G187">
        <v>2010</v>
      </c>
      <c r="J187">
        <v>7581</v>
      </c>
      <c r="M187">
        <v>414</v>
      </c>
    </row>
    <row r="188" spans="1:13" hidden="1" x14ac:dyDescent="0.25">
      <c r="A188" t="s">
        <v>4</v>
      </c>
      <c r="B188" t="s">
        <v>55</v>
      </c>
      <c r="C188" t="s">
        <v>135</v>
      </c>
      <c r="D188">
        <v>35453</v>
      </c>
      <c r="E188" t="s">
        <v>708</v>
      </c>
      <c r="F188">
        <v>25.634</v>
      </c>
      <c r="G188">
        <v>2011</v>
      </c>
      <c r="J188">
        <v>17427</v>
      </c>
      <c r="M188">
        <v>8207</v>
      </c>
    </row>
    <row r="189" spans="1:13" hidden="1" x14ac:dyDescent="0.25">
      <c r="A189" t="s">
        <v>4</v>
      </c>
      <c r="B189" t="s">
        <v>55</v>
      </c>
      <c r="C189" t="s">
        <v>136</v>
      </c>
      <c r="D189">
        <v>35454</v>
      </c>
      <c r="E189" t="s">
        <v>707</v>
      </c>
      <c r="F189">
        <v>18.931000000000001</v>
      </c>
      <c r="G189">
        <v>2011</v>
      </c>
      <c r="J189">
        <v>15743</v>
      </c>
      <c r="M189">
        <v>3188</v>
      </c>
    </row>
    <row r="190" spans="1:13" hidden="1" x14ac:dyDescent="0.25">
      <c r="A190" t="s">
        <v>4</v>
      </c>
      <c r="B190" t="s">
        <v>55</v>
      </c>
      <c r="C190" t="s">
        <v>138</v>
      </c>
      <c r="D190">
        <v>35456</v>
      </c>
      <c r="E190" t="s">
        <v>707</v>
      </c>
      <c r="F190">
        <v>16.05</v>
      </c>
      <c r="G190">
        <v>2011</v>
      </c>
      <c r="J190">
        <v>14959</v>
      </c>
      <c r="M190">
        <v>1091</v>
      </c>
    </row>
    <row r="191" spans="1:13" hidden="1" x14ac:dyDescent="0.25">
      <c r="A191" t="s">
        <v>4</v>
      </c>
      <c r="B191" t="s">
        <v>55</v>
      </c>
      <c r="C191" t="s">
        <v>139</v>
      </c>
      <c r="D191">
        <v>35457</v>
      </c>
      <c r="E191" t="s">
        <v>707</v>
      </c>
      <c r="F191">
        <v>12.709</v>
      </c>
      <c r="G191">
        <v>2011</v>
      </c>
      <c r="J191">
        <v>11916</v>
      </c>
      <c r="M191">
        <v>793</v>
      </c>
    </row>
    <row r="192" spans="1:13" hidden="1" x14ac:dyDescent="0.25">
      <c r="A192" t="s">
        <v>4</v>
      </c>
      <c r="B192" t="s">
        <v>55</v>
      </c>
      <c r="C192" t="s">
        <v>140</v>
      </c>
      <c r="D192">
        <v>37963</v>
      </c>
      <c r="E192" t="s">
        <v>707</v>
      </c>
      <c r="F192">
        <v>17.18</v>
      </c>
      <c r="G192">
        <v>2011</v>
      </c>
      <c r="J192">
        <v>15445</v>
      </c>
      <c r="M192">
        <v>1735</v>
      </c>
    </row>
    <row r="193" spans="1:36" hidden="1" x14ac:dyDescent="0.25">
      <c r="A193" t="s">
        <v>4</v>
      </c>
      <c r="B193" t="s">
        <v>55</v>
      </c>
      <c r="C193" t="s">
        <v>141</v>
      </c>
      <c r="D193">
        <v>44120</v>
      </c>
      <c r="E193" t="s">
        <v>707</v>
      </c>
      <c r="F193">
        <v>15.308999999999999</v>
      </c>
      <c r="G193">
        <v>2011</v>
      </c>
      <c r="J193">
        <v>13653</v>
      </c>
      <c r="M193">
        <v>1656</v>
      </c>
    </row>
    <row r="194" spans="1:36" hidden="1" x14ac:dyDescent="0.25">
      <c r="A194" t="s">
        <v>4</v>
      </c>
      <c r="B194" t="s">
        <v>55</v>
      </c>
      <c r="C194" t="s">
        <v>142</v>
      </c>
      <c r="D194">
        <v>47552</v>
      </c>
      <c r="E194" t="s">
        <v>707</v>
      </c>
      <c r="F194">
        <v>0</v>
      </c>
      <c r="G194">
        <v>2011</v>
      </c>
      <c r="H194">
        <v>1</v>
      </c>
    </row>
    <row r="195" spans="1:36" hidden="1" x14ac:dyDescent="0.25">
      <c r="A195" t="s">
        <v>4</v>
      </c>
      <c r="B195" t="s">
        <v>55</v>
      </c>
      <c r="C195" t="s">
        <v>135</v>
      </c>
      <c r="D195">
        <v>35453</v>
      </c>
      <c r="E195" t="s">
        <v>708</v>
      </c>
      <c r="F195">
        <v>91.087000000000003</v>
      </c>
      <c r="G195">
        <v>2012</v>
      </c>
      <c r="J195">
        <v>12880</v>
      </c>
      <c r="M195">
        <v>8207</v>
      </c>
      <c r="AJ195">
        <v>70000</v>
      </c>
    </row>
    <row r="196" spans="1:36" hidden="1" x14ac:dyDescent="0.25">
      <c r="A196" t="s">
        <v>4</v>
      </c>
      <c r="B196" t="s">
        <v>55</v>
      </c>
      <c r="C196" t="s">
        <v>136</v>
      </c>
      <c r="D196">
        <v>35454</v>
      </c>
      <c r="E196" t="s">
        <v>707</v>
      </c>
      <c r="F196">
        <v>103.568</v>
      </c>
      <c r="G196">
        <v>2012</v>
      </c>
      <c r="J196">
        <v>12800</v>
      </c>
      <c r="M196">
        <v>3188</v>
      </c>
      <c r="AJ196">
        <v>87500</v>
      </c>
    </row>
    <row r="197" spans="1:36" hidden="1" x14ac:dyDescent="0.25">
      <c r="A197" t="s">
        <v>4</v>
      </c>
      <c r="B197" t="s">
        <v>55</v>
      </c>
      <c r="C197" t="s">
        <v>138</v>
      </c>
      <c r="D197">
        <v>35456</v>
      </c>
      <c r="E197" t="s">
        <v>707</v>
      </c>
      <c r="F197">
        <v>13.971</v>
      </c>
      <c r="G197">
        <v>2012</v>
      </c>
      <c r="J197">
        <v>12880</v>
      </c>
      <c r="M197">
        <v>1091</v>
      </c>
    </row>
    <row r="198" spans="1:36" hidden="1" x14ac:dyDescent="0.25">
      <c r="A198" t="s">
        <v>4</v>
      </c>
      <c r="B198" t="s">
        <v>55</v>
      </c>
      <c r="C198" t="s">
        <v>139</v>
      </c>
      <c r="D198">
        <v>35457</v>
      </c>
      <c r="E198" t="s">
        <v>707</v>
      </c>
      <c r="F198">
        <v>71.393000000000001</v>
      </c>
      <c r="G198">
        <v>2012</v>
      </c>
      <c r="J198">
        <v>12267</v>
      </c>
      <c r="M198">
        <v>793</v>
      </c>
      <c r="AJ198">
        <v>58333</v>
      </c>
    </row>
    <row r="199" spans="1:36" hidden="1" x14ac:dyDescent="0.25">
      <c r="A199" t="s">
        <v>4</v>
      </c>
      <c r="B199" t="s">
        <v>55</v>
      </c>
      <c r="C199" t="s">
        <v>142</v>
      </c>
      <c r="D199">
        <v>47552</v>
      </c>
      <c r="E199" t="s">
        <v>707</v>
      </c>
      <c r="F199">
        <v>2.423</v>
      </c>
      <c r="G199">
        <v>2012</v>
      </c>
      <c r="J199">
        <v>2423</v>
      </c>
    </row>
    <row r="200" spans="1:36" hidden="1" x14ac:dyDescent="0.25">
      <c r="A200" t="s">
        <v>4</v>
      </c>
      <c r="B200" t="s">
        <v>55</v>
      </c>
      <c r="C200" t="s">
        <v>135</v>
      </c>
      <c r="D200">
        <v>35453</v>
      </c>
      <c r="E200" t="s">
        <v>708</v>
      </c>
      <c r="F200">
        <v>42.716000000000001</v>
      </c>
      <c r="G200">
        <v>2013</v>
      </c>
      <c r="J200">
        <v>12800</v>
      </c>
      <c r="M200">
        <f>444+29393</f>
        <v>29837</v>
      </c>
    </row>
    <row r="201" spans="1:36" hidden="1" x14ac:dyDescent="0.25">
      <c r="A201" t="s">
        <v>4</v>
      </c>
      <c r="B201" t="s">
        <v>55</v>
      </c>
      <c r="C201" t="s">
        <v>136</v>
      </c>
      <c r="D201">
        <v>35454</v>
      </c>
      <c r="E201" t="s">
        <v>707</v>
      </c>
      <c r="F201">
        <v>32.481999999999999</v>
      </c>
      <c r="G201">
        <v>2013</v>
      </c>
      <c r="J201">
        <v>12800</v>
      </c>
      <c r="M201">
        <f>312+21290</f>
        <v>21602</v>
      </c>
    </row>
    <row r="202" spans="1:36" hidden="1" x14ac:dyDescent="0.25">
      <c r="A202" t="s">
        <v>4</v>
      </c>
      <c r="B202" t="s">
        <v>55</v>
      </c>
      <c r="C202" t="s">
        <v>138</v>
      </c>
      <c r="D202">
        <v>35456</v>
      </c>
      <c r="E202" t="s">
        <v>707</v>
      </c>
      <c r="F202">
        <v>32.281999999999996</v>
      </c>
      <c r="G202">
        <v>2013</v>
      </c>
      <c r="J202">
        <v>12800</v>
      </c>
      <c r="M202">
        <f>280+19122</f>
        <v>19402</v>
      </c>
    </row>
    <row r="203" spans="1:36" hidden="1" x14ac:dyDescent="0.25">
      <c r="A203" t="s">
        <v>4</v>
      </c>
      <c r="B203" t="s">
        <v>55</v>
      </c>
      <c r="C203" t="s">
        <v>142</v>
      </c>
      <c r="D203">
        <v>47552</v>
      </c>
      <c r="E203" t="s">
        <v>707</v>
      </c>
      <c r="F203">
        <v>16.238</v>
      </c>
      <c r="G203">
        <v>2013</v>
      </c>
      <c r="J203">
        <v>12327</v>
      </c>
      <c r="M203">
        <f>65+3486</f>
        <v>3551</v>
      </c>
    </row>
    <row r="204" spans="1:36" hidden="1" x14ac:dyDescent="0.25">
      <c r="A204" t="s">
        <v>4</v>
      </c>
      <c r="B204" t="s">
        <v>55</v>
      </c>
      <c r="C204" t="s">
        <v>143</v>
      </c>
      <c r="D204">
        <v>49303</v>
      </c>
      <c r="E204" t="s">
        <v>707</v>
      </c>
      <c r="F204">
        <v>0</v>
      </c>
      <c r="G204">
        <v>2013</v>
      </c>
    </row>
    <row r="205" spans="1:36" hidden="1" x14ac:dyDescent="0.25">
      <c r="A205" t="s">
        <v>4</v>
      </c>
      <c r="B205" t="s">
        <v>55</v>
      </c>
      <c r="C205" t="s">
        <v>135</v>
      </c>
      <c r="D205">
        <v>35453</v>
      </c>
      <c r="E205" t="s">
        <v>708</v>
      </c>
      <c r="F205">
        <v>51.984000000000002</v>
      </c>
      <c r="G205">
        <v>2014</v>
      </c>
      <c r="J205" t="s">
        <v>749</v>
      </c>
      <c r="L205" t="s">
        <v>749</v>
      </c>
      <c r="M205" t="s">
        <v>749</v>
      </c>
    </row>
    <row r="206" spans="1:36" hidden="1" x14ac:dyDescent="0.25">
      <c r="A206" t="s">
        <v>4</v>
      </c>
      <c r="B206" t="s">
        <v>55</v>
      </c>
      <c r="C206" t="s">
        <v>136</v>
      </c>
      <c r="D206">
        <v>35454</v>
      </c>
      <c r="E206" t="s">
        <v>707</v>
      </c>
      <c r="F206">
        <v>42.366</v>
      </c>
      <c r="G206">
        <v>2014</v>
      </c>
      <c r="J206" t="s">
        <v>749</v>
      </c>
      <c r="L206" t="s">
        <v>749</v>
      </c>
      <c r="M206" t="s">
        <v>749</v>
      </c>
    </row>
    <row r="207" spans="1:36" hidden="1" x14ac:dyDescent="0.25">
      <c r="A207" t="s">
        <v>4</v>
      </c>
      <c r="B207" t="s">
        <v>55</v>
      </c>
      <c r="C207" t="s">
        <v>138</v>
      </c>
      <c r="D207">
        <v>35456</v>
      </c>
      <c r="E207" t="s">
        <v>707</v>
      </c>
      <c r="F207">
        <v>35.409999999999997</v>
      </c>
      <c r="G207">
        <v>2014</v>
      </c>
      <c r="J207" t="s">
        <v>749</v>
      </c>
      <c r="L207" t="s">
        <v>749</v>
      </c>
      <c r="M207" t="s">
        <v>749</v>
      </c>
    </row>
    <row r="208" spans="1:36" hidden="1" x14ac:dyDescent="0.25">
      <c r="A208" t="s">
        <v>4</v>
      </c>
      <c r="B208" t="s">
        <v>55</v>
      </c>
      <c r="C208" t="s">
        <v>142</v>
      </c>
      <c r="D208">
        <v>47552</v>
      </c>
      <c r="E208" t="s">
        <v>707</v>
      </c>
      <c r="F208">
        <v>18.989000000000001</v>
      </c>
      <c r="G208">
        <v>2014</v>
      </c>
      <c r="J208" t="s">
        <v>749</v>
      </c>
      <c r="L208" t="s">
        <v>749</v>
      </c>
      <c r="M208" t="s">
        <v>749</v>
      </c>
    </row>
    <row r="209" spans="1:52" hidden="1" x14ac:dyDescent="0.25">
      <c r="A209" t="s">
        <v>4</v>
      </c>
      <c r="B209" t="s">
        <v>55</v>
      </c>
      <c r="C209" t="s">
        <v>143</v>
      </c>
      <c r="D209">
        <v>49303</v>
      </c>
      <c r="E209" t="s">
        <v>707</v>
      </c>
      <c r="F209">
        <v>32.762</v>
      </c>
      <c r="G209">
        <v>2014</v>
      </c>
      <c r="J209" t="s">
        <v>749</v>
      </c>
      <c r="L209" t="s">
        <v>749</v>
      </c>
      <c r="M209" t="s">
        <v>749</v>
      </c>
    </row>
    <row r="210" spans="1:52" hidden="1" x14ac:dyDescent="0.25">
      <c r="A210" t="s">
        <v>4</v>
      </c>
      <c r="B210" t="s">
        <v>55</v>
      </c>
      <c r="C210" t="s">
        <v>135</v>
      </c>
      <c r="D210">
        <v>35453</v>
      </c>
      <c r="E210" t="s">
        <v>708</v>
      </c>
      <c r="F210">
        <v>453.74400000000003</v>
      </c>
      <c r="G210">
        <v>2015</v>
      </c>
      <c r="J210" t="s">
        <v>749</v>
      </c>
      <c r="L210" t="s">
        <v>749</v>
      </c>
      <c r="M210" t="s">
        <v>749</v>
      </c>
    </row>
    <row r="211" spans="1:52" hidden="1" x14ac:dyDescent="0.25">
      <c r="A211" t="s">
        <v>4</v>
      </c>
      <c r="B211" t="s">
        <v>55</v>
      </c>
      <c r="C211" t="s">
        <v>136</v>
      </c>
      <c r="D211">
        <v>35454</v>
      </c>
      <c r="E211" t="s">
        <v>707</v>
      </c>
      <c r="F211">
        <v>35.066000000000003</v>
      </c>
      <c r="G211">
        <v>2015</v>
      </c>
      <c r="J211" t="s">
        <v>749</v>
      </c>
      <c r="L211" t="s">
        <v>749</v>
      </c>
      <c r="M211" t="s">
        <v>749</v>
      </c>
    </row>
    <row r="212" spans="1:52" hidden="1" x14ac:dyDescent="0.25">
      <c r="A212" t="s">
        <v>4</v>
      </c>
      <c r="B212" t="s">
        <v>55</v>
      </c>
      <c r="C212" t="s">
        <v>138</v>
      </c>
      <c r="D212">
        <v>35456</v>
      </c>
      <c r="E212" t="s">
        <v>707</v>
      </c>
      <c r="F212">
        <v>36.697000000000003</v>
      </c>
      <c r="G212">
        <v>2015</v>
      </c>
      <c r="J212" t="s">
        <v>749</v>
      </c>
      <c r="L212" t="s">
        <v>749</v>
      </c>
      <c r="M212" t="s">
        <v>749</v>
      </c>
    </row>
    <row r="213" spans="1:52" hidden="1" x14ac:dyDescent="0.25">
      <c r="A213" t="s">
        <v>4</v>
      </c>
      <c r="B213" t="s">
        <v>55</v>
      </c>
      <c r="C213" t="s">
        <v>142</v>
      </c>
      <c r="D213">
        <v>47552</v>
      </c>
      <c r="E213" t="s">
        <v>707</v>
      </c>
      <c r="F213">
        <v>13.409000000000001</v>
      </c>
      <c r="G213">
        <v>2015</v>
      </c>
      <c r="J213" t="s">
        <v>749</v>
      </c>
      <c r="L213" t="s">
        <v>749</v>
      </c>
      <c r="M213" t="s">
        <v>749</v>
      </c>
    </row>
    <row r="214" spans="1:52" hidden="1" x14ac:dyDescent="0.25">
      <c r="A214" t="s">
        <v>4</v>
      </c>
      <c r="B214" t="s">
        <v>55</v>
      </c>
      <c r="C214" t="s">
        <v>143</v>
      </c>
      <c r="D214">
        <v>49303</v>
      </c>
      <c r="E214" t="s">
        <v>707</v>
      </c>
      <c r="F214">
        <v>35.112000000000002</v>
      </c>
      <c r="G214">
        <v>2015</v>
      </c>
      <c r="J214" t="s">
        <v>749</v>
      </c>
      <c r="L214" t="s">
        <v>749</v>
      </c>
      <c r="M214" t="s">
        <v>749</v>
      </c>
    </row>
    <row r="215" spans="1:52" hidden="1" x14ac:dyDescent="0.25">
      <c r="A215" t="s">
        <v>4</v>
      </c>
      <c r="B215" t="s">
        <v>55</v>
      </c>
      <c r="C215" t="s">
        <v>135</v>
      </c>
      <c r="D215">
        <v>35453</v>
      </c>
      <c r="E215" t="s">
        <v>708</v>
      </c>
      <c r="F215">
        <v>47.941000000000003</v>
      </c>
      <c r="G215">
        <v>2016</v>
      </c>
      <c r="H215">
        <v>1</v>
      </c>
    </row>
    <row r="216" spans="1:52" hidden="1" x14ac:dyDescent="0.25">
      <c r="A216" t="s">
        <v>4</v>
      </c>
      <c r="B216" t="s">
        <v>55</v>
      </c>
      <c r="C216" t="s">
        <v>136</v>
      </c>
      <c r="D216">
        <v>35454</v>
      </c>
      <c r="E216" t="s">
        <v>707</v>
      </c>
      <c r="F216">
        <v>457.71100000000001</v>
      </c>
      <c r="G216">
        <v>2016</v>
      </c>
      <c r="H216">
        <v>1</v>
      </c>
    </row>
    <row r="217" spans="1:52" hidden="1" x14ac:dyDescent="0.25">
      <c r="A217" t="s">
        <v>4</v>
      </c>
      <c r="B217" t="s">
        <v>55</v>
      </c>
      <c r="C217" t="s">
        <v>138</v>
      </c>
      <c r="D217">
        <v>35456</v>
      </c>
      <c r="E217" t="s">
        <v>707</v>
      </c>
      <c r="F217">
        <v>24.338999999999999</v>
      </c>
      <c r="G217">
        <v>2016</v>
      </c>
      <c r="H217">
        <v>1</v>
      </c>
    </row>
    <row r="218" spans="1:52" hidden="1" x14ac:dyDescent="0.25">
      <c r="A218" t="s">
        <v>4</v>
      </c>
      <c r="B218" t="s">
        <v>55</v>
      </c>
      <c r="C218" t="s">
        <v>142</v>
      </c>
      <c r="D218">
        <v>47552</v>
      </c>
      <c r="E218" t="s">
        <v>707</v>
      </c>
      <c r="F218">
        <v>14.917</v>
      </c>
      <c r="G218">
        <v>2016</v>
      </c>
      <c r="H218">
        <v>1</v>
      </c>
    </row>
    <row r="219" spans="1:52" hidden="1" x14ac:dyDescent="0.25">
      <c r="A219" t="s">
        <v>4</v>
      </c>
      <c r="B219" t="s">
        <v>55</v>
      </c>
      <c r="C219" t="s">
        <v>143</v>
      </c>
      <c r="D219">
        <v>49303</v>
      </c>
      <c r="E219" t="s">
        <v>707</v>
      </c>
      <c r="F219">
        <v>20.512</v>
      </c>
      <c r="G219">
        <v>2016</v>
      </c>
      <c r="H219">
        <v>1</v>
      </c>
    </row>
    <row r="220" spans="1:52" hidden="1" x14ac:dyDescent="0.25">
      <c r="A220" t="s">
        <v>4</v>
      </c>
      <c r="B220" t="s">
        <v>55</v>
      </c>
      <c r="C220" t="s">
        <v>144</v>
      </c>
      <c r="D220">
        <v>54747</v>
      </c>
      <c r="E220" t="s">
        <v>707</v>
      </c>
      <c r="F220">
        <v>0</v>
      </c>
      <c r="G220">
        <v>2016</v>
      </c>
      <c r="H220">
        <v>1</v>
      </c>
    </row>
    <row r="221" spans="1:52" s="4" customFormat="1" hidden="1" x14ac:dyDescent="0.25">
      <c r="A221" s="4" t="s">
        <v>5</v>
      </c>
      <c r="B221" s="4" t="s">
        <v>56</v>
      </c>
      <c r="C221" s="4" t="s">
        <v>145</v>
      </c>
      <c r="D221" s="4">
        <v>39346</v>
      </c>
      <c r="E221" s="4" t="s">
        <v>707</v>
      </c>
      <c r="F221" s="4">
        <v>1.175</v>
      </c>
      <c r="G221" s="4">
        <v>2007</v>
      </c>
      <c r="AZ221" s="7"/>
    </row>
    <row r="222" spans="1:52" hidden="1" x14ac:dyDescent="0.25">
      <c r="A222" t="s">
        <v>5</v>
      </c>
      <c r="B222" t="s">
        <v>56</v>
      </c>
      <c r="C222" t="s">
        <v>146</v>
      </c>
      <c r="D222">
        <v>39347</v>
      </c>
      <c r="E222" t="s">
        <v>707</v>
      </c>
      <c r="F222">
        <v>2.3519999999999999</v>
      </c>
      <c r="G222">
        <v>2007</v>
      </c>
    </row>
    <row r="223" spans="1:52" hidden="1" x14ac:dyDescent="0.25">
      <c r="A223" t="s">
        <v>5</v>
      </c>
      <c r="B223" t="s">
        <v>56</v>
      </c>
      <c r="C223" t="s">
        <v>147</v>
      </c>
      <c r="D223">
        <v>39348</v>
      </c>
      <c r="E223" t="s">
        <v>708</v>
      </c>
      <c r="F223">
        <v>1.242</v>
      </c>
      <c r="G223">
        <v>2007</v>
      </c>
    </row>
    <row r="224" spans="1:52" hidden="1" x14ac:dyDescent="0.25">
      <c r="A224" t="s">
        <v>5</v>
      </c>
      <c r="B224" t="s">
        <v>56</v>
      </c>
      <c r="C224" t="s">
        <v>148</v>
      </c>
      <c r="D224">
        <v>39349</v>
      </c>
      <c r="E224" t="s">
        <v>707</v>
      </c>
      <c r="F224">
        <v>0</v>
      </c>
      <c r="G224">
        <v>2007</v>
      </c>
    </row>
    <row r="225" spans="1:10" hidden="1" x14ac:dyDescent="0.25">
      <c r="A225" t="s">
        <v>5</v>
      </c>
      <c r="B225" t="s">
        <v>56</v>
      </c>
      <c r="C225" t="s">
        <v>149</v>
      </c>
      <c r="D225">
        <v>39350</v>
      </c>
      <c r="E225" t="s">
        <v>707</v>
      </c>
      <c r="F225">
        <v>0</v>
      </c>
      <c r="G225">
        <v>2007</v>
      </c>
    </row>
    <row r="226" spans="1:10" hidden="1" x14ac:dyDescent="0.25">
      <c r="A226" t="s">
        <v>5</v>
      </c>
      <c r="B226" t="s">
        <v>56</v>
      </c>
      <c r="C226" t="s">
        <v>150</v>
      </c>
      <c r="D226">
        <v>39351</v>
      </c>
      <c r="E226" t="s">
        <v>707</v>
      </c>
      <c r="F226">
        <v>0</v>
      </c>
      <c r="G226">
        <v>2007</v>
      </c>
    </row>
    <row r="227" spans="1:10" hidden="1" x14ac:dyDescent="0.25">
      <c r="A227" t="s">
        <v>5</v>
      </c>
      <c r="B227" t="s">
        <v>56</v>
      </c>
      <c r="C227" t="s">
        <v>145</v>
      </c>
      <c r="D227">
        <v>39346</v>
      </c>
      <c r="E227" t="s">
        <v>707</v>
      </c>
      <c r="F227">
        <v>2.359</v>
      </c>
      <c r="G227">
        <v>2008</v>
      </c>
    </row>
    <row r="228" spans="1:10" hidden="1" x14ac:dyDescent="0.25">
      <c r="A228" t="s">
        <v>5</v>
      </c>
      <c r="B228" t="s">
        <v>56</v>
      </c>
      <c r="C228" t="s">
        <v>147</v>
      </c>
      <c r="D228">
        <v>39348</v>
      </c>
      <c r="E228" t="s">
        <v>708</v>
      </c>
      <c r="F228">
        <v>1.099</v>
      </c>
      <c r="G228">
        <v>2008</v>
      </c>
    </row>
    <row r="229" spans="1:10" hidden="1" x14ac:dyDescent="0.25">
      <c r="A229" t="s">
        <v>5</v>
      </c>
      <c r="B229" t="s">
        <v>56</v>
      </c>
      <c r="C229" t="s">
        <v>148</v>
      </c>
      <c r="D229">
        <v>39349</v>
      </c>
      <c r="E229" t="s">
        <v>707</v>
      </c>
      <c r="F229">
        <v>0</v>
      </c>
      <c r="G229">
        <v>2008</v>
      </c>
    </row>
    <row r="230" spans="1:10" hidden="1" x14ac:dyDescent="0.25">
      <c r="A230" t="s">
        <v>5</v>
      </c>
      <c r="B230" t="s">
        <v>56</v>
      </c>
      <c r="C230" t="s">
        <v>149</v>
      </c>
      <c r="D230">
        <v>39350</v>
      </c>
      <c r="E230" t="s">
        <v>707</v>
      </c>
      <c r="F230">
        <v>0</v>
      </c>
      <c r="G230">
        <v>2008</v>
      </c>
    </row>
    <row r="231" spans="1:10" hidden="1" x14ac:dyDescent="0.25">
      <c r="A231" t="s">
        <v>5</v>
      </c>
      <c r="B231" t="s">
        <v>56</v>
      </c>
      <c r="C231" t="s">
        <v>150</v>
      </c>
      <c r="D231">
        <v>39351</v>
      </c>
      <c r="E231" t="s">
        <v>707</v>
      </c>
      <c r="F231">
        <v>0</v>
      </c>
      <c r="G231">
        <v>2008</v>
      </c>
    </row>
    <row r="232" spans="1:10" hidden="1" x14ac:dyDescent="0.25">
      <c r="A232" t="s">
        <v>5</v>
      </c>
      <c r="B232" t="s">
        <v>56</v>
      </c>
      <c r="C232" t="s">
        <v>145</v>
      </c>
      <c r="D232">
        <v>39346</v>
      </c>
      <c r="E232" t="s">
        <v>707</v>
      </c>
      <c r="F232">
        <v>3.266</v>
      </c>
      <c r="G232">
        <v>2009</v>
      </c>
    </row>
    <row r="233" spans="1:10" hidden="1" x14ac:dyDescent="0.25">
      <c r="A233" t="s">
        <v>5</v>
      </c>
      <c r="B233" t="s">
        <v>56</v>
      </c>
      <c r="C233" t="s">
        <v>147</v>
      </c>
      <c r="D233">
        <v>39348</v>
      </c>
      <c r="E233" t="s">
        <v>708</v>
      </c>
      <c r="F233">
        <v>2.0070000000000001</v>
      </c>
      <c r="G233">
        <v>2009</v>
      </c>
    </row>
    <row r="234" spans="1:10" hidden="1" x14ac:dyDescent="0.25">
      <c r="A234" t="s">
        <v>5</v>
      </c>
      <c r="B234" t="s">
        <v>56</v>
      </c>
      <c r="C234" t="s">
        <v>148</v>
      </c>
      <c r="D234">
        <v>39349</v>
      </c>
      <c r="E234" t="s">
        <v>707</v>
      </c>
      <c r="F234">
        <v>0</v>
      </c>
      <c r="G234">
        <v>2009</v>
      </c>
    </row>
    <row r="235" spans="1:10" hidden="1" x14ac:dyDescent="0.25">
      <c r="A235" t="s">
        <v>5</v>
      </c>
      <c r="B235" t="s">
        <v>56</v>
      </c>
      <c r="C235" t="s">
        <v>149</v>
      </c>
      <c r="D235">
        <v>39350</v>
      </c>
      <c r="E235" t="s">
        <v>707</v>
      </c>
      <c r="F235">
        <v>6.43</v>
      </c>
      <c r="G235">
        <v>2009</v>
      </c>
    </row>
    <row r="236" spans="1:10" hidden="1" x14ac:dyDescent="0.25">
      <c r="A236" t="s">
        <v>5</v>
      </c>
      <c r="B236" t="s">
        <v>56</v>
      </c>
      <c r="C236" t="s">
        <v>150</v>
      </c>
      <c r="D236">
        <v>39351</v>
      </c>
      <c r="E236" t="s">
        <v>707</v>
      </c>
      <c r="F236">
        <v>6.4669999999999996</v>
      </c>
      <c r="G236">
        <v>2009</v>
      </c>
    </row>
    <row r="237" spans="1:10" hidden="1" x14ac:dyDescent="0.25">
      <c r="A237" t="s">
        <v>5</v>
      </c>
      <c r="B237" t="s">
        <v>56</v>
      </c>
      <c r="C237" t="s">
        <v>145</v>
      </c>
      <c r="D237">
        <v>39346</v>
      </c>
      <c r="E237" t="s">
        <v>707</v>
      </c>
      <c r="F237">
        <v>3.2970000000000002</v>
      </c>
      <c r="G237">
        <v>2010</v>
      </c>
      <c r="J237">
        <v>1801</v>
      </c>
    </row>
    <row r="238" spans="1:10" hidden="1" x14ac:dyDescent="0.25">
      <c r="A238" t="s">
        <v>5</v>
      </c>
      <c r="B238" t="s">
        <v>56</v>
      </c>
      <c r="C238" t="s">
        <v>147</v>
      </c>
      <c r="D238">
        <v>39348</v>
      </c>
      <c r="E238" t="s">
        <v>708</v>
      </c>
      <c r="F238">
        <v>1.4690000000000001</v>
      </c>
      <c r="G238">
        <v>2010</v>
      </c>
    </row>
    <row r="239" spans="1:10" hidden="1" x14ac:dyDescent="0.25">
      <c r="A239" t="s">
        <v>5</v>
      </c>
      <c r="B239" t="s">
        <v>56</v>
      </c>
      <c r="C239" t="s">
        <v>149</v>
      </c>
      <c r="D239">
        <v>39350</v>
      </c>
      <c r="E239" t="s">
        <v>707</v>
      </c>
      <c r="F239">
        <v>6.5860000000000003</v>
      </c>
      <c r="G239">
        <v>2010</v>
      </c>
    </row>
    <row r="240" spans="1:10" hidden="1" x14ac:dyDescent="0.25">
      <c r="A240" t="s">
        <v>5</v>
      </c>
      <c r="B240" t="s">
        <v>56</v>
      </c>
      <c r="C240" t="s">
        <v>150</v>
      </c>
      <c r="D240">
        <v>39351</v>
      </c>
      <c r="E240" t="s">
        <v>707</v>
      </c>
      <c r="F240">
        <v>7.2990000000000004</v>
      </c>
      <c r="G240">
        <v>2010</v>
      </c>
    </row>
    <row r="241" spans="1:28" hidden="1" x14ac:dyDescent="0.25">
      <c r="A241" t="s">
        <v>5</v>
      </c>
      <c r="B241" t="s">
        <v>56</v>
      </c>
      <c r="C241" t="s">
        <v>151</v>
      </c>
      <c r="D241">
        <v>43835</v>
      </c>
      <c r="E241" t="s">
        <v>707</v>
      </c>
      <c r="F241">
        <v>2.3679999999999999</v>
      </c>
      <c r="G241">
        <v>2010</v>
      </c>
      <c r="J241">
        <v>1467</v>
      </c>
    </row>
    <row r="242" spans="1:28" hidden="1" x14ac:dyDescent="0.25">
      <c r="A242" t="s">
        <v>5</v>
      </c>
      <c r="B242" t="s">
        <v>56</v>
      </c>
      <c r="C242" t="s">
        <v>145</v>
      </c>
      <c r="D242">
        <v>39346</v>
      </c>
      <c r="E242" t="s">
        <v>707</v>
      </c>
      <c r="F242">
        <v>4.2610000000000001</v>
      </c>
      <c r="G242">
        <v>2011</v>
      </c>
      <c r="J242">
        <v>2596</v>
      </c>
      <c r="M242" t="s">
        <v>749</v>
      </c>
    </row>
    <row r="243" spans="1:28" hidden="1" x14ac:dyDescent="0.25">
      <c r="A243" t="s">
        <v>5</v>
      </c>
      <c r="B243" t="s">
        <v>56</v>
      </c>
      <c r="C243" t="s">
        <v>147</v>
      </c>
      <c r="D243">
        <v>39348</v>
      </c>
      <c r="E243" t="s">
        <v>708</v>
      </c>
      <c r="F243">
        <v>1.6639999999999999</v>
      </c>
      <c r="G243">
        <v>2011</v>
      </c>
      <c r="M243" t="s">
        <v>749</v>
      </c>
    </row>
    <row r="244" spans="1:28" hidden="1" x14ac:dyDescent="0.25">
      <c r="A244" t="s">
        <v>5</v>
      </c>
      <c r="B244" t="s">
        <v>56</v>
      </c>
      <c r="C244" t="s">
        <v>149</v>
      </c>
      <c r="D244">
        <v>39350</v>
      </c>
      <c r="E244" t="s">
        <v>707</v>
      </c>
      <c r="F244">
        <v>8.0519999999999996</v>
      </c>
      <c r="G244">
        <v>2011</v>
      </c>
      <c r="M244" t="s">
        <v>749</v>
      </c>
    </row>
    <row r="245" spans="1:28" hidden="1" x14ac:dyDescent="0.25">
      <c r="A245" t="s">
        <v>5</v>
      </c>
      <c r="B245" t="s">
        <v>56</v>
      </c>
      <c r="C245" t="s">
        <v>150</v>
      </c>
      <c r="D245">
        <v>39351</v>
      </c>
      <c r="E245" t="s">
        <v>707</v>
      </c>
      <c r="F245">
        <v>8.0139999999999993</v>
      </c>
      <c r="G245">
        <v>2011</v>
      </c>
      <c r="M245" t="s">
        <v>749</v>
      </c>
    </row>
    <row r="246" spans="1:28" hidden="1" x14ac:dyDescent="0.25">
      <c r="A246" t="s">
        <v>5</v>
      </c>
      <c r="B246" t="s">
        <v>56</v>
      </c>
      <c r="C246" t="s">
        <v>151</v>
      </c>
      <c r="D246">
        <v>43835</v>
      </c>
      <c r="E246" t="s">
        <v>707</v>
      </c>
      <c r="F246">
        <v>3.3069999999999999</v>
      </c>
      <c r="G246">
        <v>2011</v>
      </c>
      <c r="J246">
        <v>2347</v>
      </c>
      <c r="M246" t="s">
        <v>749</v>
      </c>
    </row>
    <row r="247" spans="1:28" hidden="1" x14ac:dyDescent="0.25">
      <c r="A247" t="s">
        <v>5</v>
      </c>
      <c r="B247" t="s">
        <v>56</v>
      </c>
      <c r="C247" t="s">
        <v>145</v>
      </c>
      <c r="D247">
        <v>39346</v>
      </c>
      <c r="E247" t="s">
        <v>707</v>
      </c>
      <c r="F247">
        <v>4.8120000000000003</v>
      </c>
      <c r="G247">
        <v>2012</v>
      </c>
      <c r="J247">
        <v>2952</v>
      </c>
      <c r="M247" t="s">
        <v>749</v>
      </c>
    </row>
    <row r="248" spans="1:28" hidden="1" x14ac:dyDescent="0.25">
      <c r="A248" t="s">
        <v>5</v>
      </c>
      <c r="B248" t="s">
        <v>56</v>
      </c>
      <c r="C248" t="s">
        <v>147</v>
      </c>
      <c r="D248">
        <v>39348</v>
      </c>
      <c r="E248" t="s">
        <v>708</v>
      </c>
      <c r="F248">
        <v>1.778</v>
      </c>
      <c r="G248">
        <v>2012</v>
      </c>
      <c r="M248" t="s">
        <v>749</v>
      </c>
    </row>
    <row r="249" spans="1:28" hidden="1" x14ac:dyDescent="0.25">
      <c r="A249" t="s">
        <v>5</v>
      </c>
      <c r="B249" t="s">
        <v>56</v>
      </c>
      <c r="C249" t="s">
        <v>149</v>
      </c>
      <c r="D249">
        <v>39350</v>
      </c>
      <c r="E249" t="s">
        <v>707</v>
      </c>
      <c r="F249">
        <v>8.2550000000000008</v>
      </c>
      <c r="G249">
        <v>2012</v>
      </c>
      <c r="M249" t="s">
        <v>749</v>
      </c>
    </row>
    <row r="250" spans="1:28" hidden="1" x14ac:dyDescent="0.25">
      <c r="A250" t="s">
        <v>5</v>
      </c>
      <c r="B250" t="s">
        <v>56</v>
      </c>
      <c r="C250" t="s">
        <v>150</v>
      </c>
      <c r="D250">
        <v>39351</v>
      </c>
      <c r="E250" t="s">
        <v>707</v>
      </c>
      <c r="F250">
        <v>8.3490000000000002</v>
      </c>
      <c r="G250">
        <v>2012</v>
      </c>
      <c r="J250">
        <v>57</v>
      </c>
      <c r="M250" t="s">
        <v>749</v>
      </c>
    </row>
    <row r="251" spans="1:28" hidden="1" x14ac:dyDescent="0.25">
      <c r="A251" t="s">
        <v>5</v>
      </c>
      <c r="B251" t="s">
        <v>56</v>
      </c>
      <c r="C251" t="s">
        <v>152</v>
      </c>
      <c r="D251">
        <v>47163</v>
      </c>
      <c r="E251" t="s">
        <v>707</v>
      </c>
      <c r="F251">
        <v>8.33</v>
      </c>
      <c r="G251">
        <v>2012</v>
      </c>
      <c r="M251" t="s">
        <v>749</v>
      </c>
    </row>
    <row r="252" spans="1:28" hidden="1" x14ac:dyDescent="0.25">
      <c r="A252" t="s">
        <v>5</v>
      </c>
      <c r="B252" t="s">
        <v>56</v>
      </c>
      <c r="C252" t="s">
        <v>147</v>
      </c>
      <c r="D252">
        <v>39348</v>
      </c>
      <c r="E252" t="s">
        <v>708</v>
      </c>
      <c r="F252">
        <v>1.8879999999999999</v>
      </c>
      <c r="G252">
        <v>2013</v>
      </c>
      <c r="M252" t="s">
        <v>749</v>
      </c>
    </row>
    <row r="253" spans="1:28" hidden="1" x14ac:dyDescent="0.25">
      <c r="A253" t="s">
        <v>5</v>
      </c>
      <c r="B253" t="s">
        <v>56</v>
      </c>
      <c r="C253" t="s">
        <v>149</v>
      </c>
      <c r="D253">
        <v>39350</v>
      </c>
      <c r="E253" t="s">
        <v>707</v>
      </c>
      <c r="F253">
        <v>8.64</v>
      </c>
      <c r="G253">
        <v>2013</v>
      </c>
      <c r="M253" t="s">
        <v>749</v>
      </c>
    </row>
    <row r="254" spans="1:28" hidden="1" x14ac:dyDescent="0.25">
      <c r="A254" t="s">
        <v>5</v>
      </c>
      <c r="B254" t="s">
        <v>56</v>
      </c>
      <c r="C254" t="s">
        <v>150</v>
      </c>
      <c r="D254">
        <v>39351</v>
      </c>
      <c r="E254" t="s">
        <v>707</v>
      </c>
      <c r="F254">
        <v>11.523</v>
      </c>
      <c r="G254">
        <v>2013</v>
      </c>
      <c r="J254">
        <v>2875</v>
      </c>
      <c r="M254" t="s">
        <v>749</v>
      </c>
    </row>
    <row r="255" spans="1:28" hidden="1" x14ac:dyDescent="0.25">
      <c r="A255" t="s">
        <v>5</v>
      </c>
      <c r="B255" t="s">
        <v>56</v>
      </c>
      <c r="C255" t="s">
        <v>152</v>
      </c>
      <c r="D255">
        <v>47163</v>
      </c>
      <c r="E255" t="s">
        <v>707</v>
      </c>
      <c r="F255">
        <v>11.711</v>
      </c>
      <c r="G255">
        <v>2013</v>
      </c>
      <c r="J255">
        <v>3022</v>
      </c>
      <c r="M255" t="s">
        <v>749</v>
      </c>
    </row>
    <row r="256" spans="1:28" hidden="1" x14ac:dyDescent="0.25">
      <c r="A256" t="s">
        <v>5</v>
      </c>
      <c r="B256" t="s">
        <v>56</v>
      </c>
      <c r="C256" t="s">
        <v>153</v>
      </c>
      <c r="D256">
        <v>48871</v>
      </c>
      <c r="E256" t="s">
        <v>707</v>
      </c>
      <c r="F256">
        <v>53.265999999999998</v>
      </c>
      <c r="G256">
        <v>2013</v>
      </c>
      <c r="M256" t="s">
        <v>749</v>
      </c>
      <c r="AB256">
        <v>48434</v>
      </c>
    </row>
    <row r="257" spans="1:13" hidden="1" x14ac:dyDescent="0.25">
      <c r="A257" t="s">
        <v>5</v>
      </c>
      <c r="B257" t="s">
        <v>56</v>
      </c>
      <c r="C257" t="s">
        <v>147</v>
      </c>
      <c r="D257">
        <v>39348</v>
      </c>
      <c r="E257" t="s">
        <v>708</v>
      </c>
      <c r="F257">
        <v>6.5519999999999996</v>
      </c>
      <c r="G257">
        <v>2014</v>
      </c>
      <c r="M257" t="s">
        <v>749</v>
      </c>
    </row>
    <row r="258" spans="1:13" hidden="1" x14ac:dyDescent="0.25">
      <c r="A258" t="s">
        <v>5</v>
      </c>
      <c r="B258" t="s">
        <v>56</v>
      </c>
      <c r="C258" t="s">
        <v>149</v>
      </c>
      <c r="D258">
        <v>39350</v>
      </c>
      <c r="E258" t="s">
        <v>707</v>
      </c>
      <c r="F258">
        <v>9.2040000000000006</v>
      </c>
      <c r="G258">
        <v>2014</v>
      </c>
      <c r="M258" t="s">
        <v>749</v>
      </c>
    </row>
    <row r="259" spans="1:13" hidden="1" x14ac:dyDescent="0.25">
      <c r="A259" t="s">
        <v>5</v>
      </c>
      <c r="B259" t="s">
        <v>56</v>
      </c>
      <c r="C259" t="s">
        <v>150</v>
      </c>
      <c r="D259">
        <v>39351</v>
      </c>
      <c r="E259" t="s">
        <v>707</v>
      </c>
      <c r="F259">
        <v>13.21</v>
      </c>
      <c r="G259">
        <v>2014</v>
      </c>
      <c r="J259" t="s">
        <v>749</v>
      </c>
      <c r="M259" t="s">
        <v>749</v>
      </c>
    </row>
    <row r="260" spans="1:13" hidden="1" x14ac:dyDescent="0.25">
      <c r="A260" t="s">
        <v>5</v>
      </c>
      <c r="B260" t="s">
        <v>56</v>
      </c>
      <c r="C260" t="s">
        <v>152</v>
      </c>
      <c r="D260">
        <v>47163</v>
      </c>
      <c r="E260" t="s">
        <v>707</v>
      </c>
      <c r="F260">
        <v>12.724</v>
      </c>
      <c r="G260">
        <v>2014</v>
      </c>
      <c r="J260" t="s">
        <v>749</v>
      </c>
      <c r="M260" t="s">
        <v>749</v>
      </c>
    </row>
    <row r="261" spans="1:13" hidden="1" x14ac:dyDescent="0.25">
      <c r="A261" t="s">
        <v>5</v>
      </c>
      <c r="B261" t="s">
        <v>56</v>
      </c>
      <c r="C261" t="s">
        <v>153</v>
      </c>
      <c r="D261">
        <v>48871</v>
      </c>
      <c r="E261" t="s">
        <v>707</v>
      </c>
      <c r="F261">
        <v>9.2040000000000006</v>
      </c>
      <c r="G261">
        <v>2014</v>
      </c>
      <c r="M261" t="s">
        <v>749</v>
      </c>
    </row>
    <row r="262" spans="1:13" hidden="1" x14ac:dyDescent="0.25">
      <c r="A262" t="s">
        <v>5</v>
      </c>
      <c r="B262" t="s">
        <v>56</v>
      </c>
      <c r="C262" t="s">
        <v>147</v>
      </c>
      <c r="D262">
        <v>39348</v>
      </c>
      <c r="E262" t="s">
        <v>708</v>
      </c>
      <c r="F262">
        <v>6.7080000000000002</v>
      </c>
      <c r="G262">
        <v>2015</v>
      </c>
      <c r="M262" t="s">
        <v>749</v>
      </c>
    </row>
    <row r="263" spans="1:13" hidden="1" x14ac:dyDescent="0.25">
      <c r="A263" t="s">
        <v>5</v>
      </c>
      <c r="B263" t="s">
        <v>56</v>
      </c>
      <c r="C263" t="s">
        <v>149</v>
      </c>
      <c r="D263">
        <v>39350</v>
      </c>
      <c r="E263" t="s">
        <v>707</v>
      </c>
      <c r="F263">
        <v>9.36</v>
      </c>
      <c r="G263">
        <v>2015</v>
      </c>
      <c r="M263" t="s">
        <v>749</v>
      </c>
    </row>
    <row r="264" spans="1:13" hidden="1" x14ac:dyDescent="0.25">
      <c r="A264" t="s">
        <v>5</v>
      </c>
      <c r="B264" t="s">
        <v>56</v>
      </c>
      <c r="C264" t="s">
        <v>150</v>
      </c>
      <c r="D264">
        <v>39351</v>
      </c>
      <c r="E264" t="s">
        <v>707</v>
      </c>
      <c r="F264">
        <v>14.888</v>
      </c>
      <c r="G264">
        <v>2015</v>
      </c>
      <c r="J264" t="s">
        <v>749</v>
      </c>
      <c r="M264" t="s">
        <v>749</v>
      </c>
    </row>
    <row r="265" spans="1:13" hidden="1" x14ac:dyDescent="0.25">
      <c r="A265" t="s">
        <v>5</v>
      </c>
      <c r="B265" t="s">
        <v>56</v>
      </c>
      <c r="C265" t="s">
        <v>152</v>
      </c>
      <c r="D265">
        <v>47163</v>
      </c>
      <c r="E265" t="s">
        <v>707</v>
      </c>
      <c r="F265">
        <v>13.803000000000001</v>
      </c>
      <c r="G265">
        <v>2015</v>
      </c>
      <c r="J265" t="s">
        <v>749</v>
      </c>
      <c r="M265" t="s">
        <v>749</v>
      </c>
    </row>
    <row r="266" spans="1:13" hidden="1" x14ac:dyDescent="0.25">
      <c r="A266" t="s">
        <v>5</v>
      </c>
      <c r="B266" t="s">
        <v>56</v>
      </c>
      <c r="C266" t="s">
        <v>153</v>
      </c>
      <c r="D266">
        <v>48871</v>
      </c>
      <c r="E266" t="s">
        <v>707</v>
      </c>
      <c r="F266">
        <v>9.36</v>
      </c>
      <c r="G266">
        <v>2015</v>
      </c>
      <c r="M266" t="s">
        <v>749</v>
      </c>
    </row>
    <row r="267" spans="1:13" hidden="1" x14ac:dyDescent="0.25">
      <c r="A267" t="s">
        <v>5</v>
      </c>
      <c r="B267" t="s">
        <v>56</v>
      </c>
      <c r="C267" t="s">
        <v>147</v>
      </c>
      <c r="D267">
        <v>39348</v>
      </c>
      <c r="E267" t="s">
        <v>708</v>
      </c>
      <c r="F267">
        <v>7.367</v>
      </c>
      <c r="G267">
        <v>2016</v>
      </c>
      <c r="M267" t="s">
        <v>749</v>
      </c>
    </row>
    <row r="268" spans="1:13" hidden="1" x14ac:dyDescent="0.25">
      <c r="A268" t="s">
        <v>5</v>
      </c>
      <c r="B268" t="s">
        <v>56</v>
      </c>
      <c r="C268" t="s">
        <v>149</v>
      </c>
      <c r="D268">
        <v>39350</v>
      </c>
      <c r="E268" t="s">
        <v>707</v>
      </c>
      <c r="F268">
        <v>10.441000000000001</v>
      </c>
      <c r="G268">
        <v>2016</v>
      </c>
      <c r="M268" t="s">
        <v>749</v>
      </c>
    </row>
    <row r="269" spans="1:13" hidden="1" x14ac:dyDescent="0.25">
      <c r="A269" t="s">
        <v>5</v>
      </c>
      <c r="B269" t="s">
        <v>56</v>
      </c>
      <c r="C269" t="s">
        <v>150</v>
      </c>
      <c r="D269">
        <v>39351</v>
      </c>
      <c r="E269" t="s">
        <v>707</v>
      </c>
      <c r="F269">
        <v>16.242999999999999</v>
      </c>
      <c r="G269">
        <v>2016</v>
      </c>
      <c r="J269" t="s">
        <v>749</v>
      </c>
      <c r="M269" t="s">
        <v>749</v>
      </c>
    </row>
    <row r="270" spans="1:13" hidden="1" x14ac:dyDescent="0.25">
      <c r="A270" t="s">
        <v>5</v>
      </c>
      <c r="B270" t="s">
        <v>56</v>
      </c>
      <c r="C270" t="s">
        <v>152</v>
      </c>
      <c r="D270">
        <v>47163</v>
      </c>
      <c r="E270" t="s">
        <v>707</v>
      </c>
      <c r="F270">
        <v>14.311</v>
      </c>
      <c r="G270">
        <v>2016</v>
      </c>
      <c r="J270" t="s">
        <v>749</v>
      </c>
      <c r="M270" t="s">
        <v>749</v>
      </c>
    </row>
    <row r="271" spans="1:13" hidden="1" x14ac:dyDescent="0.25">
      <c r="A271" t="s">
        <v>5</v>
      </c>
      <c r="B271" t="s">
        <v>56</v>
      </c>
      <c r="C271" t="s">
        <v>153</v>
      </c>
      <c r="D271">
        <v>48871</v>
      </c>
      <c r="E271" t="s">
        <v>707</v>
      </c>
      <c r="F271">
        <v>10.766</v>
      </c>
      <c r="G271">
        <v>2016</v>
      </c>
      <c r="J271" t="s">
        <v>749</v>
      </c>
      <c r="M271" t="s">
        <v>749</v>
      </c>
    </row>
    <row r="272" spans="1:13" hidden="1" x14ac:dyDescent="0.25">
      <c r="A272" t="s">
        <v>5</v>
      </c>
      <c r="B272" t="s">
        <v>56</v>
      </c>
      <c r="C272" t="s">
        <v>147</v>
      </c>
      <c r="D272">
        <v>39348</v>
      </c>
      <c r="E272" t="s">
        <v>708</v>
      </c>
      <c r="F272">
        <v>7.2279999999999998</v>
      </c>
      <c r="G272">
        <v>2017</v>
      </c>
      <c r="H272">
        <v>1</v>
      </c>
    </row>
    <row r="273" spans="1:52" hidden="1" x14ac:dyDescent="0.25">
      <c r="A273" t="s">
        <v>5</v>
      </c>
      <c r="B273" t="s">
        <v>56</v>
      </c>
      <c r="C273" t="s">
        <v>149</v>
      </c>
      <c r="D273">
        <v>39350</v>
      </c>
      <c r="E273" t="s">
        <v>707</v>
      </c>
      <c r="F273">
        <v>10.244</v>
      </c>
      <c r="G273">
        <v>2017</v>
      </c>
      <c r="H273">
        <v>1</v>
      </c>
    </row>
    <row r="274" spans="1:52" hidden="1" x14ac:dyDescent="0.25">
      <c r="A274" t="s">
        <v>5</v>
      </c>
      <c r="B274" t="s">
        <v>56</v>
      </c>
      <c r="C274" t="s">
        <v>150</v>
      </c>
      <c r="D274">
        <v>39351</v>
      </c>
      <c r="E274" t="s">
        <v>707</v>
      </c>
      <c r="F274">
        <v>10.244</v>
      </c>
      <c r="G274">
        <v>2017</v>
      </c>
      <c r="H274">
        <v>1</v>
      </c>
    </row>
    <row r="275" spans="1:52" hidden="1" x14ac:dyDescent="0.25">
      <c r="A275" t="s">
        <v>5</v>
      </c>
      <c r="B275" t="s">
        <v>56</v>
      </c>
      <c r="C275" t="s">
        <v>153</v>
      </c>
      <c r="D275">
        <v>48871</v>
      </c>
      <c r="E275" t="s">
        <v>707</v>
      </c>
      <c r="F275">
        <v>10.244</v>
      </c>
      <c r="G275">
        <v>2017</v>
      </c>
      <c r="H275">
        <v>1</v>
      </c>
    </row>
    <row r="276" spans="1:52" hidden="1" x14ac:dyDescent="0.25">
      <c r="A276" t="s">
        <v>5</v>
      </c>
      <c r="B276" t="s">
        <v>56</v>
      </c>
      <c r="C276" t="s">
        <v>154</v>
      </c>
      <c r="D276">
        <v>61128</v>
      </c>
      <c r="E276" t="s">
        <v>707</v>
      </c>
      <c r="F276">
        <v>0</v>
      </c>
      <c r="G276">
        <v>2017</v>
      </c>
      <c r="H276">
        <v>1</v>
      </c>
    </row>
    <row r="277" spans="1:52" s="4" customFormat="1" hidden="1" x14ac:dyDescent="0.25">
      <c r="A277" s="4" t="s">
        <v>6</v>
      </c>
      <c r="B277" s="4" t="s">
        <v>57</v>
      </c>
      <c r="C277" s="4" t="s">
        <v>155</v>
      </c>
      <c r="D277" s="4">
        <v>20856</v>
      </c>
      <c r="E277" s="4" t="s">
        <v>708</v>
      </c>
      <c r="F277" s="4">
        <v>16.016999999999999</v>
      </c>
      <c r="G277" s="4">
        <v>2006</v>
      </c>
      <c r="J277" s="4" t="s">
        <v>749</v>
      </c>
      <c r="AZ277" s="7"/>
    </row>
    <row r="278" spans="1:52" hidden="1" x14ac:dyDescent="0.25">
      <c r="A278" t="s">
        <v>6</v>
      </c>
      <c r="B278" t="s">
        <v>57</v>
      </c>
      <c r="C278" t="s">
        <v>156</v>
      </c>
      <c r="D278">
        <v>23298</v>
      </c>
      <c r="E278" t="s">
        <v>707</v>
      </c>
      <c r="F278">
        <v>14.581</v>
      </c>
      <c r="G278">
        <v>2006</v>
      </c>
      <c r="J278" t="s">
        <v>749</v>
      </c>
    </row>
    <row r="279" spans="1:52" hidden="1" x14ac:dyDescent="0.25">
      <c r="A279" t="s">
        <v>6</v>
      </c>
      <c r="B279" t="s">
        <v>57</v>
      </c>
      <c r="C279" t="s">
        <v>157</v>
      </c>
      <c r="D279">
        <v>30095</v>
      </c>
      <c r="E279" t="s">
        <v>707</v>
      </c>
      <c r="F279">
        <v>10.047000000000001</v>
      </c>
      <c r="G279">
        <v>2006</v>
      </c>
      <c r="J279" t="s">
        <v>749</v>
      </c>
    </row>
    <row r="280" spans="1:52" hidden="1" x14ac:dyDescent="0.25">
      <c r="A280" t="s">
        <v>6</v>
      </c>
      <c r="B280" t="s">
        <v>57</v>
      </c>
      <c r="C280" t="s">
        <v>158</v>
      </c>
      <c r="D280">
        <v>30097</v>
      </c>
      <c r="E280" t="s">
        <v>707</v>
      </c>
      <c r="F280">
        <v>8.8000000000000007</v>
      </c>
      <c r="G280">
        <v>2006</v>
      </c>
      <c r="J280" t="s">
        <v>749</v>
      </c>
    </row>
    <row r="281" spans="1:52" hidden="1" x14ac:dyDescent="0.25">
      <c r="A281" t="s">
        <v>6</v>
      </c>
      <c r="B281" t="s">
        <v>57</v>
      </c>
      <c r="C281" t="s">
        <v>159</v>
      </c>
      <c r="D281">
        <v>31981</v>
      </c>
      <c r="E281" t="s">
        <v>707</v>
      </c>
      <c r="F281">
        <v>0</v>
      </c>
      <c r="G281">
        <v>2006</v>
      </c>
      <c r="J281" t="s">
        <v>749</v>
      </c>
      <c r="AB281" t="s">
        <v>749</v>
      </c>
    </row>
    <row r="282" spans="1:52" hidden="1" x14ac:dyDescent="0.25">
      <c r="A282" t="s">
        <v>6</v>
      </c>
      <c r="B282" t="s">
        <v>57</v>
      </c>
      <c r="C282" t="s">
        <v>155</v>
      </c>
      <c r="D282">
        <v>20856</v>
      </c>
      <c r="E282" t="s">
        <v>708</v>
      </c>
      <c r="F282">
        <v>1337.433</v>
      </c>
      <c r="G282">
        <v>2007</v>
      </c>
      <c r="L282">
        <v>198</v>
      </c>
      <c r="P282">
        <v>1314</v>
      </c>
      <c r="AK282" t="s">
        <v>749</v>
      </c>
      <c r="AR282">
        <v>979</v>
      </c>
      <c r="AX282" t="s">
        <v>749</v>
      </c>
    </row>
    <row r="283" spans="1:52" hidden="1" x14ac:dyDescent="0.25">
      <c r="A283" t="s">
        <v>6</v>
      </c>
      <c r="B283" t="s">
        <v>57</v>
      </c>
      <c r="C283" t="s">
        <v>156</v>
      </c>
      <c r="D283">
        <v>23298</v>
      </c>
      <c r="E283" t="s">
        <v>707</v>
      </c>
      <c r="F283">
        <v>10.438000000000001</v>
      </c>
      <c r="G283">
        <v>2007</v>
      </c>
      <c r="J283">
        <v>9000</v>
      </c>
      <c r="L283">
        <v>277</v>
      </c>
      <c r="P283">
        <v>781</v>
      </c>
      <c r="AR283">
        <v>380</v>
      </c>
    </row>
    <row r="284" spans="1:52" hidden="1" x14ac:dyDescent="0.25">
      <c r="A284" t="s">
        <v>6</v>
      </c>
      <c r="B284" t="s">
        <v>57</v>
      </c>
      <c r="C284" t="s">
        <v>157</v>
      </c>
      <c r="D284">
        <v>30095</v>
      </c>
      <c r="E284" t="s">
        <v>707</v>
      </c>
      <c r="F284">
        <v>9.3360000000000003</v>
      </c>
      <c r="G284">
        <v>2007</v>
      </c>
      <c r="J284">
        <v>9000</v>
      </c>
      <c r="L284">
        <v>336</v>
      </c>
    </row>
    <row r="285" spans="1:52" hidden="1" x14ac:dyDescent="0.25">
      <c r="A285" t="s">
        <v>6</v>
      </c>
      <c r="B285" t="s">
        <v>57</v>
      </c>
      <c r="C285" t="s">
        <v>159</v>
      </c>
      <c r="D285">
        <v>31981</v>
      </c>
      <c r="E285" t="s">
        <v>707</v>
      </c>
      <c r="F285">
        <v>0.315</v>
      </c>
      <c r="G285">
        <v>2007</v>
      </c>
      <c r="L285">
        <v>315</v>
      </c>
    </row>
    <row r="286" spans="1:52" hidden="1" x14ac:dyDescent="0.25">
      <c r="A286" t="s">
        <v>6</v>
      </c>
      <c r="B286" t="s">
        <v>57</v>
      </c>
      <c r="C286" t="s">
        <v>160</v>
      </c>
      <c r="D286">
        <v>33842</v>
      </c>
      <c r="E286" t="s">
        <v>707</v>
      </c>
      <c r="F286">
        <v>42.59</v>
      </c>
      <c r="G286">
        <v>2007</v>
      </c>
      <c r="J286">
        <v>9000</v>
      </c>
      <c r="L286">
        <v>281</v>
      </c>
      <c r="P286">
        <v>8235</v>
      </c>
      <c r="AB286">
        <v>21300</v>
      </c>
      <c r="AR286">
        <v>2823</v>
      </c>
    </row>
    <row r="287" spans="1:52" hidden="1" x14ac:dyDescent="0.25">
      <c r="A287" t="s">
        <v>6</v>
      </c>
      <c r="B287" t="s">
        <v>57</v>
      </c>
      <c r="C287" t="s">
        <v>161</v>
      </c>
      <c r="D287">
        <v>33843</v>
      </c>
      <c r="E287" t="s">
        <v>707</v>
      </c>
      <c r="F287">
        <v>170.79599999999999</v>
      </c>
      <c r="G287">
        <v>2007</v>
      </c>
      <c r="J287">
        <v>9000</v>
      </c>
      <c r="L287">
        <v>252</v>
      </c>
      <c r="P287">
        <v>777</v>
      </c>
      <c r="AB287">
        <v>90292</v>
      </c>
      <c r="AR287">
        <v>70475</v>
      </c>
    </row>
    <row r="288" spans="1:52" hidden="1" x14ac:dyDescent="0.25">
      <c r="A288" t="s">
        <v>6</v>
      </c>
      <c r="B288" t="s">
        <v>57</v>
      </c>
      <c r="C288" t="s">
        <v>162</v>
      </c>
      <c r="D288">
        <v>33844</v>
      </c>
      <c r="E288" t="s">
        <v>707</v>
      </c>
      <c r="F288">
        <v>11.622</v>
      </c>
      <c r="G288">
        <v>2007</v>
      </c>
      <c r="J288">
        <v>8631</v>
      </c>
      <c r="L288">
        <v>227</v>
      </c>
      <c r="P288">
        <v>1860</v>
      </c>
      <c r="AR288">
        <v>904</v>
      </c>
    </row>
    <row r="289" spans="1:44" hidden="1" x14ac:dyDescent="0.25">
      <c r="A289" t="s">
        <v>6</v>
      </c>
      <c r="B289" t="s">
        <v>57</v>
      </c>
      <c r="C289" t="s">
        <v>157</v>
      </c>
      <c r="D289">
        <v>30095</v>
      </c>
      <c r="E289" t="s">
        <v>707</v>
      </c>
      <c r="F289">
        <v>12.731</v>
      </c>
      <c r="G289">
        <v>2008</v>
      </c>
      <c r="J289">
        <v>9200</v>
      </c>
      <c r="L289">
        <v>375</v>
      </c>
      <c r="P289">
        <v>2124</v>
      </c>
      <c r="AB289">
        <v>30629</v>
      </c>
      <c r="AR289">
        <v>1032</v>
      </c>
    </row>
    <row r="290" spans="1:44" hidden="1" x14ac:dyDescent="0.25">
      <c r="A290" t="s">
        <v>6</v>
      </c>
      <c r="B290" t="s">
        <v>57</v>
      </c>
      <c r="C290" t="s">
        <v>159</v>
      </c>
      <c r="D290">
        <v>31981</v>
      </c>
      <c r="E290" t="s">
        <v>707</v>
      </c>
      <c r="F290">
        <v>4.47</v>
      </c>
      <c r="G290">
        <v>2008</v>
      </c>
      <c r="L290">
        <v>395</v>
      </c>
      <c r="P290">
        <v>2875</v>
      </c>
      <c r="AR290">
        <v>1200</v>
      </c>
    </row>
    <row r="291" spans="1:44" hidden="1" x14ac:dyDescent="0.25">
      <c r="A291" t="s">
        <v>6</v>
      </c>
      <c r="B291" t="s">
        <v>57</v>
      </c>
      <c r="C291" t="s">
        <v>160</v>
      </c>
      <c r="D291">
        <v>33842</v>
      </c>
      <c r="E291" t="s">
        <v>708</v>
      </c>
      <c r="F291">
        <v>71.474999999999994</v>
      </c>
      <c r="G291">
        <v>2008</v>
      </c>
      <c r="J291">
        <v>9200</v>
      </c>
      <c r="L291">
        <v>450</v>
      </c>
      <c r="P291">
        <v>4766</v>
      </c>
      <c r="X291">
        <v>1205</v>
      </c>
      <c r="AR291">
        <v>25225</v>
      </c>
    </row>
    <row r="292" spans="1:44" hidden="1" x14ac:dyDescent="0.25">
      <c r="A292" t="s">
        <v>6</v>
      </c>
      <c r="B292" t="s">
        <v>57</v>
      </c>
      <c r="C292" t="s">
        <v>162</v>
      </c>
      <c r="D292">
        <v>33844</v>
      </c>
      <c r="E292" t="s">
        <v>707</v>
      </c>
      <c r="F292">
        <v>9.5660000000000007</v>
      </c>
      <c r="G292">
        <v>2008</v>
      </c>
      <c r="J292">
        <v>9308</v>
      </c>
      <c r="L292">
        <v>258</v>
      </c>
    </row>
    <row r="293" spans="1:44" hidden="1" x14ac:dyDescent="0.25">
      <c r="A293" t="s">
        <v>6</v>
      </c>
      <c r="B293" t="s">
        <v>57</v>
      </c>
      <c r="C293" t="s">
        <v>163</v>
      </c>
      <c r="D293">
        <v>36561</v>
      </c>
      <c r="E293" t="s">
        <v>707</v>
      </c>
      <c r="F293">
        <v>89.483000000000004</v>
      </c>
      <c r="G293">
        <v>2008</v>
      </c>
      <c r="J293">
        <v>9200</v>
      </c>
      <c r="L293">
        <v>293</v>
      </c>
      <c r="O293" t="s">
        <v>749</v>
      </c>
      <c r="P293" t="s">
        <v>749</v>
      </c>
      <c r="AD293">
        <v>37370</v>
      </c>
      <c r="AR293">
        <v>24214</v>
      </c>
    </row>
    <row r="294" spans="1:44" hidden="1" x14ac:dyDescent="0.25">
      <c r="A294" t="s">
        <v>6</v>
      </c>
      <c r="B294" t="s">
        <v>57</v>
      </c>
      <c r="C294" t="s">
        <v>157</v>
      </c>
      <c r="D294">
        <v>30095</v>
      </c>
      <c r="E294" t="s">
        <v>707</v>
      </c>
      <c r="F294">
        <v>80</v>
      </c>
      <c r="G294">
        <v>2009</v>
      </c>
      <c r="J294">
        <v>9800</v>
      </c>
      <c r="L294">
        <v>200</v>
      </c>
      <c r="AO294">
        <v>70000</v>
      </c>
    </row>
    <row r="295" spans="1:44" hidden="1" x14ac:dyDescent="0.25">
      <c r="A295" t="s">
        <v>6</v>
      </c>
      <c r="B295" t="s">
        <v>57</v>
      </c>
      <c r="C295" t="s">
        <v>159</v>
      </c>
      <c r="D295">
        <v>31981</v>
      </c>
      <c r="E295" t="s">
        <v>707</v>
      </c>
      <c r="F295">
        <v>9.6289999999999996</v>
      </c>
      <c r="G295">
        <v>2009</v>
      </c>
      <c r="L295">
        <v>297</v>
      </c>
      <c r="P295">
        <v>6584</v>
      </c>
      <c r="AR295">
        <v>2748</v>
      </c>
    </row>
    <row r="296" spans="1:44" hidden="1" x14ac:dyDescent="0.25">
      <c r="A296" t="s">
        <v>6</v>
      </c>
      <c r="B296" t="s">
        <v>57</v>
      </c>
      <c r="C296" t="s">
        <v>160</v>
      </c>
      <c r="D296">
        <v>33842</v>
      </c>
      <c r="E296" t="s">
        <v>708</v>
      </c>
      <c r="F296">
        <v>22.738</v>
      </c>
      <c r="G296">
        <v>2009</v>
      </c>
      <c r="J296">
        <v>9800</v>
      </c>
      <c r="L296">
        <v>412</v>
      </c>
      <c r="P296">
        <v>7617</v>
      </c>
      <c r="Y296">
        <v>1208</v>
      </c>
      <c r="AR296">
        <v>3701</v>
      </c>
    </row>
    <row r="297" spans="1:44" hidden="1" x14ac:dyDescent="0.25">
      <c r="A297" t="s">
        <v>6</v>
      </c>
      <c r="B297" t="s">
        <v>57</v>
      </c>
      <c r="C297" t="s">
        <v>162</v>
      </c>
      <c r="D297">
        <v>33844</v>
      </c>
      <c r="E297" t="s">
        <v>707</v>
      </c>
      <c r="F297">
        <v>9.391</v>
      </c>
      <c r="G297">
        <v>2009</v>
      </c>
      <c r="J297">
        <v>9200</v>
      </c>
      <c r="L297">
        <v>191</v>
      </c>
    </row>
    <row r="298" spans="1:44" hidden="1" x14ac:dyDescent="0.25">
      <c r="A298" t="s">
        <v>6</v>
      </c>
      <c r="B298" t="s">
        <v>57</v>
      </c>
      <c r="C298" t="s">
        <v>163</v>
      </c>
      <c r="D298">
        <v>36561</v>
      </c>
      <c r="E298" t="s">
        <v>707</v>
      </c>
      <c r="F298">
        <v>31.218</v>
      </c>
      <c r="G298">
        <v>2009</v>
      </c>
      <c r="J298">
        <v>9800</v>
      </c>
      <c r="L298">
        <v>233</v>
      </c>
      <c r="O298">
        <v>2784</v>
      </c>
      <c r="AB298">
        <v>12580</v>
      </c>
      <c r="AR298">
        <v>5821</v>
      </c>
    </row>
    <row r="299" spans="1:44" hidden="1" x14ac:dyDescent="0.25">
      <c r="A299" t="s">
        <v>6</v>
      </c>
      <c r="B299" t="s">
        <v>57</v>
      </c>
      <c r="C299" t="s">
        <v>164</v>
      </c>
      <c r="D299">
        <v>38748</v>
      </c>
      <c r="E299" t="s">
        <v>707</v>
      </c>
      <c r="F299">
        <v>8.3770000000000007</v>
      </c>
      <c r="G299">
        <v>2009</v>
      </c>
      <c r="J299">
        <v>8308</v>
      </c>
      <c r="L299">
        <v>69</v>
      </c>
    </row>
    <row r="300" spans="1:44" hidden="1" x14ac:dyDescent="0.25">
      <c r="A300" t="s">
        <v>6</v>
      </c>
      <c r="B300" t="s">
        <v>57</v>
      </c>
      <c r="C300" t="s">
        <v>160</v>
      </c>
      <c r="D300">
        <v>33842</v>
      </c>
      <c r="E300" t="s">
        <v>708</v>
      </c>
      <c r="F300">
        <v>15.913</v>
      </c>
      <c r="G300">
        <v>2010</v>
      </c>
      <c r="J300">
        <v>9615</v>
      </c>
      <c r="L300">
        <v>413</v>
      </c>
      <c r="P300">
        <v>3123</v>
      </c>
      <c r="X300">
        <v>1245</v>
      </c>
      <c r="AR300">
        <v>1517</v>
      </c>
    </row>
    <row r="301" spans="1:44" hidden="1" x14ac:dyDescent="0.25">
      <c r="A301" t="s">
        <v>6</v>
      </c>
      <c r="B301" t="s">
        <v>57</v>
      </c>
      <c r="C301" t="s">
        <v>163</v>
      </c>
      <c r="D301">
        <v>36561</v>
      </c>
      <c r="E301" t="s">
        <v>707</v>
      </c>
      <c r="F301">
        <v>13.013</v>
      </c>
      <c r="G301">
        <v>2010</v>
      </c>
      <c r="H301">
        <v>1</v>
      </c>
    </row>
    <row r="302" spans="1:44" hidden="1" x14ac:dyDescent="0.25">
      <c r="A302" t="s">
        <v>6</v>
      </c>
      <c r="B302" t="s">
        <v>57</v>
      </c>
      <c r="C302" t="s">
        <v>164</v>
      </c>
      <c r="D302">
        <v>38748</v>
      </c>
      <c r="E302" t="s">
        <v>707</v>
      </c>
      <c r="F302">
        <v>11.589</v>
      </c>
      <c r="G302">
        <v>2010</v>
      </c>
      <c r="J302">
        <v>11292</v>
      </c>
      <c r="L302">
        <v>297</v>
      </c>
    </row>
    <row r="303" spans="1:44" hidden="1" x14ac:dyDescent="0.25">
      <c r="A303" t="s">
        <v>6</v>
      </c>
      <c r="B303" t="s">
        <v>57</v>
      </c>
      <c r="C303" t="s">
        <v>165</v>
      </c>
      <c r="D303">
        <v>43106</v>
      </c>
      <c r="E303" t="s">
        <v>707</v>
      </c>
      <c r="F303">
        <v>10.130000000000001</v>
      </c>
      <c r="G303">
        <v>2010</v>
      </c>
      <c r="J303">
        <v>9800</v>
      </c>
      <c r="L303">
        <v>330</v>
      </c>
    </row>
    <row r="304" spans="1:44" hidden="1" x14ac:dyDescent="0.25">
      <c r="A304" t="s">
        <v>6</v>
      </c>
      <c r="B304" t="s">
        <v>57</v>
      </c>
      <c r="C304" t="s">
        <v>166</v>
      </c>
      <c r="D304">
        <v>43107</v>
      </c>
      <c r="E304" t="s">
        <v>707</v>
      </c>
      <c r="F304">
        <v>0.33</v>
      </c>
      <c r="G304">
        <v>2010</v>
      </c>
      <c r="L304">
        <v>330</v>
      </c>
    </row>
    <row r="305" spans="1:50" hidden="1" x14ac:dyDescent="0.25">
      <c r="A305" t="s">
        <v>6</v>
      </c>
      <c r="B305" t="s">
        <v>57</v>
      </c>
      <c r="C305" t="s">
        <v>167</v>
      </c>
      <c r="D305">
        <v>43108</v>
      </c>
      <c r="E305" t="s">
        <v>707</v>
      </c>
      <c r="F305">
        <v>0.29699999999999999</v>
      </c>
      <c r="G305">
        <v>2010</v>
      </c>
      <c r="L305">
        <v>297</v>
      </c>
    </row>
    <row r="306" spans="1:50" hidden="1" x14ac:dyDescent="0.25">
      <c r="A306" t="s">
        <v>6</v>
      </c>
      <c r="B306" t="s">
        <v>57</v>
      </c>
      <c r="C306" t="s">
        <v>160</v>
      </c>
      <c r="D306">
        <v>33842</v>
      </c>
      <c r="E306" t="s">
        <v>708</v>
      </c>
      <c r="F306">
        <v>16.795999999999999</v>
      </c>
      <c r="G306">
        <v>2011</v>
      </c>
      <c r="J306">
        <v>8492</v>
      </c>
      <c r="L306">
        <v>429</v>
      </c>
      <c r="P306">
        <v>4454</v>
      </c>
      <c r="X306">
        <v>1257</v>
      </c>
      <c r="AR306">
        <v>2164</v>
      </c>
    </row>
    <row r="307" spans="1:50" hidden="1" x14ac:dyDescent="0.25">
      <c r="A307" t="s">
        <v>6</v>
      </c>
      <c r="B307" t="s">
        <v>57</v>
      </c>
      <c r="C307" t="s">
        <v>163</v>
      </c>
      <c r="D307">
        <v>36561</v>
      </c>
      <c r="E307" t="s">
        <v>707</v>
      </c>
      <c r="F307">
        <v>10.064</v>
      </c>
      <c r="G307">
        <v>2011</v>
      </c>
      <c r="J307">
        <v>9800</v>
      </c>
      <c r="L307">
        <v>264</v>
      </c>
    </row>
    <row r="308" spans="1:50" hidden="1" x14ac:dyDescent="0.25">
      <c r="A308" t="s">
        <v>6</v>
      </c>
      <c r="B308" t="s">
        <v>57</v>
      </c>
      <c r="C308" t="s">
        <v>164</v>
      </c>
      <c r="D308">
        <v>38748</v>
      </c>
      <c r="E308" t="s">
        <v>707</v>
      </c>
      <c r="F308">
        <v>323.077</v>
      </c>
      <c r="G308">
        <v>2011</v>
      </c>
      <c r="J308">
        <v>2954</v>
      </c>
      <c r="L308">
        <v>123</v>
      </c>
      <c r="AW308">
        <v>320000</v>
      </c>
    </row>
    <row r="309" spans="1:50" hidden="1" x14ac:dyDescent="0.25">
      <c r="A309" t="s">
        <v>6</v>
      </c>
      <c r="B309" t="s">
        <v>57</v>
      </c>
      <c r="C309" t="s">
        <v>165</v>
      </c>
      <c r="D309">
        <v>43106</v>
      </c>
      <c r="E309" t="s">
        <v>707</v>
      </c>
      <c r="F309">
        <v>10.130000000000001</v>
      </c>
      <c r="G309">
        <v>2011</v>
      </c>
      <c r="J309">
        <v>9800</v>
      </c>
      <c r="L309">
        <v>330</v>
      </c>
    </row>
    <row r="310" spans="1:50" hidden="1" x14ac:dyDescent="0.25">
      <c r="A310" t="s">
        <v>6</v>
      </c>
      <c r="B310" t="s">
        <v>57</v>
      </c>
      <c r="C310" t="s">
        <v>166</v>
      </c>
      <c r="D310">
        <v>43107</v>
      </c>
      <c r="E310" t="s">
        <v>707</v>
      </c>
      <c r="F310">
        <v>13.073</v>
      </c>
      <c r="G310">
        <v>2011</v>
      </c>
      <c r="J310">
        <v>9959</v>
      </c>
      <c r="L310">
        <v>363</v>
      </c>
      <c r="P310">
        <v>2024</v>
      </c>
      <c r="AR310">
        <v>728</v>
      </c>
    </row>
    <row r="311" spans="1:50" hidden="1" x14ac:dyDescent="0.25">
      <c r="A311" t="s">
        <v>6</v>
      </c>
      <c r="B311" t="s">
        <v>57</v>
      </c>
      <c r="C311" t="s">
        <v>167</v>
      </c>
      <c r="D311">
        <v>43108</v>
      </c>
      <c r="E311" t="s">
        <v>707</v>
      </c>
      <c r="F311">
        <v>1036.7750000000001</v>
      </c>
      <c r="G311">
        <v>2011</v>
      </c>
      <c r="J311">
        <v>5054</v>
      </c>
      <c r="L311">
        <v>173</v>
      </c>
      <c r="AX311">
        <v>1031548</v>
      </c>
    </row>
    <row r="312" spans="1:50" hidden="1" x14ac:dyDescent="0.25">
      <c r="A312" t="s">
        <v>6</v>
      </c>
      <c r="B312" t="s">
        <v>57</v>
      </c>
      <c r="C312" t="s">
        <v>168</v>
      </c>
      <c r="D312">
        <v>44828</v>
      </c>
      <c r="E312" t="s">
        <v>707</v>
      </c>
      <c r="F312">
        <v>10.371</v>
      </c>
      <c r="G312">
        <v>2011</v>
      </c>
      <c r="J312">
        <v>10123</v>
      </c>
      <c r="L312">
        <v>248</v>
      </c>
    </row>
    <row r="313" spans="1:50" hidden="1" x14ac:dyDescent="0.25">
      <c r="A313" t="s">
        <v>6</v>
      </c>
      <c r="B313" t="s">
        <v>57</v>
      </c>
      <c r="C313" t="s">
        <v>160</v>
      </c>
      <c r="D313">
        <v>33842</v>
      </c>
      <c r="E313" t="s">
        <v>707</v>
      </c>
      <c r="F313">
        <v>7.88</v>
      </c>
      <c r="G313">
        <v>2012</v>
      </c>
      <c r="J313">
        <v>6138</v>
      </c>
      <c r="L313">
        <v>446</v>
      </c>
      <c r="X313">
        <v>1296</v>
      </c>
    </row>
    <row r="314" spans="1:50" hidden="1" x14ac:dyDescent="0.25">
      <c r="A314" t="s">
        <v>6</v>
      </c>
      <c r="B314" t="s">
        <v>57</v>
      </c>
      <c r="C314" t="s">
        <v>163</v>
      </c>
      <c r="D314">
        <v>36561</v>
      </c>
      <c r="E314" t="s">
        <v>707</v>
      </c>
      <c r="F314">
        <v>10.064</v>
      </c>
      <c r="G314">
        <v>2012</v>
      </c>
      <c r="H314">
        <v>1</v>
      </c>
    </row>
    <row r="315" spans="1:50" hidden="1" x14ac:dyDescent="0.25">
      <c r="A315" t="s">
        <v>6</v>
      </c>
      <c r="B315" t="s">
        <v>57</v>
      </c>
      <c r="C315" t="s">
        <v>165</v>
      </c>
      <c r="D315">
        <v>43106</v>
      </c>
      <c r="E315" t="s">
        <v>707</v>
      </c>
      <c r="F315">
        <v>8.6069999999999993</v>
      </c>
      <c r="G315">
        <v>2012</v>
      </c>
      <c r="J315">
        <v>8277</v>
      </c>
      <c r="L315">
        <v>330</v>
      </c>
    </row>
    <row r="316" spans="1:50" hidden="1" x14ac:dyDescent="0.25">
      <c r="A316" t="s">
        <v>6</v>
      </c>
      <c r="B316" t="s">
        <v>57</v>
      </c>
      <c r="C316" t="s">
        <v>166</v>
      </c>
      <c r="D316">
        <v>43107</v>
      </c>
      <c r="E316" t="s">
        <v>707</v>
      </c>
      <c r="F316">
        <v>10.441000000000001</v>
      </c>
      <c r="G316">
        <v>2012</v>
      </c>
      <c r="J316">
        <v>10077</v>
      </c>
      <c r="L316">
        <v>364</v>
      </c>
    </row>
    <row r="317" spans="1:50" hidden="1" x14ac:dyDescent="0.25">
      <c r="A317" t="s">
        <v>6</v>
      </c>
      <c r="B317" t="s">
        <v>57</v>
      </c>
      <c r="C317" t="s">
        <v>168</v>
      </c>
      <c r="D317">
        <v>44828</v>
      </c>
      <c r="E317" t="s">
        <v>707</v>
      </c>
      <c r="F317">
        <v>159.148</v>
      </c>
      <c r="G317">
        <v>2012</v>
      </c>
      <c r="J317">
        <v>9762</v>
      </c>
      <c r="L317">
        <v>264</v>
      </c>
      <c r="AB317">
        <v>110568</v>
      </c>
      <c r="AP317">
        <v>38554</v>
      </c>
    </row>
    <row r="318" spans="1:50" hidden="1" x14ac:dyDescent="0.25">
      <c r="A318" t="s">
        <v>6</v>
      </c>
      <c r="B318" t="s">
        <v>57</v>
      </c>
      <c r="C318" t="s">
        <v>169</v>
      </c>
      <c r="D318">
        <v>46486</v>
      </c>
      <c r="E318" t="s">
        <v>707</v>
      </c>
      <c r="F318">
        <v>6.484</v>
      </c>
      <c r="G318">
        <v>2012</v>
      </c>
      <c r="J318">
        <v>6154</v>
      </c>
      <c r="L318">
        <v>330</v>
      </c>
    </row>
    <row r="319" spans="1:50" hidden="1" x14ac:dyDescent="0.25">
      <c r="A319" t="s">
        <v>6</v>
      </c>
      <c r="B319" t="s">
        <v>57</v>
      </c>
      <c r="C319" t="s">
        <v>170</v>
      </c>
      <c r="D319">
        <v>46487</v>
      </c>
      <c r="E319" t="s">
        <v>708</v>
      </c>
      <c r="F319">
        <v>35.246000000000002</v>
      </c>
      <c r="G319">
        <v>2012</v>
      </c>
      <c r="J319">
        <v>9800</v>
      </c>
      <c r="L319">
        <v>446</v>
      </c>
      <c r="Z319">
        <v>25000</v>
      </c>
    </row>
    <row r="320" spans="1:50" hidden="1" x14ac:dyDescent="0.25">
      <c r="A320" t="s">
        <v>6</v>
      </c>
      <c r="B320" t="s">
        <v>57</v>
      </c>
      <c r="C320" t="s">
        <v>171</v>
      </c>
      <c r="D320">
        <v>46488</v>
      </c>
      <c r="E320" t="s">
        <v>707</v>
      </c>
      <c r="F320">
        <v>0.26400000000000001</v>
      </c>
      <c r="G320">
        <v>2012</v>
      </c>
      <c r="L320">
        <v>264</v>
      </c>
    </row>
    <row r="321" spans="1:44" hidden="1" x14ac:dyDescent="0.25">
      <c r="A321" t="s">
        <v>6</v>
      </c>
      <c r="B321" t="s">
        <v>57</v>
      </c>
      <c r="C321" t="s">
        <v>163</v>
      </c>
      <c r="D321">
        <v>36561</v>
      </c>
      <c r="E321" t="s">
        <v>707</v>
      </c>
      <c r="F321">
        <v>10.616</v>
      </c>
      <c r="G321">
        <v>2013</v>
      </c>
      <c r="J321">
        <v>10400</v>
      </c>
      <c r="L321">
        <v>216</v>
      </c>
    </row>
    <row r="322" spans="1:44" hidden="1" x14ac:dyDescent="0.25">
      <c r="A322" t="s">
        <v>6</v>
      </c>
      <c r="B322" t="s">
        <v>57</v>
      </c>
      <c r="C322" t="s">
        <v>168</v>
      </c>
      <c r="D322">
        <v>44828</v>
      </c>
      <c r="E322" t="s">
        <v>707</v>
      </c>
      <c r="F322">
        <v>46.137</v>
      </c>
      <c r="G322">
        <v>2013</v>
      </c>
      <c r="J322">
        <v>10615</v>
      </c>
      <c r="L322">
        <v>216</v>
      </c>
      <c r="P322">
        <v>316</v>
      </c>
      <c r="AB322">
        <v>17560</v>
      </c>
      <c r="AP322" t="s">
        <v>749</v>
      </c>
      <c r="AR322" t="s">
        <v>749</v>
      </c>
    </row>
    <row r="323" spans="1:44" hidden="1" x14ac:dyDescent="0.25">
      <c r="A323" t="s">
        <v>6</v>
      </c>
      <c r="B323" t="s">
        <v>57</v>
      </c>
      <c r="C323" t="s">
        <v>169</v>
      </c>
      <c r="D323">
        <v>46486</v>
      </c>
      <c r="E323" t="s">
        <v>707</v>
      </c>
      <c r="F323">
        <v>11.808</v>
      </c>
      <c r="G323">
        <v>2013</v>
      </c>
      <c r="J323">
        <v>11538</v>
      </c>
      <c r="L323">
        <v>270</v>
      </c>
    </row>
    <row r="324" spans="1:44" hidden="1" x14ac:dyDescent="0.25">
      <c r="A324" t="s">
        <v>6</v>
      </c>
      <c r="B324" t="s">
        <v>57</v>
      </c>
      <c r="C324" t="s">
        <v>170</v>
      </c>
      <c r="D324">
        <v>46487</v>
      </c>
      <c r="E324" t="s">
        <v>708</v>
      </c>
      <c r="F324">
        <v>32.835000000000001</v>
      </c>
      <c r="G324">
        <v>2013</v>
      </c>
      <c r="J324">
        <v>10400</v>
      </c>
      <c r="L324">
        <v>365</v>
      </c>
      <c r="P324">
        <v>1391</v>
      </c>
      <c r="AN324">
        <v>19841</v>
      </c>
      <c r="AR324">
        <v>838</v>
      </c>
    </row>
    <row r="325" spans="1:44" hidden="1" x14ac:dyDescent="0.25">
      <c r="A325" t="s">
        <v>6</v>
      </c>
      <c r="B325" t="s">
        <v>57</v>
      </c>
      <c r="C325" t="s">
        <v>171</v>
      </c>
      <c r="D325">
        <v>46488</v>
      </c>
      <c r="E325" t="s">
        <v>707</v>
      </c>
      <c r="F325">
        <v>20.138999999999999</v>
      </c>
      <c r="G325">
        <v>2013</v>
      </c>
      <c r="J325">
        <v>14923</v>
      </c>
      <c r="L325">
        <v>216</v>
      </c>
      <c r="R325">
        <v>5000</v>
      </c>
    </row>
    <row r="326" spans="1:44" hidden="1" x14ac:dyDescent="0.25">
      <c r="A326" t="s">
        <v>6</v>
      </c>
      <c r="B326" t="s">
        <v>57</v>
      </c>
      <c r="C326" t="s">
        <v>163</v>
      </c>
      <c r="D326">
        <v>36561</v>
      </c>
      <c r="E326" t="s">
        <v>707</v>
      </c>
      <c r="F326">
        <v>10.616</v>
      </c>
      <c r="G326">
        <v>2014</v>
      </c>
      <c r="J326">
        <v>10400</v>
      </c>
      <c r="L326">
        <v>216</v>
      </c>
    </row>
    <row r="327" spans="1:44" hidden="1" x14ac:dyDescent="0.25">
      <c r="A327" t="s">
        <v>6</v>
      </c>
      <c r="B327" t="s">
        <v>57</v>
      </c>
      <c r="C327" t="s">
        <v>168</v>
      </c>
      <c r="D327">
        <v>44828</v>
      </c>
      <c r="E327" t="s">
        <v>707</v>
      </c>
      <c r="F327">
        <v>9.5640000000000001</v>
      </c>
      <c r="G327">
        <v>2014</v>
      </c>
      <c r="J327">
        <v>8969</v>
      </c>
      <c r="L327">
        <v>216</v>
      </c>
      <c r="P327">
        <v>181</v>
      </c>
      <c r="AR327">
        <v>198</v>
      </c>
    </row>
    <row r="328" spans="1:44" hidden="1" x14ac:dyDescent="0.25">
      <c r="A328" t="s">
        <v>6</v>
      </c>
      <c r="B328" t="s">
        <v>57</v>
      </c>
      <c r="C328" t="s">
        <v>169</v>
      </c>
      <c r="D328">
        <v>46486</v>
      </c>
      <c r="E328" t="s">
        <v>707</v>
      </c>
      <c r="F328">
        <v>10.47</v>
      </c>
      <c r="G328">
        <v>2014</v>
      </c>
      <c r="J328">
        <v>10200</v>
      </c>
      <c r="L328">
        <v>270</v>
      </c>
    </row>
    <row r="329" spans="1:44" hidden="1" x14ac:dyDescent="0.25">
      <c r="A329" t="s">
        <v>6</v>
      </c>
      <c r="B329" t="s">
        <v>57</v>
      </c>
      <c r="C329" t="s">
        <v>170</v>
      </c>
      <c r="D329">
        <v>46487</v>
      </c>
      <c r="E329" t="s">
        <v>708</v>
      </c>
      <c r="F329">
        <v>26.524999999999999</v>
      </c>
      <c r="G329">
        <v>2014</v>
      </c>
      <c r="J329">
        <v>10400</v>
      </c>
      <c r="L329">
        <v>365</v>
      </c>
      <c r="R329" t="s">
        <v>749</v>
      </c>
      <c r="AN329" t="s">
        <v>749</v>
      </c>
    </row>
    <row r="330" spans="1:44" hidden="1" x14ac:dyDescent="0.25">
      <c r="A330" t="s">
        <v>6</v>
      </c>
      <c r="B330" t="s">
        <v>57</v>
      </c>
      <c r="C330" t="s">
        <v>171</v>
      </c>
      <c r="D330">
        <v>46488</v>
      </c>
      <c r="E330" t="s">
        <v>707</v>
      </c>
      <c r="F330">
        <v>10.416</v>
      </c>
      <c r="G330">
        <v>2014</v>
      </c>
      <c r="J330">
        <v>10200</v>
      </c>
      <c r="L330">
        <v>216</v>
      </c>
    </row>
    <row r="331" spans="1:44" hidden="1" x14ac:dyDescent="0.25">
      <c r="A331" t="s">
        <v>6</v>
      </c>
      <c r="B331" t="s">
        <v>57</v>
      </c>
      <c r="C331" t="s">
        <v>168</v>
      </c>
      <c r="D331">
        <v>44828</v>
      </c>
      <c r="E331" t="s">
        <v>707</v>
      </c>
      <c r="F331">
        <v>13.04</v>
      </c>
      <c r="G331">
        <v>2015</v>
      </c>
      <c r="J331">
        <v>10400</v>
      </c>
      <c r="L331">
        <v>216</v>
      </c>
      <c r="P331">
        <v>1601</v>
      </c>
      <c r="AR331">
        <v>823</v>
      </c>
    </row>
    <row r="332" spans="1:44" hidden="1" x14ac:dyDescent="0.25">
      <c r="A332" t="s">
        <v>6</v>
      </c>
      <c r="B332" t="s">
        <v>57</v>
      </c>
      <c r="C332" t="s">
        <v>169</v>
      </c>
      <c r="D332">
        <v>46486</v>
      </c>
      <c r="E332" t="s">
        <v>707</v>
      </c>
      <c r="F332">
        <v>12.926</v>
      </c>
      <c r="G332">
        <v>2015</v>
      </c>
      <c r="J332">
        <v>10464</v>
      </c>
      <c r="L332">
        <v>270</v>
      </c>
      <c r="P332">
        <v>391</v>
      </c>
      <c r="R332">
        <v>1600</v>
      </c>
      <c r="AR332">
        <v>201</v>
      </c>
    </row>
    <row r="333" spans="1:44" hidden="1" x14ac:dyDescent="0.25">
      <c r="A333" t="s">
        <v>6</v>
      </c>
      <c r="B333" t="s">
        <v>57</v>
      </c>
      <c r="C333" t="s">
        <v>170</v>
      </c>
      <c r="D333">
        <v>46487</v>
      </c>
      <c r="E333" t="s">
        <v>708</v>
      </c>
      <c r="F333">
        <v>42.953000000000003</v>
      </c>
      <c r="G333">
        <v>2015</v>
      </c>
      <c r="J333">
        <v>10600</v>
      </c>
      <c r="L333">
        <v>365</v>
      </c>
      <c r="P333">
        <v>12792</v>
      </c>
      <c r="AN333">
        <v>7125</v>
      </c>
      <c r="AR333">
        <v>12071</v>
      </c>
    </row>
    <row r="334" spans="1:44" hidden="1" x14ac:dyDescent="0.25">
      <c r="A334" t="s">
        <v>6</v>
      </c>
      <c r="B334" t="s">
        <v>57</v>
      </c>
      <c r="C334" t="s">
        <v>171</v>
      </c>
      <c r="D334">
        <v>46488</v>
      </c>
      <c r="E334" t="s">
        <v>707</v>
      </c>
      <c r="F334">
        <v>10.561</v>
      </c>
      <c r="G334">
        <v>2015</v>
      </c>
      <c r="J334">
        <v>10323</v>
      </c>
      <c r="L334">
        <v>238</v>
      </c>
    </row>
    <row r="335" spans="1:44" hidden="1" x14ac:dyDescent="0.25">
      <c r="A335" t="s">
        <v>6</v>
      </c>
      <c r="B335" t="s">
        <v>57</v>
      </c>
      <c r="C335" t="s">
        <v>172</v>
      </c>
      <c r="D335">
        <v>51746</v>
      </c>
      <c r="E335" t="s">
        <v>707</v>
      </c>
      <c r="F335">
        <v>3.2490000000000001</v>
      </c>
      <c r="G335">
        <v>2015</v>
      </c>
      <c r="L335">
        <v>195</v>
      </c>
      <c r="P335">
        <v>2036</v>
      </c>
      <c r="AR335">
        <v>1018</v>
      </c>
    </row>
    <row r="336" spans="1:44" hidden="1" x14ac:dyDescent="0.25">
      <c r="A336" t="s">
        <v>6</v>
      </c>
      <c r="B336" t="s">
        <v>57</v>
      </c>
      <c r="C336" t="s">
        <v>168</v>
      </c>
      <c r="D336">
        <v>44828</v>
      </c>
      <c r="E336" t="s">
        <v>707</v>
      </c>
      <c r="F336">
        <v>23.704000000000001</v>
      </c>
      <c r="G336">
        <v>2016</v>
      </c>
      <c r="J336">
        <v>10600</v>
      </c>
      <c r="L336">
        <v>216</v>
      </c>
      <c r="P336">
        <v>6631</v>
      </c>
      <c r="AR336">
        <v>6257</v>
      </c>
    </row>
    <row r="337" spans="1:52" hidden="1" x14ac:dyDescent="0.25">
      <c r="A337" t="s">
        <v>6</v>
      </c>
      <c r="B337" t="s">
        <v>57</v>
      </c>
      <c r="C337" t="s">
        <v>169</v>
      </c>
      <c r="D337">
        <v>46486</v>
      </c>
      <c r="E337" t="s">
        <v>707</v>
      </c>
      <c r="F337">
        <v>12.057</v>
      </c>
      <c r="G337">
        <v>2016</v>
      </c>
      <c r="J337">
        <v>10536</v>
      </c>
      <c r="L337">
        <v>270</v>
      </c>
      <c r="P337">
        <v>826</v>
      </c>
      <c r="AR337">
        <v>425</v>
      </c>
    </row>
    <row r="338" spans="1:52" hidden="1" x14ac:dyDescent="0.25">
      <c r="A338" t="s">
        <v>6</v>
      </c>
      <c r="B338" t="s">
        <v>57</v>
      </c>
      <c r="C338" t="s">
        <v>170</v>
      </c>
      <c r="D338">
        <v>46487</v>
      </c>
      <c r="E338" t="s">
        <v>708</v>
      </c>
      <c r="F338">
        <v>41.365000000000002</v>
      </c>
      <c r="G338">
        <v>2016</v>
      </c>
      <c r="J338">
        <v>10600</v>
      </c>
      <c r="L338">
        <v>365</v>
      </c>
      <c r="P338">
        <v>8875</v>
      </c>
      <c r="AN338">
        <v>13150</v>
      </c>
      <c r="AR338">
        <v>8375</v>
      </c>
    </row>
    <row r="339" spans="1:52" hidden="1" x14ac:dyDescent="0.25">
      <c r="A339" t="s">
        <v>6</v>
      </c>
      <c r="B339" t="s">
        <v>57</v>
      </c>
      <c r="C339" t="s">
        <v>171</v>
      </c>
      <c r="D339">
        <v>46488</v>
      </c>
      <c r="E339" t="s">
        <v>707</v>
      </c>
      <c r="F339">
        <v>18.091000000000001</v>
      </c>
      <c r="G339">
        <v>2016</v>
      </c>
      <c r="J339">
        <v>9215</v>
      </c>
      <c r="L339">
        <v>243</v>
      </c>
      <c r="P339">
        <v>4472</v>
      </c>
      <c r="AR339">
        <v>4161</v>
      </c>
    </row>
    <row r="340" spans="1:52" hidden="1" x14ac:dyDescent="0.25">
      <c r="A340" t="s">
        <v>6</v>
      </c>
      <c r="B340" t="s">
        <v>57</v>
      </c>
      <c r="C340" t="s">
        <v>172</v>
      </c>
      <c r="D340">
        <v>51746</v>
      </c>
      <c r="E340" t="s">
        <v>707</v>
      </c>
      <c r="F340">
        <v>11.167999999999999</v>
      </c>
      <c r="G340">
        <v>2016</v>
      </c>
      <c r="L340">
        <v>227</v>
      </c>
      <c r="P340">
        <v>7292</v>
      </c>
      <c r="AR340">
        <v>3649</v>
      </c>
    </row>
    <row r="341" spans="1:52" hidden="1" x14ac:dyDescent="0.25">
      <c r="A341" t="s">
        <v>6</v>
      </c>
      <c r="B341" t="s">
        <v>57</v>
      </c>
      <c r="C341" t="s">
        <v>168</v>
      </c>
      <c r="D341">
        <v>44828</v>
      </c>
      <c r="E341" t="s">
        <v>707</v>
      </c>
      <c r="F341">
        <v>26.844999999999999</v>
      </c>
      <c r="G341">
        <v>2017</v>
      </c>
      <c r="J341">
        <v>10600</v>
      </c>
      <c r="L341">
        <v>216</v>
      </c>
      <c r="P341">
        <v>8247</v>
      </c>
      <c r="AR341">
        <v>7782</v>
      </c>
    </row>
    <row r="342" spans="1:52" hidden="1" x14ac:dyDescent="0.25">
      <c r="A342" t="s">
        <v>6</v>
      </c>
      <c r="B342" t="s">
        <v>57</v>
      </c>
      <c r="C342" t="s">
        <v>169</v>
      </c>
      <c r="D342">
        <v>46486</v>
      </c>
      <c r="E342" t="s">
        <v>707</v>
      </c>
      <c r="F342">
        <v>25.181999999999999</v>
      </c>
      <c r="G342">
        <v>2017</v>
      </c>
      <c r="J342">
        <v>10600</v>
      </c>
      <c r="L342">
        <v>270</v>
      </c>
      <c r="P342">
        <v>6360</v>
      </c>
      <c r="R342">
        <v>1950</v>
      </c>
      <c r="AR342">
        <v>6002</v>
      </c>
    </row>
    <row r="343" spans="1:52" hidden="1" x14ac:dyDescent="0.25">
      <c r="A343" t="s">
        <v>6</v>
      </c>
      <c r="B343" t="s">
        <v>57</v>
      </c>
      <c r="C343" t="s">
        <v>170</v>
      </c>
      <c r="D343">
        <v>46487</v>
      </c>
      <c r="E343" t="s">
        <v>708</v>
      </c>
      <c r="F343">
        <v>41.831000000000003</v>
      </c>
      <c r="G343">
        <v>2017</v>
      </c>
      <c r="J343">
        <v>10800</v>
      </c>
      <c r="L343">
        <v>405</v>
      </c>
      <c r="P343">
        <v>16266</v>
      </c>
      <c r="AN343">
        <v>6000</v>
      </c>
      <c r="AR343">
        <v>8360</v>
      </c>
    </row>
    <row r="344" spans="1:52" hidden="1" x14ac:dyDescent="0.25">
      <c r="A344" t="s">
        <v>6</v>
      </c>
      <c r="B344" t="s">
        <v>57</v>
      </c>
      <c r="C344" t="s">
        <v>171</v>
      </c>
      <c r="D344">
        <v>46488</v>
      </c>
      <c r="E344" t="s">
        <v>707</v>
      </c>
      <c r="F344">
        <v>10.484999999999999</v>
      </c>
      <c r="G344">
        <v>2017</v>
      </c>
      <c r="J344">
        <v>10215</v>
      </c>
      <c r="L344">
        <v>270</v>
      </c>
    </row>
    <row r="345" spans="1:52" hidden="1" x14ac:dyDescent="0.25">
      <c r="A345" t="s">
        <v>6</v>
      </c>
      <c r="B345" t="s">
        <v>57</v>
      </c>
      <c r="C345" t="s">
        <v>172</v>
      </c>
      <c r="D345">
        <v>51746</v>
      </c>
      <c r="E345" t="s">
        <v>707</v>
      </c>
      <c r="F345">
        <v>29.870999999999999</v>
      </c>
      <c r="G345">
        <v>2017</v>
      </c>
      <c r="L345">
        <v>270</v>
      </c>
      <c r="P345">
        <v>15407</v>
      </c>
      <c r="AR345">
        <v>14194</v>
      </c>
    </row>
    <row r="346" spans="1:52" hidden="1" x14ac:dyDescent="0.25">
      <c r="A346" t="s">
        <v>6</v>
      </c>
      <c r="B346" t="s">
        <v>57</v>
      </c>
      <c r="C346" t="s">
        <v>168</v>
      </c>
      <c r="D346">
        <v>44828</v>
      </c>
      <c r="E346" t="s">
        <v>707</v>
      </c>
      <c r="F346">
        <v>20.552</v>
      </c>
      <c r="G346">
        <v>2018</v>
      </c>
      <c r="J346">
        <v>11416</v>
      </c>
      <c r="L346">
        <v>216</v>
      </c>
      <c r="P346">
        <v>5294</v>
      </c>
      <c r="AR346">
        <v>3626</v>
      </c>
    </row>
    <row r="347" spans="1:52" hidden="1" x14ac:dyDescent="0.25">
      <c r="A347" t="s">
        <v>6</v>
      </c>
      <c r="B347" t="s">
        <v>57</v>
      </c>
      <c r="C347" t="s">
        <v>169</v>
      </c>
      <c r="D347">
        <v>46486</v>
      </c>
      <c r="E347" t="s">
        <v>707</v>
      </c>
      <c r="F347">
        <v>11.07</v>
      </c>
      <c r="G347">
        <v>2018</v>
      </c>
      <c r="J347">
        <v>10800</v>
      </c>
      <c r="L347">
        <v>270</v>
      </c>
    </row>
    <row r="348" spans="1:52" hidden="1" x14ac:dyDescent="0.25">
      <c r="A348" t="s">
        <v>6</v>
      </c>
      <c r="B348" t="s">
        <v>57</v>
      </c>
      <c r="C348" t="s">
        <v>170</v>
      </c>
      <c r="D348">
        <v>46487</v>
      </c>
      <c r="E348" t="s">
        <v>708</v>
      </c>
      <c r="F348">
        <v>41.767000000000003</v>
      </c>
      <c r="G348">
        <v>2018</v>
      </c>
      <c r="J348">
        <v>11000</v>
      </c>
      <c r="L348">
        <v>405</v>
      </c>
      <c r="P348">
        <v>9239</v>
      </c>
      <c r="AN348">
        <v>10850</v>
      </c>
      <c r="AR348">
        <v>10273</v>
      </c>
    </row>
    <row r="349" spans="1:52" hidden="1" x14ac:dyDescent="0.25">
      <c r="A349" t="s">
        <v>6</v>
      </c>
      <c r="B349" t="s">
        <v>57</v>
      </c>
      <c r="C349" t="s">
        <v>171</v>
      </c>
      <c r="D349">
        <v>46488</v>
      </c>
      <c r="E349" t="s">
        <v>707</v>
      </c>
      <c r="F349">
        <v>11.07</v>
      </c>
      <c r="G349">
        <v>2018</v>
      </c>
      <c r="J349">
        <v>10800</v>
      </c>
      <c r="L349">
        <v>270</v>
      </c>
    </row>
    <row r="350" spans="1:52" hidden="1" x14ac:dyDescent="0.25">
      <c r="A350" t="s">
        <v>6</v>
      </c>
      <c r="B350" t="s">
        <v>57</v>
      </c>
      <c r="C350" t="s">
        <v>172</v>
      </c>
      <c r="D350">
        <v>51746</v>
      </c>
      <c r="E350" t="s">
        <v>707</v>
      </c>
      <c r="F350">
        <v>23.684000000000001</v>
      </c>
      <c r="G350">
        <v>2018</v>
      </c>
      <c r="L350">
        <v>270</v>
      </c>
      <c r="P350">
        <v>13488</v>
      </c>
      <c r="AR350">
        <v>9926</v>
      </c>
    </row>
    <row r="351" spans="1:52" s="4" customFormat="1" hidden="1" x14ac:dyDescent="0.25">
      <c r="A351" s="4" t="s">
        <v>7</v>
      </c>
      <c r="B351" s="4" t="s">
        <v>58</v>
      </c>
      <c r="C351" s="4" t="s">
        <v>173</v>
      </c>
      <c r="D351" s="4">
        <v>10532</v>
      </c>
      <c r="E351" s="4" t="s">
        <v>707</v>
      </c>
      <c r="F351" s="4">
        <v>21.576000000000001</v>
      </c>
      <c r="G351" s="4">
        <v>2006</v>
      </c>
      <c r="J351" s="4">
        <v>9900</v>
      </c>
      <c r="Q351" s="4">
        <v>11676</v>
      </c>
      <c r="AZ351" s="7"/>
    </row>
    <row r="352" spans="1:52" hidden="1" x14ac:dyDescent="0.25">
      <c r="A352" t="s">
        <v>7</v>
      </c>
      <c r="B352" t="s">
        <v>58</v>
      </c>
      <c r="C352" t="s">
        <v>174</v>
      </c>
      <c r="D352">
        <v>10534</v>
      </c>
      <c r="E352" t="s">
        <v>708</v>
      </c>
      <c r="F352">
        <v>94.573999999999998</v>
      </c>
      <c r="G352">
        <v>2006</v>
      </c>
      <c r="J352">
        <v>9900</v>
      </c>
      <c r="Q352">
        <v>43703</v>
      </c>
      <c r="AJ352">
        <f>13280+13692</f>
        <v>26972</v>
      </c>
      <c r="AO352">
        <v>8333</v>
      </c>
      <c r="AS352">
        <v>5666</v>
      </c>
    </row>
    <row r="353" spans="1:51" hidden="1" x14ac:dyDescent="0.25">
      <c r="A353" t="s">
        <v>7</v>
      </c>
      <c r="B353" t="s">
        <v>58</v>
      </c>
      <c r="C353" t="s">
        <v>175</v>
      </c>
      <c r="D353">
        <v>21931</v>
      </c>
      <c r="E353" t="s">
        <v>707</v>
      </c>
      <c r="F353">
        <v>68.105000000000004</v>
      </c>
      <c r="G353">
        <v>2006</v>
      </c>
    </row>
    <row r="354" spans="1:51" hidden="1" x14ac:dyDescent="0.25">
      <c r="A354" t="s">
        <v>7</v>
      </c>
      <c r="B354" t="s">
        <v>58</v>
      </c>
      <c r="C354" t="s">
        <v>176</v>
      </c>
      <c r="D354">
        <v>27127</v>
      </c>
      <c r="E354" t="s">
        <v>707</v>
      </c>
      <c r="F354">
        <v>21.576000000000001</v>
      </c>
      <c r="G354">
        <v>2006</v>
      </c>
      <c r="J354">
        <v>9900</v>
      </c>
      <c r="Q354">
        <v>11676</v>
      </c>
    </row>
    <row r="355" spans="1:51" hidden="1" x14ac:dyDescent="0.25">
      <c r="A355" t="s">
        <v>7</v>
      </c>
      <c r="B355" t="s">
        <v>58</v>
      </c>
      <c r="C355" t="s">
        <v>177</v>
      </c>
      <c r="D355">
        <v>29007</v>
      </c>
      <c r="E355" t="s">
        <v>707</v>
      </c>
      <c r="F355">
        <v>68.483000000000004</v>
      </c>
      <c r="G355">
        <v>2006</v>
      </c>
      <c r="Q355">
        <v>7784</v>
      </c>
      <c r="AK355">
        <v>20669</v>
      </c>
      <c r="AO355">
        <v>40000</v>
      </c>
    </row>
    <row r="356" spans="1:51" hidden="1" x14ac:dyDescent="0.25">
      <c r="A356" t="s">
        <v>7</v>
      </c>
      <c r="B356" t="s">
        <v>58</v>
      </c>
      <c r="C356" t="s">
        <v>178</v>
      </c>
      <c r="D356">
        <v>32920</v>
      </c>
      <c r="E356" t="s">
        <v>707</v>
      </c>
      <c r="F356">
        <v>21.576000000000001</v>
      </c>
      <c r="G356">
        <v>2006</v>
      </c>
      <c r="J356">
        <v>9900</v>
      </c>
      <c r="Q356">
        <v>11676</v>
      </c>
    </row>
    <row r="357" spans="1:51" hidden="1" x14ac:dyDescent="0.25">
      <c r="A357" t="s">
        <v>7</v>
      </c>
      <c r="B357" t="s">
        <v>58</v>
      </c>
      <c r="C357" t="s">
        <v>173</v>
      </c>
      <c r="D357">
        <v>10532</v>
      </c>
      <c r="E357" t="s">
        <v>707</v>
      </c>
      <c r="F357">
        <v>22.928000000000001</v>
      </c>
      <c r="G357">
        <v>2007</v>
      </c>
    </row>
    <row r="358" spans="1:51" hidden="1" x14ac:dyDescent="0.25">
      <c r="A358" t="s">
        <v>7</v>
      </c>
      <c r="B358" t="s">
        <v>58</v>
      </c>
      <c r="C358" t="s">
        <v>174</v>
      </c>
      <c r="D358">
        <v>10534</v>
      </c>
      <c r="E358" t="s">
        <v>708</v>
      </c>
      <c r="F358">
        <v>60.618000000000002</v>
      </c>
      <c r="G358">
        <v>2007</v>
      </c>
      <c r="J358">
        <v>10125</v>
      </c>
      <c r="Q358">
        <v>47676</v>
      </c>
      <c r="AJ358">
        <v>2817</v>
      </c>
    </row>
    <row r="359" spans="1:51" hidden="1" x14ac:dyDescent="0.25">
      <c r="A359" t="s">
        <v>7</v>
      </c>
      <c r="B359" t="s">
        <v>58</v>
      </c>
      <c r="C359" t="s">
        <v>179</v>
      </c>
      <c r="D359">
        <v>10537</v>
      </c>
      <c r="E359" t="s">
        <v>707</v>
      </c>
      <c r="F359">
        <v>4234.6660000000002</v>
      </c>
      <c r="G359">
        <v>2007</v>
      </c>
      <c r="J359">
        <v>10125</v>
      </c>
      <c r="Q359">
        <v>11676</v>
      </c>
      <c r="AJ359">
        <v>845</v>
      </c>
    </row>
    <row r="360" spans="1:51" hidden="1" x14ac:dyDescent="0.25">
      <c r="A360" t="s">
        <v>7</v>
      </c>
      <c r="B360" t="s">
        <v>58</v>
      </c>
      <c r="C360" t="s">
        <v>175</v>
      </c>
      <c r="D360">
        <v>21931</v>
      </c>
      <c r="E360" t="s">
        <v>707</v>
      </c>
      <c r="F360">
        <v>107.572</v>
      </c>
      <c r="G360">
        <v>2007</v>
      </c>
      <c r="M360">
        <v>6615</v>
      </c>
      <c r="Q360">
        <v>23375</v>
      </c>
      <c r="AY360">
        <v>3241</v>
      </c>
    </row>
    <row r="361" spans="1:51" hidden="1" x14ac:dyDescent="0.25">
      <c r="A361" t="s">
        <v>7</v>
      </c>
      <c r="B361" t="s">
        <v>58</v>
      </c>
      <c r="C361" t="s">
        <v>176</v>
      </c>
      <c r="D361">
        <v>27127</v>
      </c>
      <c r="E361" t="s">
        <v>707</v>
      </c>
      <c r="F361">
        <v>6625.5889999999999</v>
      </c>
      <c r="G361">
        <v>2007</v>
      </c>
      <c r="J361">
        <v>10125</v>
      </c>
      <c r="Q361">
        <v>8757</v>
      </c>
      <c r="AJ361">
        <v>1268</v>
      </c>
      <c r="AX361">
        <f>434941+3005679+141845+72437+365333+173734+2411470</f>
        <v>6605439</v>
      </c>
    </row>
    <row r="362" spans="1:51" hidden="1" x14ac:dyDescent="0.25">
      <c r="A362" t="s">
        <v>7</v>
      </c>
      <c r="B362" t="s">
        <v>58</v>
      </c>
      <c r="C362" t="s">
        <v>178</v>
      </c>
      <c r="D362">
        <v>32920</v>
      </c>
      <c r="E362" t="s">
        <v>707</v>
      </c>
      <c r="F362">
        <v>2554.9789999999998</v>
      </c>
      <c r="G362">
        <v>2007</v>
      </c>
      <c r="J362">
        <v>1928</v>
      </c>
      <c r="Q362">
        <v>11676</v>
      </c>
      <c r="AJ362">
        <v>282</v>
      </c>
      <c r="AX362">
        <f>36371+1446027+186332+78681+27814+788717</f>
        <v>2563942</v>
      </c>
    </row>
    <row r="363" spans="1:51" hidden="1" x14ac:dyDescent="0.25">
      <c r="A363" t="s">
        <v>7</v>
      </c>
      <c r="B363" t="s">
        <v>58</v>
      </c>
      <c r="C363" t="s">
        <v>180</v>
      </c>
      <c r="D363">
        <v>34442</v>
      </c>
      <c r="E363" t="s">
        <v>707</v>
      </c>
      <c r="F363">
        <v>21.800999999999998</v>
      </c>
      <c r="G363">
        <v>2007</v>
      </c>
      <c r="J363">
        <v>10125</v>
      </c>
      <c r="Q363">
        <v>11676</v>
      </c>
      <c r="AJ363">
        <v>1127</v>
      </c>
    </row>
    <row r="364" spans="1:51" hidden="1" x14ac:dyDescent="0.25">
      <c r="A364" t="s">
        <v>7</v>
      </c>
      <c r="B364" t="s">
        <v>58</v>
      </c>
      <c r="C364" t="s">
        <v>173</v>
      </c>
      <c r="D364">
        <v>10532</v>
      </c>
      <c r="E364" t="s">
        <v>708</v>
      </c>
      <c r="F364">
        <v>5818.6809999999996</v>
      </c>
      <c r="G364">
        <v>2008</v>
      </c>
      <c r="J364">
        <v>10350</v>
      </c>
      <c r="Q364">
        <v>4379</v>
      </c>
      <c r="AJ364">
        <v>59349</v>
      </c>
      <c r="AX364">
        <f>3371132+1989416</f>
        <v>5360548</v>
      </c>
    </row>
    <row r="365" spans="1:51" hidden="1" x14ac:dyDescent="0.25">
      <c r="A365" t="s">
        <v>7</v>
      </c>
      <c r="B365" t="s">
        <v>58</v>
      </c>
      <c r="C365" t="s">
        <v>174</v>
      </c>
      <c r="D365">
        <v>10534</v>
      </c>
      <c r="E365" t="s">
        <v>707</v>
      </c>
      <c r="F365">
        <v>1372.6469999999999</v>
      </c>
      <c r="G365">
        <v>2008</v>
      </c>
      <c r="J365">
        <v>10350</v>
      </c>
      <c r="Q365">
        <v>23838</v>
      </c>
      <c r="AJ365">
        <v>250139</v>
      </c>
      <c r="AX365">
        <v>1088320</v>
      </c>
    </row>
    <row r="366" spans="1:51" hidden="1" x14ac:dyDescent="0.25">
      <c r="A366" t="s">
        <v>7</v>
      </c>
      <c r="B366" t="s">
        <v>58</v>
      </c>
      <c r="C366" t="s">
        <v>179</v>
      </c>
      <c r="D366">
        <v>10537</v>
      </c>
      <c r="E366" t="s">
        <v>707</v>
      </c>
      <c r="F366">
        <v>310.19</v>
      </c>
      <c r="G366">
        <v>2008</v>
      </c>
      <c r="J366">
        <v>10350</v>
      </c>
      <c r="Q366">
        <v>11676</v>
      </c>
      <c r="AJ366">
        <v>288164</v>
      </c>
    </row>
    <row r="367" spans="1:51" hidden="1" x14ac:dyDescent="0.25">
      <c r="A367" t="s">
        <v>7</v>
      </c>
      <c r="B367" t="s">
        <v>58</v>
      </c>
      <c r="C367" t="s">
        <v>175</v>
      </c>
      <c r="D367">
        <v>21931</v>
      </c>
      <c r="E367" t="s">
        <v>707</v>
      </c>
      <c r="F367">
        <v>177.66499999999999</v>
      </c>
      <c r="G367">
        <v>2008</v>
      </c>
      <c r="M367">
        <v>7099</v>
      </c>
      <c r="Q367">
        <v>25171</v>
      </c>
      <c r="AJ367">
        <v>62132</v>
      </c>
      <c r="AX367">
        <f>3478+79786</f>
        <v>83264</v>
      </c>
    </row>
    <row r="368" spans="1:51" hidden="1" x14ac:dyDescent="0.25">
      <c r="A368" t="s">
        <v>7</v>
      </c>
      <c r="B368" t="s">
        <v>58</v>
      </c>
      <c r="C368" t="s">
        <v>180</v>
      </c>
      <c r="D368">
        <v>34442</v>
      </c>
      <c r="E368" t="s">
        <v>707</v>
      </c>
      <c r="F368">
        <v>20.079999999999998</v>
      </c>
      <c r="G368">
        <v>2008</v>
      </c>
      <c r="J368">
        <v>10350</v>
      </c>
      <c r="Q368">
        <v>9730</v>
      </c>
    </row>
    <row r="369" spans="1:51" hidden="1" x14ac:dyDescent="0.25">
      <c r="A369" t="s">
        <v>7</v>
      </c>
      <c r="B369" t="s">
        <v>58</v>
      </c>
      <c r="C369" t="s">
        <v>181</v>
      </c>
      <c r="D369">
        <v>37829</v>
      </c>
      <c r="E369" t="s">
        <v>707</v>
      </c>
      <c r="F369">
        <v>27.98</v>
      </c>
      <c r="G369">
        <v>2008</v>
      </c>
      <c r="M369">
        <v>5606</v>
      </c>
      <c r="Q369">
        <v>18916</v>
      </c>
      <c r="AX369">
        <v>3458</v>
      </c>
    </row>
    <row r="370" spans="1:51" hidden="1" x14ac:dyDescent="0.25">
      <c r="A370" t="s">
        <v>7</v>
      </c>
      <c r="B370" t="s">
        <v>58</v>
      </c>
      <c r="C370" t="s">
        <v>173</v>
      </c>
      <c r="D370">
        <v>10532</v>
      </c>
      <c r="E370" t="s">
        <v>708</v>
      </c>
      <c r="F370">
        <v>11.025</v>
      </c>
      <c r="G370">
        <v>2009</v>
      </c>
      <c r="J370">
        <v>11025</v>
      </c>
    </row>
    <row r="371" spans="1:51" hidden="1" x14ac:dyDescent="0.25">
      <c r="A371" t="s">
        <v>7</v>
      </c>
      <c r="B371" t="s">
        <v>58</v>
      </c>
      <c r="C371" t="s">
        <v>175</v>
      </c>
      <c r="D371">
        <v>21931</v>
      </c>
      <c r="E371" t="s">
        <v>707</v>
      </c>
      <c r="F371">
        <v>265.40199999999999</v>
      </c>
      <c r="G371">
        <v>2009</v>
      </c>
      <c r="M371">
        <v>6025</v>
      </c>
      <c r="Q371">
        <v>25703</v>
      </c>
      <c r="AJ371">
        <v>154441</v>
      </c>
      <c r="AY371">
        <f>3672+75561</f>
        <v>79233</v>
      </c>
    </row>
    <row r="372" spans="1:51" hidden="1" x14ac:dyDescent="0.25">
      <c r="A372" t="s">
        <v>7</v>
      </c>
      <c r="B372" t="s">
        <v>58</v>
      </c>
      <c r="C372" t="s">
        <v>180</v>
      </c>
      <c r="D372">
        <v>34442</v>
      </c>
      <c r="E372" t="s">
        <v>707</v>
      </c>
      <c r="F372">
        <v>25.114999999999998</v>
      </c>
      <c r="G372">
        <v>2009</v>
      </c>
      <c r="J372">
        <v>11025</v>
      </c>
      <c r="AJ372">
        <v>14090</v>
      </c>
    </row>
    <row r="373" spans="1:51" hidden="1" x14ac:dyDescent="0.25">
      <c r="A373" t="s">
        <v>7</v>
      </c>
      <c r="B373" t="s">
        <v>58</v>
      </c>
      <c r="C373" t="s">
        <v>181</v>
      </c>
      <c r="D373">
        <v>37829</v>
      </c>
      <c r="E373" t="s">
        <v>707</v>
      </c>
      <c r="F373">
        <v>139.94800000000001</v>
      </c>
      <c r="G373">
        <v>2009</v>
      </c>
      <c r="M373">
        <v>8006</v>
      </c>
      <c r="Q373">
        <v>22619</v>
      </c>
      <c r="AJ373">
        <v>103288</v>
      </c>
      <c r="AY373">
        <v>6035</v>
      </c>
    </row>
    <row r="374" spans="1:51" hidden="1" x14ac:dyDescent="0.25">
      <c r="A374" t="s">
        <v>7</v>
      </c>
      <c r="B374" t="s">
        <v>58</v>
      </c>
      <c r="C374" t="s">
        <v>182</v>
      </c>
      <c r="D374">
        <v>39352</v>
      </c>
      <c r="E374" t="s">
        <v>707</v>
      </c>
      <c r="F374">
        <v>9.1430000000000007</v>
      </c>
      <c r="G374">
        <v>2009</v>
      </c>
      <c r="J374">
        <v>9143</v>
      </c>
    </row>
    <row r="375" spans="1:51" hidden="1" x14ac:dyDescent="0.25">
      <c r="A375" t="s">
        <v>7</v>
      </c>
      <c r="B375" t="s">
        <v>58</v>
      </c>
      <c r="C375" t="s">
        <v>173</v>
      </c>
      <c r="D375">
        <v>10532</v>
      </c>
      <c r="E375" t="s">
        <v>708</v>
      </c>
      <c r="F375">
        <v>11.025</v>
      </c>
      <c r="G375">
        <v>2010</v>
      </c>
      <c r="J375">
        <v>11025</v>
      </c>
    </row>
    <row r="376" spans="1:51" hidden="1" x14ac:dyDescent="0.25">
      <c r="A376" t="s">
        <v>7</v>
      </c>
      <c r="B376" t="s">
        <v>58</v>
      </c>
      <c r="C376" t="s">
        <v>175</v>
      </c>
      <c r="D376">
        <v>21931</v>
      </c>
      <c r="E376" t="s">
        <v>707</v>
      </c>
      <c r="F376">
        <v>198.22200000000001</v>
      </c>
      <c r="G376">
        <v>2010</v>
      </c>
      <c r="M376">
        <v>8624</v>
      </c>
      <c r="Q376">
        <v>20628</v>
      </c>
      <c r="AJ376">
        <v>91756</v>
      </c>
      <c r="AX376">
        <v>71950</v>
      </c>
      <c r="AY376">
        <v>5265</v>
      </c>
    </row>
    <row r="377" spans="1:51" hidden="1" x14ac:dyDescent="0.25">
      <c r="A377" t="s">
        <v>7</v>
      </c>
      <c r="B377" t="s">
        <v>58</v>
      </c>
      <c r="C377" t="s">
        <v>180</v>
      </c>
      <c r="D377">
        <v>34442</v>
      </c>
      <c r="E377" t="s">
        <v>707</v>
      </c>
      <c r="F377">
        <v>11.025</v>
      </c>
      <c r="G377">
        <v>2010</v>
      </c>
      <c r="J377">
        <v>11025</v>
      </c>
    </row>
    <row r="378" spans="1:51" hidden="1" x14ac:dyDescent="0.25">
      <c r="A378" t="s">
        <v>7</v>
      </c>
      <c r="B378" t="s">
        <v>58</v>
      </c>
      <c r="C378" t="s">
        <v>181</v>
      </c>
      <c r="D378">
        <v>37829</v>
      </c>
      <c r="E378" t="s">
        <v>707</v>
      </c>
      <c r="F378">
        <v>114.80500000000001</v>
      </c>
      <c r="G378">
        <v>2010</v>
      </c>
      <c r="M378">
        <v>8724</v>
      </c>
      <c r="Q378">
        <v>19917</v>
      </c>
      <c r="AJ378">
        <v>83689</v>
      </c>
      <c r="AY378">
        <v>2476</v>
      </c>
    </row>
    <row r="379" spans="1:51" hidden="1" x14ac:dyDescent="0.25">
      <c r="A379" t="s">
        <v>7</v>
      </c>
      <c r="B379" t="s">
        <v>58</v>
      </c>
      <c r="C379" t="s">
        <v>182</v>
      </c>
      <c r="D379">
        <v>39352</v>
      </c>
      <c r="E379" t="s">
        <v>707</v>
      </c>
      <c r="F379">
        <v>9.2249999999999996</v>
      </c>
      <c r="G379">
        <v>2010</v>
      </c>
      <c r="J379">
        <v>9225</v>
      </c>
    </row>
    <row r="380" spans="1:51" hidden="1" x14ac:dyDescent="0.25">
      <c r="A380" t="s">
        <v>7</v>
      </c>
      <c r="B380" t="s">
        <v>58</v>
      </c>
      <c r="C380" t="s">
        <v>173</v>
      </c>
      <c r="D380">
        <v>10532</v>
      </c>
      <c r="E380" t="s">
        <v>708</v>
      </c>
      <c r="F380">
        <v>11.025</v>
      </c>
      <c r="G380">
        <v>2011</v>
      </c>
      <c r="J380">
        <v>11025</v>
      </c>
    </row>
    <row r="381" spans="1:51" hidden="1" x14ac:dyDescent="0.25">
      <c r="A381" t="s">
        <v>7</v>
      </c>
      <c r="B381" t="s">
        <v>58</v>
      </c>
      <c r="C381" t="s">
        <v>175</v>
      </c>
      <c r="D381">
        <v>21931</v>
      </c>
      <c r="E381" t="s">
        <v>707</v>
      </c>
      <c r="F381">
        <v>108.155</v>
      </c>
      <c r="G381">
        <v>2011</v>
      </c>
      <c r="M381">
        <v>9028</v>
      </c>
      <c r="Q381">
        <v>23657</v>
      </c>
      <c r="AX381">
        <v>75496</v>
      </c>
    </row>
    <row r="382" spans="1:51" hidden="1" x14ac:dyDescent="0.25">
      <c r="A382" t="s">
        <v>7</v>
      </c>
      <c r="B382" t="s">
        <v>58</v>
      </c>
      <c r="C382" t="s">
        <v>180</v>
      </c>
      <c r="D382">
        <v>34442</v>
      </c>
      <c r="E382" t="s">
        <v>707</v>
      </c>
      <c r="F382">
        <v>11.025</v>
      </c>
      <c r="G382">
        <v>2011</v>
      </c>
      <c r="J382">
        <v>11025</v>
      </c>
    </row>
    <row r="383" spans="1:51" hidden="1" x14ac:dyDescent="0.25">
      <c r="A383" t="s">
        <v>7</v>
      </c>
      <c r="B383" t="s">
        <v>58</v>
      </c>
      <c r="C383" t="s">
        <v>181</v>
      </c>
      <c r="D383">
        <v>37829</v>
      </c>
      <c r="E383" t="s">
        <v>707</v>
      </c>
      <c r="F383">
        <v>32.261000000000003</v>
      </c>
      <c r="G383">
        <v>2011</v>
      </c>
      <c r="M383">
        <v>11218</v>
      </c>
      <c r="Q383">
        <v>21042</v>
      </c>
    </row>
    <row r="384" spans="1:51" hidden="1" x14ac:dyDescent="0.25">
      <c r="A384" t="s">
        <v>7</v>
      </c>
      <c r="B384" t="s">
        <v>58</v>
      </c>
      <c r="C384" t="s">
        <v>183</v>
      </c>
      <c r="D384">
        <v>45424</v>
      </c>
      <c r="E384" t="s">
        <v>707</v>
      </c>
      <c r="F384">
        <v>8.5749999999999993</v>
      </c>
      <c r="G384">
        <v>2011</v>
      </c>
      <c r="J384">
        <v>8575</v>
      </c>
    </row>
    <row r="385" spans="1:51" hidden="1" x14ac:dyDescent="0.25">
      <c r="A385" t="s">
        <v>7</v>
      </c>
      <c r="B385" t="s">
        <v>58</v>
      </c>
      <c r="C385" t="s">
        <v>173</v>
      </c>
      <c r="D385">
        <v>10532</v>
      </c>
      <c r="E385" t="s">
        <v>708</v>
      </c>
      <c r="F385">
        <v>11.25</v>
      </c>
      <c r="G385">
        <v>2012</v>
      </c>
      <c r="J385">
        <v>11250</v>
      </c>
    </row>
    <row r="386" spans="1:51" hidden="1" x14ac:dyDescent="0.25">
      <c r="A386" t="s">
        <v>7</v>
      </c>
      <c r="B386" t="s">
        <v>58</v>
      </c>
      <c r="C386" t="s">
        <v>175</v>
      </c>
      <c r="D386">
        <v>21931</v>
      </c>
      <c r="E386" t="s">
        <v>707</v>
      </c>
      <c r="F386">
        <v>101.91800000000001</v>
      </c>
      <c r="G386">
        <v>2012</v>
      </c>
      <c r="Q386">
        <v>25182</v>
      </c>
      <c r="AX386">
        <v>69710</v>
      </c>
    </row>
    <row r="387" spans="1:51" hidden="1" x14ac:dyDescent="0.25">
      <c r="A387" t="s">
        <v>7</v>
      </c>
      <c r="B387" t="s">
        <v>58</v>
      </c>
      <c r="C387" t="s">
        <v>180</v>
      </c>
      <c r="D387">
        <v>34442</v>
      </c>
      <c r="E387" t="s">
        <v>707</v>
      </c>
      <c r="F387">
        <v>11.045999999999999</v>
      </c>
      <c r="G387">
        <v>2012</v>
      </c>
      <c r="J387">
        <v>11046</v>
      </c>
      <c r="M387">
        <v>7027</v>
      </c>
    </row>
    <row r="388" spans="1:51" hidden="1" x14ac:dyDescent="0.25">
      <c r="A388" t="s">
        <v>7</v>
      </c>
      <c r="B388" t="s">
        <v>58</v>
      </c>
      <c r="C388" t="s">
        <v>181</v>
      </c>
      <c r="D388">
        <v>37829</v>
      </c>
      <c r="E388" t="s">
        <v>707</v>
      </c>
      <c r="F388">
        <v>31.911999999999999</v>
      </c>
      <c r="G388">
        <v>2012</v>
      </c>
      <c r="Q388">
        <v>20600</v>
      </c>
    </row>
    <row r="389" spans="1:51" hidden="1" x14ac:dyDescent="0.25">
      <c r="A389" t="s">
        <v>7</v>
      </c>
      <c r="B389" t="s">
        <v>58</v>
      </c>
      <c r="C389" t="s">
        <v>183</v>
      </c>
      <c r="D389">
        <v>45424</v>
      </c>
      <c r="E389" t="s">
        <v>707</v>
      </c>
      <c r="F389">
        <v>11.25</v>
      </c>
      <c r="G389">
        <v>2012</v>
      </c>
      <c r="J389">
        <v>11250</v>
      </c>
      <c r="M389">
        <v>11312</v>
      </c>
    </row>
    <row r="390" spans="1:51" hidden="1" x14ac:dyDescent="0.25">
      <c r="A390" t="s">
        <v>7</v>
      </c>
      <c r="B390" t="s">
        <v>58</v>
      </c>
      <c r="C390" t="s">
        <v>184</v>
      </c>
      <c r="D390">
        <v>50160</v>
      </c>
      <c r="E390" t="s">
        <v>707</v>
      </c>
      <c r="F390">
        <v>11.25</v>
      </c>
      <c r="G390">
        <v>2012</v>
      </c>
    </row>
    <row r="391" spans="1:51" hidden="1" x14ac:dyDescent="0.25">
      <c r="A391" t="s">
        <v>7</v>
      </c>
      <c r="B391" t="s">
        <v>58</v>
      </c>
      <c r="C391" t="s">
        <v>173</v>
      </c>
      <c r="D391">
        <v>10532</v>
      </c>
      <c r="E391" t="s">
        <v>708</v>
      </c>
      <c r="F391">
        <v>11.475</v>
      </c>
      <c r="G391">
        <v>2013</v>
      </c>
      <c r="J391">
        <v>11475</v>
      </c>
    </row>
    <row r="392" spans="1:51" hidden="1" x14ac:dyDescent="0.25">
      <c r="A392" t="s">
        <v>7</v>
      </c>
      <c r="B392" t="s">
        <v>58</v>
      </c>
      <c r="C392" t="s">
        <v>175</v>
      </c>
      <c r="D392">
        <v>21931</v>
      </c>
      <c r="E392" t="s">
        <v>707</v>
      </c>
      <c r="F392">
        <v>34.53</v>
      </c>
      <c r="G392">
        <v>2013</v>
      </c>
      <c r="M392">
        <v>7437</v>
      </c>
      <c r="Q392">
        <v>27093</v>
      </c>
    </row>
    <row r="393" spans="1:51" hidden="1" x14ac:dyDescent="0.25">
      <c r="A393" t="s">
        <v>7</v>
      </c>
      <c r="B393" t="s">
        <v>58</v>
      </c>
      <c r="C393" t="s">
        <v>180</v>
      </c>
      <c r="D393">
        <v>34442</v>
      </c>
      <c r="E393" t="s">
        <v>707</v>
      </c>
      <c r="F393">
        <v>11.475</v>
      </c>
      <c r="G393">
        <v>2013</v>
      </c>
      <c r="J393">
        <v>11475</v>
      </c>
    </row>
    <row r="394" spans="1:51" hidden="1" x14ac:dyDescent="0.25">
      <c r="A394" t="s">
        <v>7</v>
      </c>
      <c r="B394" t="s">
        <v>58</v>
      </c>
      <c r="C394" t="s">
        <v>181</v>
      </c>
      <c r="D394">
        <v>37829</v>
      </c>
      <c r="E394" t="s">
        <v>707</v>
      </c>
      <c r="F394">
        <v>37.982999999999997</v>
      </c>
      <c r="G394">
        <v>2013</v>
      </c>
      <c r="M394">
        <v>12086</v>
      </c>
      <c r="Q394">
        <v>25898</v>
      </c>
    </row>
    <row r="395" spans="1:51" hidden="1" x14ac:dyDescent="0.25">
      <c r="A395" t="s">
        <v>7</v>
      </c>
      <c r="B395" t="s">
        <v>58</v>
      </c>
      <c r="C395" t="s">
        <v>183</v>
      </c>
      <c r="D395">
        <v>45424</v>
      </c>
      <c r="E395" t="s">
        <v>707</v>
      </c>
      <c r="F395">
        <v>26.175000000000001</v>
      </c>
      <c r="G395">
        <v>2013</v>
      </c>
      <c r="J395">
        <v>11475</v>
      </c>
      <c r="AY395">
        <v>14700</v>
      </c>
    </row>
    <row r="396" spans="1:51" hidden="1" x14ac:dyDescent="0.25">
      <c r="A396" t="s">
        <v>7</v>
      </c>
      <c r="B396" t="s">
        <v>58</v>
      </c>
      <c r="C396" t="s">
        <v>184</v>
      </c>
      <c r="D396">
        <v>50160</v>
      </c>
      <c r="E396" t="s">
        <v>707</v>
      </c>
      <c r="F396">
        <v>11.475</v>
      </c>
      <c r="G396">
        <v>2013</v>
      </c>
    </row>
    <row r="397" spans="1:51" hidden="1" x14ac:dyDescent="0.25">
      <c r="A397" t="s">
        <v>7</v>
      </c>
      <c r="B397" t="s">
        <v>58</v>
      </c>
      <c r="C397" t="s">
        <v>185</v>
      </c>
      <c r="D397">
        <v>52138</v>
      </c>
      <c r="E397" t="s">
        <v>707</v>
      </c>
      <c r="F397">
        <v>9.2249999999999996</v>
      </c>
      <c r="G397">
        <v>2013</v>
      </c>
    </row>
    <row r="398" spans="1:51" hidden="1" x14ac:dyDescent="0.25">
      <c r="A398" t="s">
        <v>7</v>
      </c>
      <c r="B398" t="s">
        <v>58</v>
      </c>
      <c r="C398" t="s">
        <v>173</v>
      </c>
      <c r="D398">
        <v>10532</v>
      </c>
      <c r="E398" t="s">
        <v>708</v>
      </c>
      <c r="F398">
        <v>11.7</v>
      </c>
      <c r="G398">
        <v>2014</v>
      </c>
      <c r="J398">
        <v>11700</v>
      </c>
    </row>
    <row r="399" spans="1:51" hidden="1" x14ac:dyDescent="0.25">
      <c r="A399" t="s">
        <v>7</v>
      </c>
      <c r="B399" t="s">
        <v>58</v>
      </c>
      <c r="C399" t="s">
        <v>180</v>
      </c>
      <c r="D399">
        <v>34442</v>
      </c>
      <c r="E399" t="s">
        <v>707</v>
      </c>
      <c r="F399">
        <v>11.7</v>
      </c>
      <c r="G399">
        <v>2014</v>
      </c>
      <c r="J399">
        <v>11700</v>
      </c>
    </row>
    <row r="400" spans="1:51" hidden="1" x14ac:dyDescent="0.25">
      <c r="A400" t="s">
        <v>7</v>
      </c>
      <c r="B400" t="s">
        <v>58</v>
      </c>
      <c r="C400" t="s">
        <v>181</v>
      </c>
      <c r="D400">
        <v>37829</v>
      </c>
      <c r="E400" t="s">
        <v>707</v>
      </c>
      <c r="F400">
        <v>35.213000000000001</v>
      </c>
      <c r="G400">
        <v>2014</v>
      </c>
      <c r="M400">
        <v>8903</v>
      </c>
      <c r="Q400">
        <v>26310</v>
      </c>
    </row>
    <row r="401" spans="1:17" hidden="1" x14ac:dyDescent="0.25">
      <c r="A401" t="s">
        <v>7</v>
      </c>
      <c r="B401" t="s">
        <v>58</v>
      </c>
      <c r="C401" t="s">
        <v>183</v>
      </c>
      <c r="D401">
        <v>45424</v>
      </c>
      <c r="E401" t="s">
        <v>707</v>
      </c>
      <c r="F401">
        <v>11.7</v>
      </c>
      <c r="G401">
        <v>2014</v>
      </c>
      <c r="J401">
        <v>11700</v>
      </c>
    </row>
    <row r="402" spans="1:17" hidden="1" x14ac:dyDescent="0.25">
      <c r="A402" t="s">
        <v>7</v>
      </c>
      <c r="B402" t="s">
        <v>58</v>
      </c>
      <c r="C402" t="s">
        <v>184</v>
      </c>
      <c r="D402">
        <v>50160</v>
      </c>
      <c r="E402" t="s">
        <v>707</v>
      </c>
      <c r="F402">
        <v>11.7</v>
      </c>
      <c r="G402">
        <v>2014</v>
      </c>
      <c r="J402">
        <v>11700</v>
      </c>
    </row>
    <row r="403" spans="1:17" hidden="1" x14ac:dyDescent="0.25">
      <c r="A403" t="s">
        <v>7</v>
      </c>
      <c r="B403" t="s">
        <v>58</v>
      </c>
      <c r="C403" t="s">
        <v>185</v>
      </c>
      <c r="D403">
        <v>52138</v>
      </c>
      <c r="E403" t="s">
        <v>707</v>
      </c>
      <c r="F403">
        <v>8.7230000000000008</v>
      </c>
      <c r="G403">
        <v>2014</v>
      </c>
    </row>
    <row r="404" spans="1:17" hidden="1" x14ac:dyDescent="0.25">
      <c r="A404" t="s">
        <v>7</v>
      </c>
      <c r="B404" t="s">
        <v>58</v>
      </c>
      <c r="C404" t="s">
        <v>173</v>
      </c>
      <c r="D404">
        <v>10532</v>
      </c>
      <c r="E404" t="s">
        <v>708</v>
      </c>
      <c r="F404">
        <v>11.925000000000001</v>
      </c>
      <c r="G404">
        <v>2015</v>
      </c>
      <c r="J404">
        <v>11925</v>
      </c>
    </row>
    <row r="405" spans="1:17" hidden="1" x14ac:dyDescent="0.25">
      <c r="A405" t="s">
        <v>7</v>
      </c>
      <c r="B405" t="s">
        <v>58</v>
      </c>
      <c r="C405" t="s">
        <v>180</v>
      </c>
      <c r="D405">
        <v>34442</v>
      </c>
      <c r="E405" t="s">
        <v>707</v>
      </c>
      <c r="F405">
        <v>11.925000000000001</v>
      </c>
      <c r="G405">
        <v>2015</v>
      </c>
      <c r="J405">
        <v>11925</v>
      </c>
    </row>
    <row r="406" spans="1:17" hidden="1" x14ac:dyDescent="0.25">
      <c r="A406" t="s">
        <v>7</v>
      </c>
      <c r="B406" t="s">
        <v>58</v>
      </c>
      <c r="C406" t="s">
        <v>181</v>
      </c>
      <c r="D406">
        <v>37829</v>
      </c>
      <c r="E406" t="s">
        <v>707</v>
      </c>
      <c r="F406">
        <v>28.077000000000002</v>
      </c>
      <c r="G406">
        <v>2015</v>
      </c>
      <c r="M406">
        <v>6437</v>
      </c>
      <c r="Q406">
        <v>21640</v>
      </c>
    </row>
    <row r="407" spans="1:17" hidden="1" x14ac:dyDescent="0.25">
      <c r="A407" t="s">
        <v>7</v>
      </c>
      <c r="B407" t="s">
        <v>58</v>
      </c>
      <c r="C407" t="s">
        <v>183</v>
      </c>
      <c r="D407">
        <v>45424</v>
      </c>
      <c r="E407" t="s">
        <v>707</v>
      </c>
      <c r="F407">
        <v>11.925000000000001</v>
      </c>
      <c r="G407">
        <v>2015</v>
      </c>
      <c r="J407">
        <v>11925</v>
      </c>
    </row>
    <row r="408" spans="1:17" hidden="1" x14ac:dyDescent="0.25">
      <c r="A408" t="s">
        <v>7</v>
      </c>
      <c r="B408" t="s">
        <v>58</v>
      </c>
      <c r="C408" t="s">
        <v>185</v>
      </c>
      <c r="D408">
        <v>52138</v>
      </c>
      <c r="E408" t="s">
        <v>707</v>
      </c>
      <c r="F408">
        <v>11.925000000000001</v>
      </c>
      <c r="G408">
        <v>2015</v>
      </c>
      <c r="J408">
        <v>11925</v>
      </c>
    </row>
    <row r="409" spans="1:17" hidden="1" x14ac:dyDescent="0.25">
      <c r="A409" t="s">
        <v>7</v>
      </c>
      <c r="B409" t="s">
        <v>58</v>
      </c>
      <c r="C409" t="s">
        <v>173</v>
      </c>
      <c r="D409">
        <v>10532</v>
      </c>
      <c r="E409" t="s">
        <v>708</v>
      </c>
      <c r="F409">
        <v>11.925000000000001</v>
      </c>
      <c r="G409">
        <v>2016</v>
      </c>
      <c r="J409">
        <v>11925</v>
      </c>
    </row>
    <row r="410" spans="1:17" hidden="1" x14ac:dyDescent="0.25">
      <c r="A410" t="s">
        <v>7</v>
      </c>
      <c r="B410" t="s">
        <v>58</v>
      </c>
      <c r="C410" t="s">
        <v>180</v>
      </c>
      <c r="D410">
        <v>34442</v>
      </c>
      <c r="E410" t="s">
        <v>707</v>
      </c>
      <c r="F410">
        <v>11.925000000000001</v>
      </c>
      <c r="G410">
        <v>2016</v>
      </c>
      <c r="J410">
        <v>11925</v>
      </c>
    </row>
    <row r="411" spans="1:17" hidden="1" x14ac:dyDescent="0.25">
      <c r="A411" t="s">
        <v>7</v>
      </c>
      <c r="B411" t="s">
        <v>58</v>
      </c>
      <c r="C411" t="s">
        <v>183</v>
      </c>
      <c r="D411">
        <v>45424</v>
      </c>
      <c r="E411" t="s">
        <v>707</v>
      </c>
      <c r="F411">
        <v>11.925000000000001</v>
      </c>
      <c r="G411">
        <v>2016</v>
      </c>
      <c r="J411">
        <v>11925</v>
      </c>
    </row>
    <row r="412" spans="1:17" hidden="1" x14ac:dyDescent="0.25">
      <c r="A412" t="s">
        <v>7</v>
      </c>
      <c r="B412" t="s">
        <v>58</v>
      </c>
      <c r="C412" t="s">
        <v>185</v>
      </c>
      <c r="D412">
        <v>52138</v>
      </c>
      <c r="E412" t="s">
        <v>707</v>
      </c>
      <c r="F412">
        <v>11.925000000000001</v>
      </c>
      <c r="G412">
        <v>2016</v>
      </c>
      <c r="J412">
        <v>11925</v>
      </c>
    </row>
    <row r="413" spans="1:17" hidden="1" x14ac:dyDescent="0.25">
      <c r="A413" t="s">
        <v>7</v>
      </c>
      <c r="B413" t="s">
        <v>58</v>
      </c>
      <c r="C413" t="s">
        <v>173</v>
      </c>
      <c r="D413">
        <v>10532</v>
      </c>
      <c r="E413" t="s">
        <v>708</v>
      </c>
      <c r="F413">
        <v>12.15</v>
      </c>
      <c r="G413">
        <v>2017</v>
      </c>
      <c r="J413">
        <v>12150</v>
      </c>
    </row>
    <row r="414" spans="1:17" hidden="1" x14ac:dyDescent="0.25">
      <c r="A414" t="s">
        <v>7</v>
      </c>
      <c r="B414" t="s">
        <v>58</v>
      </c>
      <c r="C414" t="s">
        <v>180</v>
      </c>
      <c r="D414">
        <v>34442</v>
      </c>
      <c r="E414" t="s">
        <v>707</v>
      </c>
      <c r="F414">
        <v>12.15</v>
      </c>
      <c r="G414">
        <v>2017</v>
      </c>
      <c r="J414">
        <v>12150</v>
      </c>
    </row>
    <row r="415" spans="1:17" hidden="1" x14ac:dyDescent="0.25">
      <c r="A415" t="s">
        <v>7</v>
      </c>
      <c r="B415" t="s">
        <v>58</v>
      </c>
      <c r="C415" t="s">
        <v>183</v>
      </c>
      <c r="D415">
        <v>45424</v>
      </c>
      <c r="E415" t="s">
        <v>707</v>
      </c>
      <c r="F415">
        <v>12.151</v>
      </c>
      <c r="G415">
        <v>2017</v>
      </c>
      <c r="J415">
        <v>12150</v>
      </c>
    </row>
    <row r="416" spans="1:17" hidden="1" x14ac:dyDescent="0.25">
      <c r="A416" t="s">
        <v>7</v>
      </c>
      <c r="B416" t="s">
        <v>58</v>
      </c>
      <c r="C416" t="s">
        <v>185</v>
      </c>
      <c r="D416">
        <v>52138</v>
      </c>
      <c r="E416" t="s">
        <v>707</v>
      </c>
      <c r="F416">
        <v>12.15</v>
      </c>
      <c r="G416">
        <v>2017</v>
      </c>
      <c r="J416">
        <v>12150</v>
      </c>
    </row>
    <row r="417" spans="1:52" hidden="1" x14ac:dyDescent="0.25">
      <c r="A417" t="s">
        <v>7</v>
      </c>
      <c r="B417" t="s">
        <v>58</v>
      </c>
      <c r="C417" t="s">
        <v>186</v>
      </c>
      <c r="D417">
        <v>57558</v>
      </c>
      <c r="E417" t="s">
        <v>707</v>
      </c>
      <c r="F417">
        <v>62.15</v>
      </c>
      <c r="G417">
        <v>2017</v>
      </c>
      <c r="J417">
        <v>12150</v>
      </c>
      <c r="AV417">
        <v>50000</v>
      </c>
    </row>
    <row r="418" spans="1:52" hidden="1" x14ac:dyDescent="0.25">
      <c r="A418" t="s">
        <v>7</v>
      </c>
      <c r="B418" t="s">
        <v>58</v>
      </c>
      <c r="C418" t="s">
        <v>173</v>
      </c>
      <c r="D418">
        <v>10532</v>
      </c>
      <c r="E418" t="s">
        <v>708</v>
      </c>
      <c r="F418">
        <v>12.375</v>
      </c>
      <c r="G418">
        <v>2018</v>
      </c>
      <c r="J418">
        <v>12375</v>
      </c>
    </row>
    <row r="419" spans="1:52" hidden="1" x14ac:dyDescent="0.25">
      <c r="A419" t="s">
        <v>7</v>
      </c>
      <c r="B419" t="s">
        <v>58</v>
      </c>
      <c r="C419" t="s">
        <v>180</v>
      </c>
      <c r="D419">
        <v>34442</v>
      </c>
      <c r="E419" t="s">
        <v>707</v>
      </c>
      <c r="F419">
        <v>12.375</v>
      </c>
      <c r="G419">
        <v>2018</v>
      </c>
      <c r="J419">
        <v>12375</v>
      </c>
    </row>
    <row r="420" spans="1:52" hidden="1" x14ac:dyDescent="0.25">
      <c r="A420" t="s">
        <v>7</v>
      </c>
      <c r="B420" t="s">
        <v>58</v>
      </c>
      <c r="C420" t="s">
        <v>183</v>
      </c>
      <c r="D420">
        <v>45424</v>
      </c>
      <c r="E420" t="s">
        <v>707</v>
      </c>
      <c r="F420">
        <v>12.375</v>
      </c>
      <c r="G420">
        <v>2018</v>
      </c>
      <c r="J420">
        <v>12375</v>
      </c>
    </row>
    <row r="421" spans="1:52" hidden="1" x14ac:dyDescent="0.25">
      <c r="A421" t="s">
        <v>7</v>
      </c>
      <c r="B421" t="s">
        <v>58</v>
      </c>
      <c r="C421" t="s">
        <v>185</v>
      </c>
      <c r="D421">
        <v>52138</v>
      </c>
      <c r="E421" t="s">
        <v>707</v>
      </c>
      <c r="F421">
        <v>12.375</v>
      </c>
      <c r="G421">
        <v>2018</v>
      </c>
      <c r="J421">
        <v>12375</v>
      </c>
    </row>
    <row r="422" spans="1:52" hidden="1" x14ac:dyDescent="0.25">
      <c r="A422" t="s">
        <v>7</v>
      </c>
      <c r="B422" t="s">
        <v>58</v>
      </c>
      <c r="C422" t="s">
        <v>186</v>
      </c>
      <c r="D422">
        <v>57558</v>
      </c>
      <c r="E422" t="s">
        <v>707</v>
      </c>
      <c r="F422">
        <v>12.265000000000001</v>
      </c>
      <c r="G422">
        <v>2018</v>
      </c>
      <c r="J422">
        <v>12265</v>
      </c>
    </row>
    <row r="423" spans="1:52" s="4" customFormat="1" hidden="1" x14ac:dyDescent="0.25">
      <c r="A423" s="4" t="s">
        <v>8</v>
      </c>
      <c r="B423" s="4" t="s">
        <v>59</v>
      </c>
      <c r="C423" s="4" t="s">
        <v>187</v>
      </c>
      <c r="D423" s="4">
        <v>20811</v>
      </c>
      <c r="E423" s="4" t="s">
        <v>707</v>
      </c>
      <c r="F423" s="4">
        <v>26.952999999999999</v>
      </c>
      <c r="G423" s="4">
        <v>2006</v>
      </c>
      <c r="AZ423" s="7"/>
    </row>
    <row r="424" spans="1:52" hidden="1" x14ac:dyDescent="0.25">
      <c r="A424" t="s">
        <v>8</v>
      </c>
      <c r="B424" t="s">
        <v>59</v>
      </c>
      <c r="C424" t="s">
        <v>188</v>
      </c>
      <c r="D424">
        <v>21912</v>
      </c>
      <c r="E424" t="s">
        <v>708</v>
      </c>
      <c r="F424">
        <v>4733.3090000000002</v>
      </c>
      <c r="G424">
        <v>2006</v>
      </c>
    </row>
    <row r="425" spans="1:52" hidden="1" x14ac:dyDescent="0.25">
      <c r="A425" t="s">
        <v>8</v>
      </c>
      <c r="B425" t="s">
        <v>59</v>
      </c>
      <c r="C425" t="s">
        <v>189</v>
      </c>
      <c r="D425">
        <v>31864</v>
      </c>
      <c r="E425" t="s">
        <v>707</v>
      </c>
      <c r="F425">
        <v>24.518000000000001</v>
      </c>
      <c r="G425">
        <v>2006</v>
      </c>
    </row>
    <row r="426" spans="1:52" hidden="1" x14ac:dyDescent="0.25">
      <c r="A426" t="s">
        <v>8</v>
      </c>
      <c r="B426" t="s">
        <v>59</v>
      </c>
      <c r="C426" t="s">
        <v>190</v>
      </c>
      <c r="D426">
        <v>36712</v>
      </c>
      <c r="E426" t="s">
        <v>707</v>
      </c>
      <c r="F426">
        <v>0</v>
      </c>
      <c r="G426">
        <v>2006</v>
      </c>
    </row>
    <row r="427" spans="1:52" hidden="1" x14ac:dyDescent="0.25">
      <c r="A427" t="s">
        <v>8</v>
      </c>
      <c r="B427" t="s">
        <v>59</v>
      </c>
      <c r="C427" t="s">
        <v>191</v>
      </c>
      <c r="D427">
        <v>36713</v>
      </c>
      <c r="E427" t="s">
        <v>707</v>
      </c>
      <c r="F427">
        <v>0</v>
      </c>
      <c r="G427">
        <v>2006</v>
      </c>
    </row>
    <row r="428" spans="1:52" hidden="1" x14ac:dyDescent="0.25">
      <c r="A428" t="s">
        <v>8</v>
      </c>
      <c r="B428" t="s">
        <v>59</v>
      </c>
      <c r="C428" t="s">
        <v>192</v>
      </c>
      <c r="D428">
        <v>36714</v>
      </c>
      <c r="E428" t="s">
        <v>707</v>
      </c>
      <c r="F428">
        <v>1047.2819999999999</v>
      </c>
      <c r="G428">
        <v>2006</v>
      </c>
    </row>
    <row r="429" spans="1:52" hidden="1" x14ac:dyDescent="0.25">
      <c r="A429" t="s">
        <v>8</v>
      </c>
      <c r="B429" t="s">
        <v>59</v>
      </c>
      <c r="C429" t="s">
        <v>193</v>
      </c>
      <c r="D429">
        <v>36715</v>
      </c>
      <c r="E429" t="s">
        <v>707</v>
      </c>
      <c r="F429">
        <v>171.48599999999999</v>
      </c>
      <c r="G429">
        <v>2006</v>
      </c>
    </row>
    <row r="430" spans="1:52" hidden="1" x14ac:dyDescent="0.25">
      <c r="A430" t="s">
        <v>9</v>
      </c>
      <c r="B430" t="s">
        <v>60</v>
      </c>
      <c r="C430" t="s">
        <v>194</v>
      </c>
      <c r="D430">
        <v>53616</v>
      </c>
      <c r="E430" t="s">
        <v>707</v>
      </c>
      <c r="F430">
        <v>0</v>
      </c>
      <c r="G430">
        <v>2011</v>
      </c>
    </row>
    <row r="431" spans="1:52" hidden="1" x14ac:dyDescent="0.25">
      <c r="A431" t="s">
        <v>9</v>
      </c>
      <c r="B431" t="s">
        <v>60</v>
      </c>
      <c r="C431" t="s">
        <v>195</v>
      </c>
      <c r="D431">
        <v>53617</v>
      </c>
      <c r="E431" t="s">
        <v>707</v>
      </c>
      <c r="F431">
        <v>0</v>
      </c>
      <c r="G431">
        <v>2011</v>
      </c>
    </row>
    <row r="432" spans="1:52" hidden="1" x14ac:dyDescent="0.25">
      <c r="A432" t="s">
        <v>9</v>
      </c>
      <c r="B432" t="s">
        <v>60</v>
      </c>
      <c r="C432" t="s">
        <v>196</v>
      </c>
      <c r="D432">
        <v>53619</v>
      </c>
      <c r="E432" t="s">
        <v>708</v>
      </c>
      <c r="F432">
        <v>788.14400000000001</v>
      </c>
      <c r="G432">
        <v>2011</v>
      </c>
      <c r="M432">
        <v>5700</v>
      </c>
      <c r="AR432">
        <v>782444</v>
      </c>
    </row>
    <row r="433" spans="1:44" hidden="1" x14ac:dyDescent="0.25">
      <c r="A433" t="s">
        <v>9</v>
      </c>
      <c r="B433" t="s">
        <v>60</v>
      </c>
      <c r="C433" t="s">
        <v>197</v>
      </c>
      <c r="D433">
        <v>53621</v>
      </c>
      <c r="E433" t="s">
        <v>707</v>
      </c>
      <c r="F433">
        <v>0</v>
      </c>
      <c r="G433">
        <v>2011</v>
      </c>
    </row>
    <row r="434" spans="1:44" hidden="1" x14ac:dyDescent="0.25">
      <c r="A434" t="s">
        <v>9</v>
      </c>
      <c r="B434" t="s">
        <v>60</v>
      </c>
      <c r="C434" t="s">
        <v>194</v>
      </c>
      <c r="D434">
        <v>53616</v>
      </c>
      <c r="E434" t="s">
        <v>707</v>
      </c>
      <c r="F434">
        <v>0</v>
      </c>
      <c r="G434">
        <v>2012</v>
      </c>
    </row>
    <row r="435" spans="1:44" hidden="1" x14ac:dyDescent="0.25">
      <c r="A435" t="s">
        <v>9</v>
      </c>
      <c r="B435" t="s">
        <v>60</v>
      </c>
      <c r="C435" t="s">
        <v>195</v>
      </c>
      <c r="D435">
        <v>53617</v>
      </c>
      <c r="E435" t="s">
        <v>707</v>
      </c>
      <c r="F435">
        <v>0</v>
      </c>
      <c r="G435">
        <v>2012</v>
      </c>
    </row>
    <row r="436" spans="1:44" hidden="1" x14ac:dyDescent="0.25">
      <c r="A436" t="s">
        <v>9</v>
      </c>
      <c r="B436" t="s">
        <v>60</v>
      </c>
      <c r="C436" t="s">
        <v>198</v>
      </c>
      <c r="D436">
        <v>53618</v>
      </c>
      <c r="E436" t="s">
        <v>707</v>
      </c>
      <c r="F436">
        <v>0</v>
      </c>
      <c r="G436">
        <v>2012</v>
      </c>
    </row>
    <row r="437" spans="1:44" hidden="1" x14ac:dyDescent="0.25">
      <c r="A437" t="s">
        <v>9</v>
      </c>
      <c r="B437" t="s">
        <v>60</v>
      </c>
      <c r="C437" t="s">
        <v>196</v>
      </c>
      <c r="D437">
        <v>53619</v>
      </c>
      <c r="E437" t="s">
        <v>708</v>
      </c>
      <c r="F437">
        <v>847.07500000000005</v>
      </c>
      <c r="G437">
        <v>2012</v>
      </c>
      <c r="M437">
        <v>2850</v>
      </c>
      <c r="AR437">
        <v>844225</v>
      </c>
    </row>
    <row r="438" spans="1:44" hidden="1" x14ac:dyDescent="0.25">
      <c r="A438" t="s">
        <v>9</v>
      </c>
      <c r="B438" t="s">
        <v>60</v>
      </c>
      <c r="C438" t="s">
        <v>197</v>
      </c>
      <c r="D438">
        <v>53621</v>
      </c>
      <c r="E438" t="s">
        <v>707</v>
      </c>
      <c r="F438">
        <v>0</v>
      </c>
      <c r="G438">
        <v>2012</v>
      </c>
    </row>
    <row r="439" spans="1:44" hidden="1" x14ac:dyDescent="0.25">
      <c r="A439" t="s">
        <v>9</v>
      </c>
      <c r="B439" t="s">
        <v>60</v>
      </c>
      <c r="C439" t="s">
        <v>199</v>
      </c>
      <c r="D439">
        <v>53615</v>
      </c>
      <c r="E439" t="s">
        <v>707</v>
      </c>
      <c r="F439">
        <v>0</v>
      </c>
      <c r="G439">
        <v>2013</v>
      </c>
    </row>
    <row r="440" spans="1:44" hidden="1" x14ac:dyDescent="0.25">
      <c r="A440" t="s">
        <v>9</v>
      </c>
      <c r="B440" t="s">
        <v>60</v>
      </c>
      <c r="C440" t="s">
        <v>194</v>
      </c>
      <c r="D440">
        <v>53616</v>
      </c>
      <c r="E440" t="s">
        <v>707</v>
      </c>
      <c r="F440">
        <v>0</v>
      </c>
      <c r="G440">
        <v>2013</v>
      </c>
    </row>
    <row r="441" spans="1:44" hidden="1" x14ac:dyDescent="0.25">
      <c r="A441" t="s">
        <v>9</v>
      </c>
      <c r="B441" t="s">
        <v>60</v>
      </c>
      <c r="C441" t="s">
        <v>195</v>
      </c>
      <c r="D441">
        <v>53617</v>
      </c>
      <c r="E441" t="s">
        <v>707</v>
      </c>
      <c r="F441">
        <v>0</v>
      </c>
      <c r="G441">
        <v>2013</v>
      </c>
    </row>
    <row r="442" spans="1:44" hidden="1" x14ac:dyDescent="0.25">
      <c r="A442" t="s">
        <v>9</v>
      </c>
      <c r="B442" t="s">
        <v>60</v>
      </c>
      <c r="C442" t="s">
        <v>198</v>
      </c>
      <c r="D442">
        <v>53618</v>
      </c>
      <c r="E442" t="s">
        <v>707</v>
      </c>
      <c r="F442">
        <v>0</v>
      </c>
      <c r="G442">
        <v>2013</v>
      </c>
    </row>
    <row r="443" spans="1:44" hidden="1" x14ac:dyDescent="0.25">
      <c r="A443" t="s">
        <v>9</v>
      </c>
      <c r="B443" t="s">
        <v>60</v>
      </c>
      <c r="C443" t="s">
        <v>196</v>
      </c>
      <c r="D443">
        <v>53619</v>
      </c>
      <c r="E443" t="s">
        <v>708</v>
      </c>
      <c r="F443">
        <v>0</v>
      </c>
      <c r="G443">
        <v>2013</v>
      </c>
    </row>
    <row r="444" spans="1:44" hidden="1" x14ac:dyDescent="0.25">
      <c r="A444" t="s">
        <v>9</v>
      </c>
      <c r="B444" t="s">
        <v>60</v>
      </c>
      <c r="C444" t="s">
        <v>199</v>
      </c>
      <c r="D444">
        <v>53615</v>
      </c>
      <c r="E444" t="s">
        <v>707</v>
      </c>
      <c r="F444">
        <v>0</v>
      </c>
      <c r="G444">
        <v>2014</v>
      </c>
    </row>
    <row r="445" spans="1:44" hidden="1" x14ac:dyDescent="0.25">
      <c r="A445" t="s">
        <v>9</v>
      </c>
      <c r="B445" t="s">
        <v>60</v>
      </c>
      <c r="C445" t="s">
        <v>194</v>
      </c>
      <c r="D445">
        <v>53616</v>
      </c>
      <c r="E445" t="s">
        <v>707</v>
      </c>
      <c r="F445">
        <v>0</v>
      </c>
      <c r="G445">
        <v>2014</v>
      </c>
    </row>
    <row r="446" spans="1:44" hidden="1" x14ac:dyDescent="0.25">
      <c r="A446" t="s">
        <v>9</v>
      </c>
      <c r="B446" t="s">
        <v>60</v>
      </c>
      <c r="C446" t="s">
        <v>195</v>
      </c>
      <c r="D446">
        <v>53617</v>
      </c>
      <c r="E446" t="s">
        <v>707</v>
      </c>
      <c r="F446">
        <v>0</v>
      </c>
      <c r="G446">
        <v>2014</v>
      </c>
    </row>
    <row r="447" spans="1:44" hidden="1" x14ac:dyDescent="0.25">
      <c r="A447" t="s">
        <v>9</v>
      </c>
      <c r="B447" t="s">
        <v>60</v>
      </c>
      <c r="C447" t="s">
        <v>198</v>
      </c>
      <c r="D447">
        <v>53618</v>
      </c>
      <c r="E447" t="s">
        <v>707</v>
      </c>
      <c r="F447">
        <v>8.5</v>
      </c>
      <c r="G447">
        <v>2014</v>
      </c>
      <c r="AK447">
        <v>8500</v>
      </c>
    </row>
    <row r="448" spans="1:44" hidden="1" x14ac:dyDescent="0.25">
      <c r="A448" t="s">
        <v>9</v>
      </c>
      <c r="B448" t="s">
        <v>60</v>
      </c>
      <c r="C448" t="s">
        <v>196</v>
      </c>
      <c r="D448">
        <v>53619</v>
      </c>
      <c r="E448" t="s">
        <v>708</v>
      </c>
      <c r="F448">
        <v>0</v>
      </c>
      <c r="G448">
        <v>2014</v>
      </c>
    </row>
    <row r="449" spans="1:50" hidden="1" x14ac:dyDescent="0.25">
      <c r="A449" t="s">
        <v>9</v>
      </c>
      <c r="B449" t="s">
        <v>60</v>
      </c>
      <c r="C449" t="s">
        <v>200</v>
      </c>
      <c r="D449">
        <v>53620</v>
      </c>
      <c r="E449" t="s">
        <v>707</v>
      </c>
      <c r="F449">
        <v>0</v>
      </c>
      <c r="G449">
        <v>2014</v>
      </c>
    </row>
    <row r="450" spans="1:50" hidden="1" x14ac:dyDescent="0.25">
      <c r="A450" t="s">
        <v>9</v>
      </c>
      <c r="B450" t="s">
        <v>60</v>
      </c>
      <c r="C450" t="s">
        <v>199</v>
      </c>
      <c r="D450">
        <v>53615</v>
      </c>
      <c r="E450" t="s">
        <v>708</v>
      </c>
      <c r="F450">
        <v>3.3119999999999998</v>
      </c>
      <c r="G450">
        <v>2015</v>
      </c>
      <c r="J450">
        <v>3312</v>
      </c>
    </row>
    <row r="451" spans="1:50" hidden="1" x14ac:dyDescent="0.25">
      <c r="A451" t="s">
        <v>9</v>
      </c>
      <c r="B451" t="s">
        <v>60</v>
      </c>
      <c r="C451" t="s">
        <v>194</v>
      </c>
      <c r="D451">
        <v>53616</v>
      </c>
      <c r="E451" t="s">
        <v>707</v>
      </c>
      <c r="F451">
        <v>0</v>
      </c>
      <c r="G451">
        <v>2015</v>
      </c>
    </row>
    <row r="452" spans="1:50" hidden="1" x14ac:dyDescent="0.25">
      <c r="A452" t="s">
        <v>9</v>
      </c>
      <c r="B452" t="s">
        <v>60</v>
      </c>
      <c r="C452" t="s">
        <v>195</v>
      </c>
      <c r="D452">
        <v>53617</v>
      </c>
      <c r="E452" t="s">
        <v>707</v>
      </c>
      <c r="F452">
        <v>2.6440000000000001</v>
      </c>
      <c r="G452">
        <v>2015</v>
      </c>
      <c r="J452">
        <v>2644</v>
      </c>
    </row>
    <row r="453" spans="1:50" hidden="1" x14ac:dyDescent="0.25">
      <c r="A453" t="s">
        <v>9</v>
      </c>
      <c r="B453" t="s">
        <v>60</v>
      </c>
      <c r="C453" t="s">
        <v>196</v>
      </c>
      <c r="D453">
        <v>53619</v>
      </c>
      <c r="E453" t="s">
        <v>707</v>
      </c>
      <c r="F453">
        <v>0.433</v>
      </c>
      <c r="G453">
        <v>2015</v>
      </c>
      <c r="J453">
        <v>433</v>
      </c>
    </row>
    <row r="454" spans="1:50" hidden="1" x14ac:dyDescent="0.25">
      <c r="A454" t="s">
        <v>9</v>
      </c>
      <c r="B454" t="s">
        <v>60</v>
      </c>
      <c r="C454" t="s">
        <v>200</v>
      </c>
      <c r="D454">
        <v>53620</v>
      </c>
      <c r="E454" t="s">
        <v>707</v>
      </c>
      <c r="F454">
        <v>2.6469999999999998</v>
      </c>
      <c r="G454">
        <v>2015</v>
      </c>
      <c r="J454">
        <v>2647</v>
      </c>
    </row>
    <row r="455" spans="1:50" hidden="1" x14ac:dyDescent="0.25">
      <c r="A455" t="s">
        <v>9</v>
      </c>
      <c r="B455" t="s">
        <v>60</v>
      </c>
      <c r="C455" t="s">
        <v>199</v>
      </c>
      <c r="D455">
        <v>53615</v>
      </c>
      <c r="E455" t="s">
        <v>708</v>
      </c>
      <c r="F455">
        <v>3.96</v>
      </c>
      <c r="G455">
        <v>2016</v>
      </c>
      <c r="J455">
        <v>3960</v>
      </c>
    </row>
    <row r="456" spans="1:50" hidden="1" x14ac:dyDescent="0.25">
      <c r="A456" t="s">
        <v>9</v>
      </c>
      <c r="B456" t="s">
        <v>60</v>
      </c>
      <c r="C456" t="s">
        <v>194</v>
      </c>
      <c r="D456">
        <v>53616</v>
      </c>
      <c r="E456" t="s">
        <v>707</v>
      </c>
      <c r="F456">
        <v>0</v>
      </c>
      <c r="G456">
        <v>2016</v>
      </c>
    </row>
    <row r="457" spans="1:50" hidden="1" x14ac:dyDescent="0.25">
      <c r="A457" t="s">
        <v>9</v>
      </c>
      <c r="B457" t="s">
        <v>60</v>
      </c>
      <c r="C457" t="s">
        <v>195</v>
      </c>
      <c r="D457">
        <v>53617</v>
      </c>
      <c r="E457" t="s">
        <v>707</v>
      </c>
      <c r="F457">
        <v>3.4350000000000001</v>
      </c>
      <c r="G457">
        <v>2016</v>
      </c>
      <c r="J457">
        <v>3435</v>
      </c>
    </row>
    <row r="458" spans="1:50" hidden="1" x14ac:dyDescent="0.25">
      <c r="A458" t="s">
        <v>9</v>
      </c>
      <c r="B458" t="s">
        <v>60</v>
      </c>
      <c r="C458" t="s">
        <v>196</v>
      </c>
      <c r="D458">
        <v>53619</v>
      </c>
      <c r="E458" t="s">
        <v>707</v>
      </c>
      <c r="F458">
        <v>0</v>
      </c>
      <c r="G458">
        <v>2016</v>
      </c>
    </row>
    <row r="459" spans="1:50" hidden="1" x14ac:dyDescent="0.25">
      <c r="A459" t="s">
        <v>9</v>
      </c>
      <c r="B459" t="s">
        <v>60</v>
      </c>
      <c r="C459" t="s">
        <v>200</v>
      </c>
      <c r="D459">
        <v>53620</v>
      </c>
      <c r="E459" t="s">
        <v>707</v>
      </c>
      <c r="F459">
        <v>3.7349999999999999</v>
      </c>
      <c r="G459">
        <v>2016</v>
      </c>
      <c r="J459">
        <v>3735</v>
      </c>
    </row>
    <row r="460" spans="1:50" hidden="1" x14ac:dyDescent="0.25">
      <c r="A460" t="s">
        <v>9</v>
      </c>
      <c r="B460" t="s">
        <v>60</v>
      </c>
      <c r="C460" t="s">
        <v>201</v>
      </c>
      <c r="D460">
        <v>54238</v>
      </c>
      <c r="E460" t="s">
        <v>707</v>
      </c>
      <c r="F460">
        <v>10.786</v>
      </c>
      <c r="G460">
        <v>2016</v>
      </c>
      <c r="M460">
        <v>5821</v>
      </c>
      <c r="AB460">
        <v>4965</v>
      </c>
    </row>
    <row r="461" spans="1:50" hidden="1" x14ac:dyDescent="0.25">
      <c r="A461" t="s">
        <v>9</v>
      </c>
      <c r="B461" t="s">
        <v>60</v>
      </c>
      <c r="C461" t="s">
        <v>199</v>
      </c>
      <c r="D461">
        <v>53615</v>
      </c>
      <c r="E461" t="s">
        <v>707</v>
      </c>
      <c r="F461">
        <v>403.15899999999999</v>
      </c>
      <c r="G461">
        <v>2017</v>
      </c>
      <c r="J461">
        <v>8505</v>
      </c>
      <c r="AH461">
        <v>122739</v>
      </c>
      <c r="AK461">
        <v>18268</v>
      </c>
      <c r="AX461">
        <v>253647</v>
      </c>
    </row>
    <row r="462" spans="1:50" hidden="1" x14ac:dyDescent="0.25">
      <c r="A462" t="s">
        <v>9</v>
      </c>
      <c r="B462" t="s">
        <v>60</v>
      </c>
      <c r="C462" t="s">
        <v>195</v>
      </c>
      <c r="D462">
        <v>53617</v>
      </c>
      <c r="E462" t="s">
        <v>707</v>
      </c>
      <c r="F462">
        <v>15.68</v>
      </c>
      <c r="G462">
        <v>2017</v>
      </c>
      <c r="J462">
        <v>7296</v>
      </c>
      <c r="AK462">
        <v>8384</v>
      </c>
    </row>
    <row r="463" spans="1:50" hidden="1" x14ac:dyDescent="0.25">
      <c r="A463" t="s">
        <v>9</v>
      </c>
      <c r="B463" t="s">
        <v>60</v>
      </c>
      <c r="C463" t="s">
        <v>196</v>
      </c>
      <c r="D463">
        <v>53619</v>
      </c>
      <c r="E463" t="s">
        <v>708</v>
      </c>
      <c r="F463">
        <v>100.029</v>
      </c>
      <c r="G463">
        <v>2017</v>
      </c>
      <c r="J463">
        <v>25</v>
      </c>
    </row>
    <row r="464" spans="1:50" hidden="1" x14ac:dyDescent="0.25">
      <c r="A464" t="s">
        <v>9</v>
      </c>
      <c r="B464" t="s">
        <v>60</v>
      </c>
      <c r="C464" t="s">
        <v>200</v>
      </c>
      <c r="D464">
        <v>53620</v>
      </c>
      <c r="E464" t="s">
        <v>707</v>
      </c>
      <c r="F464">
        <v>14.145</v>
      </c>
      <c r="G464">
        <v>2017</v>
      </c>
      <c r="J464">
        <v>9027</v>
      </c>
      <c r="AK464">
        <v>5108</v>
      </c>
    </row>
    <row r="465" spans="1:52" hidden="1" x14ac:dyDescent="0.25">
      <c r="A465" t="s">
        <v>9</v>
      </c>
      <c r="B465" t="s">
        <v>60</v>
      </c>
      <c r="C465" t="s">
        <v>202</v>
      </c>
      <c r="D465">
        <v>57563</v>
      </c>
      <c r="E465" t="s">
        <v>707</v>
      </c>
      <c r="F465">
        <v>123.149</v>
      </c>
      <c r="G465">
        <v>2017</v>
      </c>
      <c r="J465">
        <v>3149</v>
      </c>
      <c r="AX465">
        <v>120000</v>
      </c>
    </row>
    <row r="466" spans="1:52" hidden="1" x14ac:dyDescent="0.25">
      <c r="A466" t="s">
        <v>9</v>
      </c>
      <c r="B466" t="s">
        <v>60</v>
      </c>
      <c r="C466" t="s">
        <v>196</v>
      </c>
      <c r="D466">
        <v>53619</v>
      </c>
      <c r="E466" t="s">
        <v>708</v>
      </c>
      <c r="F466">
        <v>0.6</v>
      </c>
      <c r="G466">
        <v>2018</v>
      </c>
      <c r="J466">
        <v>600</v>
      </c>
    </row>
    <row r="467" spans="1:52" hidden="1" x14ac:dyDescent="0.25">
      <c r="A467" t="s">
        <v>9</v>
      </c>
      <c r="B467" t="s">
        <v>60</v>
      </c>
      <c r="C467" t="s">
        <v>200</v>
      </c>
      <c r="D467">
        <v>53620</v>
      </c>
      <c r="E467" t="s">
        <v>707</v>
      </c>
      <c r="F467">
        <v>7.125</v>
      </c>
      <c r="G467">
        <v>2018</v>
      </c>
      <c r="J467">
        <v>7125</v>
      </c>
    </row>
    <row r="468" spans="1:52" hidden="1" x14ac:dyDescent="0.25">
      <c r="A468" t="s">
        <v>9</v>
      </c>
      <c r="B468" t="s">
        <v>60</v>
      </c>
      <c r="C468" t="s">
        <v>203</v>
      </c>
      <c r="D468">
        <v>61129</v>
      </c>
      <c r="E468" t="s">
        <v>707</v>
      </c>
      <c r="F468">
        <v>3.6309999999999998</v>
      </c>
      <c r="G468">
        <v>2018</v>
      </c>
      <c r="J468">
        <v>3631</v>
      </c>
    </row>
    <row r="469" spans="1:52" s="4" customFormat="1" hidden="1" x14ac:dyDescent="0.25">
      <c r="A469" s="4" t="s">
        <v>10</v>
      </c>
      <c r="B469" s="4" t="s">
        <v>61</v>
      </c>
      <c r="C469" s="4" t="s">
        <v>204</v>
      </c>
      <c r="D469" s="4">
        <v>9855</v>
      </c>
      <c r="E469" s="4" t="s">
        <v>707</v>
      </c>
      <c r="F469" s="4">
        <v>78.245000000000005</v>
      </c>
      <c r="G469" s="4">
        <v>2006</v>
      </c>
      <c r="J469" s="4">
        <f>43000+11000</f>
        <v>54000</v>
      </c>
      <c r="L469" s="4">
        <v>4269</v>
      </c>
      <c r="Q469" s="4">
        <f>12000</f>
        <v>12000</v>
      </c>
      <c r="AL469" s="4">
        <v>2752</v>
      </c>
      <c r="AR469" s="4">
        <v>5224</v>
      </c>
      <c r="AZ469" s="7"/>
    </row>
    <row r="470" spans="1:52" hidden="1" x14ac:dyDescent="0.25">
      <c r="A470" t="s">
        <v>10</v>
      </c>
      <c r="B470" t="s">
        <v>61</v>
      </c>
      <c r="C470" t="s">
        <v>205</v>
      </c>
      <c r="D470">
        <v>27574</v>
      </c>
      <c r="E470" t="s">
        <v>708</v>
      </c>
      <c r="F470">
        <v>296.23599999999999</v>
      </c>
      <c r="G470">
        <v>2006</v>
      </c>
      <c r="J470">
        <f>248124+11000</f>
        <v>259124</v>
      </c>
      <c r="L470">
        <v>3538</v>
      </c>
      <c r="Q470">
        <f>7006+18000</f>
        <v>25006</v>
      </c>
      <c r="AR470">
        <v>8567</v>
      </c>
    </row>
    <row r="471" spans="1:52" hidden="1" x14ac:dyDescent="0.25">
      <c r="A471" t="s">
        <v>10</v>
      </c>
      <c r="B471" t="s">
        <v>61</v>
      </c>
      <c r="C471" t="s">
        <v>206</v>
      </c>
      <c r="D471">
        <v>29125</v>
      </c>
      <c r="E471" t="s">
        <v>707</v>
      </c>
      <c r="F471">
        <v>58.548000000000002</v>
      </c>
      <c r="G471">
        <v>2006</v>
      </c>
      <c r="J471">
        <f>36040+11000</f>
        <v>47040</v>
      </c>
      <c r="L471">
        <v>1865</v>
      </c>
      <c r="Q471">
        <v>8400</v>
      </c>
      <c r="AR471">
        <v>1243</v>
      </c>
    </row>
    <row r="472" spans="1:52" hidden="1" x14ac:dyDescent="0.25">
      <c r="A472" t="s">
        <v>10</v>
      </c>
      <c r="B472" t="s">
        <v>61</v>
      </c>
      <c r="C472" t="s">
        <v>207</v>
      </c>
      <c r="D472">
        <v>29126</v>
      </c>
      <c r="E472" t="s">
        <v>707</v>
      </c>
      <c r="F472">
        <v>272.553</v>
      </c>
      <c r="G472">
        <v>2006</v>
      </c>
      <c r="J472">
        <f>78000+11000</f>
        <v>89000</v>
      </c>
      <c r="L472">
        <v>12148</v>
      </c>
      <c r="N472" t="s">
        <v>749</v>
      </c>
      <c r="Q472">
        <v>18000</v>
      </c>
      <c r="AD472" t="s">
        <v>749</v>
      </c>
      <c r="AR472">
        <v>71992</v>
      </c>
    </row>
    <row r="473" spans="1:52" hidden="1" x14ac:dyDescent="0.25">
      <c r="A473" t="s">
        <v>10</v>
      </c>
      <c r="B473" t="s">
        <v>61</v>
      </c>
      <c r="C473" t="s">
        <v>208</v>
      </c>
      <c r="D473">
        <v>31145</v>
      </c>
      <c r="E473" t="s">
        <v>707</v>
      </c>
      <c r="F473">
        <v>70.087000000000003</v>
      </c>
      <c r="G473">
        <v>2006</v>
      </c>
      <c r="J473">
        <f>45000+11000</f>
        <v>56000</v>
      </c>
      <c r="L473">
        <v>1354</v>
      </c>
      <c r="Q473">
        <v>12000</v>
      </c>
      <c r="AR473">
        <v>733</v>
      </c>
    </row>
    <row r="474" spans="1:52" hidden="1" x14ac:dyDescent="0.25">
      <c r="A474" t="s">
        <v>10</v>
      </c>
      <c r="B474" t="s">
        <v>61</v>
      </c>
      <c r="C474" t="s">
        <v>204</v>
      </c>
      <c r="D474">
        <v>9855</v>
      </c>
      <c r="E474" t="s">
        <v>707</v>
      </c>
      <c r="F474">
        <v>80.733999999999995</v>
      </c>
      <c r="G474">
        <v>2007</v>
      </c>
      <c r="H474">
        <v>1</v>
      </c>
    </row>
    <row r="475" spans="1:52" hidden="1" x14ac:dyDescent="0.25">
      <c r="A475" t="s">
        <v>10</v>
      </c>
      <c r="B475" t="s">
        <v>61</v>
      </c>
      <c r="C475" t="s">
        <v>205</v>
      </c>
      <c r="D475">
        <v>27574</v>
      </c>
      <c r="E475" t="s">
        <v>708</v>
      </c>
      <c r="F475">
        <v>342.06700000000001</v>
      </c>
      <c r="G475">
        <v>2007</v>
      </c>
      <c r="J475">
        <f>291910+11250</f>
        <v>303160</v>
      </c>
      <c r="L475">
        <v>2350</v>
      </c>
      <c r="Q475">
        <f>18000+7223</f>
        <v>25223</v>
      </c>
      <c r="AM475">
        <v>1340</v>
      </c>
      <c r="AR475">
        <v>9944</v>
      </c>
    </row>
    <row r="476" spans="1:52" hidden="1" x14ac:dyDescent="0.25">
      <c r="A476" t="s">
        <v>10</v>
      </c>
      <c r="B476" t="s">
        <v>61</v>
      </c>
      <c r="C476" t="s">
        <v>206</v>
      </c>
      <c r="D476">
        <v>29125</v>
      </c>
      <c r="E476" t="s">
        <v>707</v>
      </c>
      <c r="F476">
        <v>62.308</v>
      </c>
      <c r="G476">
        <v>2007</v>
      </c>
      <c r="J476">
        <f>36970+11250</f>
        <v>48220</v>
      </c>
      <c r="L476">
        <v>1595</v>
      </c>
      <c r="Q476">
        <v>11250</v>
      </c>
      <c r="AR476">
        <v>1243</v>
      </c>
    </row>
    <row r="477" spans="1:52" hidden="1" x14ac:dyDescent="0.25">
      <c r="A477" t="s">
        <v>10</v>
      </c>
      <c r="B477" t="s">
        <v>61</v>
      </c>
      <c r="C477" t="s">
        <v>207</v>
      </c>
      <c r="D477">
        <v>29126</v>
      </c>
      <c r="E477" t="s">
        <v>707</v>
      </c>
      <c r="F477">
        <v>280.29500000000002</v>
      </c>
      <c r="G477">
        <v>2007</v>
      </c>
      <c r="J477">
        <f>69210+11250</f>
        <v>80460</v>
      </c>
      <c r="L477">
        <v>10960</v>
      </c>
      <c r="N477" t="s">
        <v>749</v>
      </c>
      <c r="Q477">
        <v>18000</v>
      </c>
      <c r="AD477" t="s">
        <v>749</v>
      </c>
      <c r="AR477">
        <v>79624</v>
      </c>
    </row>
    <row r="478" spans="1:52" hidden="1" x14ac:dyDescent="0.25">
      <c r="A478" t="s">
        <v>10</v>
      </c>
      <c r="B478" t="s">
        <v>61</v>
      </c>
      <c r="C478" t="s">
        <v>208</v>
      </c>
      <c r="D478">
        <v>31145</v>
      </c>
      <c r="E478" t="s">
        <v>707</v>
      </c>
      <c r="F478">
        <v>88.465000000000003</v>
      </c>
      <c r="G478">
        <v>2007</v>
      </c>
      <c r="J478">
        <f>63542+11250</f>
        <v>74792</v>
      </c>
      <c r="L478">
        <v>940</v>
      </c>
      <c r="Q478">
        <v>12000</v>
      </c>
      <c r="AR478">
        <v>733</v>
      </c>
    </row>
    <row r="479" spans="1:52" hidden="1" x14ac:dyDescent="0.25">
      <c r="A479" t="s">
        <v>10</v>
      </c>
      <c r="B479" t="s">
        <v>61</v>
      </c>
      <c r="C479" t="s">
        <v>209</v>
      </c>
      <c r="D479">
        <v>35200</v>
      </c>
      <c r="E479" t="s">
        <v>707</v>
      </c>
      <c r="F479">
        <v>80.872</v>
      </c>
      <c r="G479">
        <v>2007</v>
      </c>
      <c r="J479">
        <f>52950+11250</f>
        <v>64200</v>
      </c>
      <c r="L479">
        <v>1445</v>
      </c>
      <c r="Q479">
        <v>12000</v>
      </c>
      <c r="AM479">
        <v>1181</v>
      </c>
      <c r="AR479">
        <v>2046</v>
      </c>
    </row>
    <row r="480" spans="1:52" hidden="1" x14ac:dyDescent="0.25">
      <c r="A480" t="s">
        <v>10</v>
      </c>
      <c r="B480" t="s">
        <v>61</v>
      </c>
      <c r="C480" t="s">
        <v>204</v>
      </c>
      <c r="D480">
        <v>9855</v>
      </c>
      <c r="E480" t="s">
        <v>707</v>
      </c>
      <c r="F480">
        <v>98.045000000000002</v>
      </c>
      <c r="G480">
        <v>2008</v>
      </c>
      <c r="J480">
        <f>70690+11500</f>
        <v>82190</v>
      </c>
      <c r="L480">
        <v>3855</v>
      </c>
      <c r="Q480">
        <v>12000</v>
      </c>
    </row>
    <row r="481" spans="1:44" hidden="1" x14ac:dyDescent="0.25">
      <c r="A481" t="s">
        <v>10</v>
      </c>
      <c r="B481" t="s">
        <v>61</v>
      </c>
      <c r="C481" t="s">
        <v>205</v>
      </c>
      <c r="D481">
        <v>27574</v>
      </c>
      <c r="E481" t="s">
        <v>708</v>
      </c>
      <c r="F481">
        <v>489.63799999999998</v>
      </c>
      <c r="G481">
        <v>2008</v>
      </c>
      <c r="J481">
        <f>450000+11442</f>
        <v>461442</v>
      </c>
      <c r="L481">
        <v>2350</v>
      </c>
      <c r="Q481">
        <f>18000+7224</f>
        <v>25224</v>
      </c>
      <c r="AM481">
        <v>622</v>
      </c>
    </row>
    <row r="482" spans="1:44" hidden="1" x14ac:dyDescent="0.25">
      <c r="A482" t="s">
        <v>10</v>
      </c>
      <c r="B482" t="s">
        <v>61</v>
      </c>
      <c r="C482" t="s">
        <v>206</v>
      </c>
      <c r="D482">
        <v>29125</v>
      </c>
      <c r="E482" t="s">
        <v>707</v>
      </c>
      <c r="F482">
        <v>95.91</v>
      </c>
      <c r="G482">
        <v>2008</v>
      </c>
      <c r="J482">
        <f>70815+11500</f>
        <v>82315</v>
      </c>
      <c r="L482">
        <v>1595</v>
      </c>
      <c r="Q482">
        <v>12000</v>
      </c>
    </row>
    <row r="483" spans="1:44" hidden="1" x14ac:dyDescent="0.25">
      <c r="A483" t="s">
        <v>10</v>
      </c>
      <c r="B483" t="s">
        <v>61</v>
      </c>
      <c r="C483" t="s">
        <v>207</v>
      </c>
      <c r="D483">
        <v>29126</v>
      </c>
      <c r="E483" t="s">
        <v>707</v>
      </c>
      <c r="F483">
        <v>321.983</v>
      </c>
      <c r="G483">
        <v>2008</v>
      </c>
      <c r="J483">
        <f>118542+11500</f>
        <v>130042</v>
      </c>
      <c r="L483">
        <v>10960</v>
      </c>
      <c r="N483" t="s">
        <v>749</v>
      </c>
      <c r="Q483">
        <v>18000</v>
      </c>
      <c r="AD483" t="s">
        <v>749</v>
      </c>
      <c r="AR483">
        <v>71347</v>
      </c>
    </row>
    <row r="484" spans="1:44" hidden="1" x14ac:dyDescent="0.25">
      <c r="A484" t="s">
        <v>10</v>
      </c>
      <c r="B484" t="s">
        <v>61</v>
      </c>
      <c r="C484" t="s">
        <v>208</v>
      </c>
      <c r="D484">
        <v>31145</v>
      </c>
      <c r="E484" t="s">
        <v>707</v>
      </c>
      <c r="F484">
        <v>115.273</v>
      </c>
      <c r="G484">
        <v>2008</v>
      </c>
      <c r="J484">
        <f>90833+11500</f>
        <v>102333</v>
      </c>
      <c r="L484">
        <v>940</v>
      </c>
      <c r="Q484">
        <v>12000</v>
      </c>
    </row>
    <row r="485" spans="1:44" hidden="1" x14ac:dyDescent="0.25">
      <c r="A485" t="s">
        <v>10</v>
      </c>
      <c r="B485" t="s">
        <v>61</v>
      </c>
      <c r="C485" t="s">
        <v>209</v>
      </c>
      <c r="D485">
        <v>35200</v>
      </c>
      <c r="E485" t="s">
        <v>707</v>
      </c>
      <c r="F485">
        <v>101.22799999999999</v>
      </c>
      <c r="G485">
        <v>2008</v>
      </c>
      <c r="H485">
        <v>1</v>
      </c>
    </row>
    <row r="486" spans="1:44" hidden="1" x14ac:dyDescent="0.25">
      <c r="A486" t="s">
        <v>10</v>
      </c>
      <c r="B486" t="s">
        <v>61</v>
      </c>
      <c r="C486" t="s">
        <v>205</v>
      </c>
      <c r="D486">
        <v>27574</v>
      </c>
      <c r="E486" t="s">
        <v>708</v>
      </c>
      <c r="F486">
        <v>476.911</v>
      </c>
      <c r="G486">
        <v>2009</v>
      </c>
      <c r="J486">
        <f>436812+12133</f>
        <v>448945</v>
      </c>
      <c r="L486">
        <v>2350</v>
      </c>
      <c r="Q486">
        <f>18000+7616</f>
        <v>25616</v>
      </c>
    </row>
    <row r="487" spans="1:44" hidden="1" x14ac:dyDescent="0.25">
      <c r="A487" t="s">
        <v>10</v>
      </c>
      <c r="B487" t="s">
        <v>61</v>
      </c>
      <c r="C487" t="s">
        <v>206</v>
      </c>
      <c r="D487">
        <v>29125</v>
      </c>
      <c r="E487" t="s">
        <v>707</v>
      </c>
      <c r="F487">
        <v>89.593000000000004</v>
      </c>
      <c r="G487">
        <v>2009</v>
      </c>
      <c r="J487">
        <f>63748+12250</f>
        <v>75998</v>
      </c>
      <c r="L487">
        <v>1595</v>
      </c>
      <c r="Q487">
        <f>12000</f>
        <v>12000</v>
      </c>
    </row>
    <row r="488" spans="1:44" hidden="1" x14ac:dyDescent="0.25">
      <c r="A488" t="s">
        <v>10</v>
      </c>
      <c r="B488" t="s">
        <v>61</v>
      </c>
      <c r="C488" t="s">
        <v>207</v>
      </c>
      <c r="D488">
        <v>29126</v>
      </c>
      <c r="E488" t="s">
        <v>707</v>
      </c>
      <c r="F488">
        <v>243.03100000000001</v>
      </c>
      <c r="G488">
        <v>2009</v>
      </c>
      <c r="J488">
        <f>107053+12250</f>
        <v>119303</v>
      </c>
      <c r="L488">
        <v>10960</v>
      </c>
      <c r="N488" t="s">
        <v>749</v>
      </c>
      <c r="Q488">
        <v>18000</v>
      </c>
      <c r="AD488" t="s">
        <v>749</v>
      </c>
    </row>
    <row r="489" spans="1:44" hidden="1" x14ac:dyDescent="0.25">
      <c r="A489" t="s">
        <v>10</v>
      </c>
      <c r="B489" t="s">
        <v>61</v>
      </c>
      <c r="C489" t="s">
        <v>208</v>
      </c>
      <c r="D489">
        <v>31145</v>
      </c>
      <c r="E489" t="s">
        <v>707</v>
      </c>
      <c r="F489">
        <v>109.785</v>
      </c>
      <c r="G489">
        <v>2009</v>
      </c>
      <c r="J489">
        <f>84595+12250</f>
        <v>96845</v>
      </c>
      <c r="L489">
        <v>940</v>
      </c>
      <c r="Q489">
        <v>12000</v>
      </c>
    </row>
    <row r="490" spans="1:44" hidden="1" x14ac:dyDescent="0.25">
      <c r="A490" t="s">
        <v>10</v>
      </c>
      <c r="B490" t="s">
        <v>61</v>
      </c>
      <c r="C490" t="s">
        <v>209</v>
      </c>
      <c r="D490">
        <v>35200</v>
      </c>
      <c r="E490" t="s">
        <v>707</v>
      </c>
      <c r="F490">
        <v>98.013999999999996</v>
      </c>
      <c r="G490">
        <v>2009</v>
      </c>
      <c r="J490">
        <f>71205+12250</f>
        <v>83455</v>
      </c>
      <c r="L490">
        <v>1445</v>
      </c>
      <c r="Q490">
        <v>12000</v>
      </c>
      <c r="AM490">
        <v>1114</v>
      </c>
    </row>
    <row r="491" spans="1:44" hidden="1" x14ac:dyDescent="0.25">
      <c r="A491" t="s">
        <v>10</v>
      </c>
      <c r="B491" t="s">
        <v>61</v>
      </c>
      <c r="C491" t="s">
        <v>205</v>
      </c>
      <c r="D491">
        <v>27574</v>
      </c>
      <c r="E491" t="s">
        <v>708</v>
      </c>
      <c r="F491">
        <v>514.56500000000005</v>
      </c>
      <c r="G491">
        <v>2010</v>
      </c>
      <c r="J491">
        <f>474375+12133</f>
        <v>486508</v>
      </c>
      <c r="L491">
        <v>2350</v>
      </c>
      <c r="Q491">
        <f>18000+7707</f>
        <v>25707</v>
      </c>
    </row>
    <row r="492" spans="1:44" hidden="1" x14ac:dyDescent="0.25">
      <c r="A492" t="s">
        <v>10</v>
      </c>
      <c r="B492" t="s">
        <v>61</v>
      </c>
      <c r="C492" t="s">
        <v>206</v>
      </c>
      <c r="D492">
        <v>29125</v>
      </c>
      <c r="E492" t="s">
        <v>707</v>
      </c>
      <c r="F492">
        <v>94.094999999999999</v>
      </c>
      <c r="G492">
        <v>2010</v>
      </c>
      <c r="J492">
        <f>68250+12250</f>
        <v>80500</v>
      </c>
      <c r="L492">
        <v>1595</v>
      </c>
      <c r="Q492">
        <v>12000</v>
      </c>
    </row>
    <row r="493" spans="1:44" hidden="1" x14ac:dyDescent="0.25">
      <c r="A493" t="s">
        <v>10</v>
      </c>
      <c r="B493" t="s">
        <v>61</v>
      </c>
      <c r="C493" t="s">
        <v>207</v>
      </c>
      <c r="D493">
        <v>29126</v>
      </c>
      <c r="E493" t="s">
        <v>707</v>
      </c>
      <c r="F493">
        <v>257.64299999999997</v>
      </c>
      <c r="G493">
        <v>2010</v>
      </c>
      <c r="J493">
        <f>114603+12250</f>
        <v>126853</v>
      </c>
      <c r="L493">
        <v>10960</v>
      </c>
      <c r="N493" t="s">
        <v>749</v>
      </c>
      <c r="Q493">
        <v>18000</v>
      </c>
      <c r="AD493" t="s">
        <v>749</v>
      </c>
      <c r="AM493">
        <v>1354</v>
      </c>
    </row>
    <row r="494" spans="1:44" hidden="1" x14ac:dyDescent="0.25">
      <c r="A494" t="s">
        <v>10</v>
      </c>
      <c r="B494" t="s">
        <v>61</v>
      </c>
      <c r="C494" t="s">
        <v>208</v>
      </c>
      <c r="D494">
        <v>31145</v>
      </c>
      <c r="E494" t="s">
        <v>707</v>
      </c>
      <c r="F494">
        <v>116.19</v>
      </c>
      <c r="G494">
        <v>2010</v>
      </c>
      <c r="J494">
        <f>91000+12250</f>
        <v>103250</v>
      </c>
      <c r="L494">
        <v>940</v>
      </c>
      <c r="Q494">
        <v>12000</v>
      </c>
    </row>
    <row r="495" spans="1:44" hidden="1" x14ac:dyDescent="0.25">
      <c r="A495" t="s">
        <v>10</v>
      </c>
      <c r="B495" t="s">
        <v>61</v>
      </c>
      <c r="C495" t="s">
        <v>209</v>
      </c>
      <c r="D495">
        <v>35200</v>
      </c>
      <c r="E495" t="s">
        <v>707</v>
      </c>
      <c r="F495">
        <v>101.908</v>
      </c>
      <c r="G495">
        <v>2010</v>
      </c>
      <c r="J495">
        <f>76213+12250</f>
        <v>88463</v>
      </c>
      <c r="L495">
        <v>1445</v>
      </c>
      <c r="Q495">
        <v>12000</v>
      </c>
    </row>
    <row r="496" spans="1:44" hidden="1" x14ac:dyDescent="0.25">
      <c r="A496" t="s">
        <v>10</v>
      </c>
      <c r="B496" t="s">
        <v>61</v>
      </c>
      <c r="C496" t="s">
        <v>205</v>
      </c>
      <c r="D496">
        <v>27574</v>
      </c>
      <c r="E496" t="s">
        <v>708</v>
      </c>
      <c r="F496">
        <v>695.86900000000003</v>
      </c>
      <c r="G496">
        <v>2011</v>
      </c>
      <c r="J496">
        <f>655113+12172</f>
        <v>667285</v>
      </c>
      <c r="L496">
        <v>2350</v>
      </c>
      <c r="Q496">
        <f>18000+8234</f>
        <v>26234</v>
      </c>
    </row>
    <row r="497" spans="1:52" hidden="1" x14ac:dyDescent="0.25">
      <c r="A497" t="s">
        <v>10</v>
      </c>
      <c r="B497" t="s">
        <v>61</v>
      </c>
      <c r="C497" t="s">
        <v>206</v>
      </c>
      <c r="D497">
        <v>29125</v>
      </c>
      <c r="E497" t="s">
        <v>707</v>
      </c>
      <c r="F497">
        <v>106.559</v>
      </c>
      <c r="G497">
        <v>2011</v>
      </c>
      <c r="J497">
        <f>80714+12250</f>
        <v>92964</v>
      </c>
      <c r="L497">
        <v>1595</v>
      </c>
      <c r="Q497">
        <v>12000</v>
      </c>
    </row>
    <row r="498" spans="1:52" hidden="1" x14ac:dyDescent="0.25">
      <c r="A498" t="s">
        <v>10</v>
      </c>
      <c r="B498" t="s">
        <v>61</v>
      </c>
      <c r="C498" t="s">
        <v>207</v>
      </c>
      <c r="D498">
        <v>29126</v>
      </c>
      <c r="E498" t="s">
        <v>707</v>
      </c>
      <c r="F498">
        <v>270.24799999999999</v>
      </c>
      <c r="G498">
        <v>2011</v>
      </c>
      <c r="J498">
        <f>134383+12250</f>
        <v>146633</v>
      </c>
      <c r="L498">
        <v>10960</v>
      </c>
      <c r="N498" t="s">
        <v>749</v>
      </c>
      <c r="Q498">
        <v>18000</v>
      </c>
      <c r="AD498" t="s">
        <v>749</v>
      </c>
    </row>
    <row r="499" spans="1:52" hidden="1" x14ac:dyDescent="0.25">
      <c r="A499" t="s">
        <v>10</v>
      </c>
      <c r="B499" t="s">
        <v>61</v>
      </c>
      <c r="C499" t="s">
        <v>208</v>
      </c>
      <c r="D499">
        <v>31145</v>
      </c>
      <c r="E499" t="s">
        <v>707</v>
      </c>
      <c r="F499">
        <v>137.42099999999999</v>
      </c>
      <c r="G499">
        <v>2011</v>
      </c>
      <c r="J499">
        <f>112231+12250</f>
        <v>124481</v>
      </c>
      <c r="L499">
        <v>940</v>
      </c>
      <c r="Q499">
        <v>12000</v>
      </c>
    </row>
    <row r="500" spans="1:52" hidden="1" x14ac:dyDescent="0.25">
      <c r="A500" t="s">
        <v>10</v>
      </c>
      <c r="B500" t="s">
        <v>61</v>
      </c>
      <c r="C500" t="s">
        <v>209</v>
      </c>
      <c r="D500">
        <v>35200</v>
      </c>
      <c r="E500" t="s">
        <v>707</v>
      </c>
      <c r="F500">
        <v>115.47199999999999</v>
      </c>
      <c r="G500">
        <v>2011</v>
      </c>
      <c r="J500">
        <f>89777+12250</f>
        <v>102027</v>
      </c>
      <c r="L500">
        <v>1445</v>
      </c>
      <c r="Q500">
        <v>12000</v>
      </c>
    </row>
    <row r="501" spans="1:52" s="4" customFormat="1" hidden="1" x14ac:dyDescent="0.25">
      <c r="A501" s="4" t="s">
        <v>11</v>
      </c>
      <c r="B501" s="4" t="s">
        <v>62</v>
      </c>
      <c r="C501" s="4" t="s">
        <v>210</v>
      </c>
      <c r="D501" s="4">
        <v>18529</v>
      </c>
      <c r="E501" s="4" t="s">
        <v>708</v>
      </c>
      <c r="F501" s="4">
        <v>138.65700000000001</v>
      </c>
      <c r="G501" s="4">
        <v>2007</v>
      </c>
      <c r="AZ501" s="7"/>
    </row>
    <row r="502" spans="1:52" hidden="1" x14ac:dyDescent="0.25">
      <c r="A502" t="s">
        <v>11</v>
      </c>
      <c r="B502" t="s">
        <v>62</v>
      </c>
      <c r="C502" t="s">
        <v>211</v>
      </c>
      <c r="D502">
        <v>20394</v>
      </c>
      <c r="E502" t="s">
        <v>707</v>
      </c>
      <c r="F502">
        <v>93.186999999999998</v>
      </c>
      <c r="G502">
        <v>2007</v>
      </c>
    </row>
    <row r="503" spans="1:52" hidden="1" x14ac:dyDescent="0.25">
      <c r="A503" t="s">
        <v>11</v>
      </c>
      <c r="B503" t="s">
        <v>62</v>
      </c>
      <c r="C503" t="s">
        <v>212</v>
      </c>
      <c r="D503">
        <v>24729</v>
      </c>
      <c r="E503" t="s">
        <v>707</v>
      </c>
      <c r="F503">
        <v>36.037999999999997</v>
      </c>
      <c r="G503">
        <v>2007</v>
      </c>
    </row>
    <row r="504" spans="1:52" hidden="1" x14ac:dyDescent="0.25">
      <c r="A504" t="s">
        <v>11</v>
      </c>
      <c r="B504" t="s">
        <v>62</v>
      </c>
      <c r="C504" t="s">
        <v>213</v>
      </c>
      <c r="D504">
        <v>28232</v>
      </c>
      <c r="E504" t="s">
        <v>707</v>
      </c>
      <c r="F504">
        <v>26.957999999999998</v>
      </c>
      <c r="G504">
        <v>2007</v>
      </c>
    </row>
    <row r="505" spans="1:52" hidden="1" x14ac:dyDescent="0.25">
      <c r="A505" t="s">
        <v>11</v>
      </c>
      <c r="B505" t="s">
        <v>62</v>
      </c>
      <c r="C505" t="s">
        <v>214</v>
      </c>
      <c r="D505">
        <v>28233</v>
      </c>
      <c r="E505" t="s">
        <v>707</v>
      </c>
      <c r="F505">
        <v>476.14400000000001</v>
      </c>
      <c r="G505">
        <v>2007</v>
      </c>
    </row>
    <row r="506" spans="1:52" hidden="1" x14ac:dyDescent="0.25">
      <c r="A506" t="s">
        <v>11</v>
      </c>
      <c r="B506" t="s">
        <v>62</v>
      </c>
      <c r="C506" t="s">
        <v>215</v>
      </c>
      <c r="D506">
        <v>39353</v>
      </c>
      <c r="E506" t="s">
        <v>707</v>
      </c>
      <c r="F506">
        <v>21.524000000000001</v>
      </c>
      <c r="G506">
        <v>2007</v>
      </c>
    </row>
    <row r="507" spans="1:52" hidden="1" x14ac:dyDescent="0.25">
      <c r="A507" t="s">
        <v>11</v>
      </c>
      <c r="B507" t="s">
        <v>62</v>
      </c>
      <c r="C507" t="s">
        <v>210</v>
      </c>
      <c r="D507">
        <v>18529</v>
      </c>
      <c r="E507" t="s">
        <v>708</v>
      </c>
      <c r="F507">
        <v>145.99199999999999</v>
      </c>
      <c r="G507">
        <v>2008</v>
      </c>
    </row>
    <row r="508" spans="1:52" hidden="1" x14ac:dyDescent="0.25">
      <c r="A508" t="s">
        <v>11</v>
      </c>
      <c r="B508" t="s">
        <v>62</v>
      </c>
      <c r="C508" t="s">
        <v>211</v>
      </c>
      <c r="D508">
        <v>20394</v>
      </c>
      <c r="E508" t="s">
        <v>707</v>
      </c>
      <c r="F508">
        <v>113.324</v>
      </c>
      <c r="G508">
        <v>2008</v>
      </c>
    </row>
    <row r="509" spans="1:52" hidden="1" x14ac:dyDescent="0.25">
      <c r="A509" t="s">
        <v>11</v>
      </c>
      <c r="B509" t="s">
        <v>62</v>
      </c>
      <c r="C509" t="s">
        <v>212</v>
      </c>
      <c r="D509">
        <v>24729</v>
      </c>
      <c r="E509" t="s">
        <v>707</v>
      </c>
      <c r="F509">
        <v>52.381</v>
      </c>
      <c r="G509">
        <v>2008</v>
      </c>
    </row>
    <row r="510" spans="1:52" hidden="1" x14ac:dyDescent="0.25">
      <c r="A510" t="s">
        <v>11</v>
      </c>
      <c r="B510" t="s">
        <v>62</v>
      </c>
      <c r="C510" t="s">
        <v>213</v>
      </c>
      <c r="D510">
        <v>28232</v>
      </c>
      <c r="E510" t="s">
        <v>707</v>
      </c>
      <c r="F510">
        <v>31.823</v>
      </c>
      <c r="G510">
        <v>2008</v>
      </c>
    </row>
    <row r="511" spans="1:52" hidden="1" x14ac:dyDescent="0.25">
      <c r="A511" t="s">
        <v>11</v>
      </c>
      <c r="B511" t="s">
        <v>62</v>
      </c>
      <c r="C511" t="s">
        <v>214</v>
      </c>
      <c r="D511">
        <v>28233</v>
      </c>
      <c r="E511" t="s">
        <v>707</v>
      </c>
      <c r="F511">
        <v>196.001</v>
      </c>
      <c r="G511">
        <v>2008</v>
      </c>
    </row>
    <row r="512" spans="1:52" hidden="1" x14ac:dyDescent="0.25">
      <c r="A512" t="s">
        <v>11</v>
      </c>
      <c r="B512" t="s">
        <v>62</v>
      </c>
      <c r="C512" t="s">
        <v>215</v>
      </c>
      <c r="D512">
        <v>39353</v>
      </c>
      <c r="E512" t="s">
        <v>707</v>
      </c>
      <c r="F512">
        <v>30.344999999999999</v>
      </c>
      <c r="G512">
        <v>2008</v>
      </c>
    </row>
    <row r="513" spans="1:7" hidden="1" x14ac:dyDescent="0.25">
      <c r="A513" t="s">
        <v>11</v>
      </c>
      <c r="B513" t="s">
        <v>62</v>
      </c>
      <c r="C513" t="s">
        <v>210</v>
      </c>
      <c r="D513">
        <v>18529</v>
      </c>
      <c r="E513" t="s">
        <v>708</v>
      </c>
      <c r="F513">
        <v>108.28700000000001</v>
      </c>
      <c r="G513">
        <v>2009</v>
      </c>
    </row>
    <row r="514" spans="1:7" hidden="1" x14ac:dyDescent="0.25">
      <c r="A514" t="s">
        <v>11</v>
      </c>
      <c r="B514" t="s">
        <v>62</v>
      </c>
      <c r="C514" t="s">
        <v>211</v>
      </c>
      <c r="D514">
        <v>20394</v>
      </c>
      <c r="E514" t="s">
        <v>707</v>
      </c>
      <c r="F514">
        <v>45.393999999999998</v>
      </c>
      <c r="G514">
        <v>2009</v>
      </c>
    </row>
    <row r="515" spans="1:7" hidden="1" x14ac:dyDescent="0.25">
      <c r="A515" t="s">
        <v>11</v>
      </c>
      <c r="B515" t="s">
        <v>62</v>
      </c>
      <c r="C515" t="s">
        <v>212</v>
      </c>
      <c r="D515">
        <v>24729</v>
      </c>
      <c r="E515" t="s">
        <v>707</v>
      </c>
      <c r="F515">
        <v>35.979999999999997</v>
      </c>
      <c r="G515">
        <v>2009</v>
      </c>
    </row>
    <row r="516" spans="1:7" hidden="1" x14ac:dyDescent="0.25">
      <c r="A516" t="s">
        <v>11</v>
      </c>
      <c r="B516" t="s">
        <v>62</v>
      </c>
      <c r="C516" t="s">
        <v>214</v>
      </c>
      <c r="D516">
        <v>28233</v>
      </c>
      <c r="E516" t="s">
        <v>707</v>
      </c>
      <c r="F516">
        <v>202.18899999999999</v>
      </c>
      <c r="G516">
        <v>2009</v>
      </c>
    </row>
    <row r="517" spans="1:7" hidden="1" x14ac:dyDescent="0.25">
      <c r="A517" t="s">
        <v>11</v>
      </c>
      <c r="B517" t="s">
        <v>62</v>
      </c>
      <c r="C517" t="s">
        <v>215</v>
      </c>
      <c r="D517">
        <v>39353</v>
      </c>
      <c r="E517" t="s">
        <v>707</v>
      </c>
      <c r="F517">
        <v>25.041</v>
      </c>
      <c r="G517">
        <v>2009</v>
      </c>
    </row>
    <row r="518" spans="1:7" hidden="1" x14ac:dyDescent="0.25">
      <c r="A518" t="s">
        <v>11</v>
      </c>
      <c r="B518" t="s">
        <v>62</v>
      </c>
      <c r="C518" t="s">
        <v>216</v>
      </c>
      <c r="D518">
        <v>44741</v>
      </c>
      <c r="E518" t="s">
        <v>707</v>
      </c>
      <c r="F518">
        <v>26.49</v>
      </c>
      <c r="G518">
        <v>2009</v>
      </c>
    </row>
    <row r="519" spans="1:7" hidden="1" x14ac:dyDescent="0.25">
      <c r="A519" t="s">
        <v>11</v>
      </c>
      <c r="B519" t="s">
        <v>62</v>
      </c>
      <c r="C519" t="s">
        <v>217</v>
      </c>
      <c r="D519">
        <v>44742</v>
      </c>
      <c r="E519" t="s">
        <v>707</v>
      </c>
      <c r="F519">
        <v>23.08</v>
      </c>
      <c r="G519">
        <v>2009</v>
      </c>
    </row>
    <row r="520" spans="1:7" hidden="1" x14ac:dyDescent="0.25">
      <c r="A520" t="s">
        <v>11</v>
      </c>
      <c r="B520" t="s">
        <v>62</v>
      </c>
      <c r="C520" t="s">
        <v>218</v>
      </c>
      <c r="D520">
        <v>46200</v>
      </c>
      <c r="E520" t="s">
        <v>707</v>
      </c>
      <c r="F520">
        <v>24.161999999999999</v>
      </c>
      <c r="G520">
        <v>2009</v>
      </c>
    </row>
    <row r="521" spans="1:7" hidden="1" x14ac:dyDescent="0.25">
      <c r="A521" t="s">
        <v>11</v>
      </c>
      <c r="B521" t="s">
        <v>62</v>
      </c>
      <c r="C521" t="s">
        <v>210</v>
      </c>
      <c r="D521">
        <v>18529</v>
      </c>
      <c r="E521" t="s">
        <v>708</v>
      </c>
      <c r="F521">
        <v>139.15299999999999</v>
      </c>
      <c r="G521">
        <v>2010</v>
      </c>
    </row>
    <row r="522" spans="1:7" hidden="1" x14ac:dyDescent="0.25">
      <c r="A522" t="s">
        <v>11</v>
      </c>
      <c r="B522" t="s">
        <v>62</v>
      </c>
      <c r="C522" t="s">
        <v>211</v>
      </c>
      <c r="D522">
        <v>20394</v>
      </c>
      <c r="E522" t="s">
        <v>707</v>
      </c>
      <c r="F522">
        <v>52.237000000000002</v>
      </c>
      <c r="G522">
        <v>2010</v>
      </c>
    </row>
    <row r="523" spans="1:7" hidden="1" x14ac:dyDescent="0.25">
      <c r="A523" t="s">
        <v>11</v>
      </c>
      <c r="B523" t="s">
        <v>62</v>
      </c>
      <c r="C523" t="s">
        <v>212</v>
      </c>
      <c r="D523">
        <v>24729</v>
      </c>
      <c r="E523" t="s">
        <v>707</v>
      </c>
      <c r="F523">
        <v>40.811999999999998</v>
      </c>
      <c r="G523">
        <v>2010</v>
      </c>
    </row>
    <row r="524" spans="1:7" hidden="1" x14ac:dyDescent="0.25">
      <c r="A524" t="s">
        <v>11</v>
      </c>
      <c r="B524" t="s">
        <v>62</v>
      </c>
      <c r="C524" t="s">
        <v>214</v>
      </c>
      <c r="D524">
        <v>28233</v>
      </c>
      <c r="E524" t="s">
        <v>707</v>
      </c>
      <c r="F524">
        <v>195.09399999999999</v>
      </c>
      <c r="G524">
        <v>2010</v>
      </c>
    </row>
    <row r="525" spans="1:7" hidden="1" x14ac:dyDescent="0.25">
      <c r="A525" t="s">
        <v>11</v>
      </c>
      <c r="B525" t="s">
        <v>62</v>
      </c>
      <c r="C525" t="s">
        <v>215</v>
      </c>
      <c r="D525">
        <v>39353</v>
      </c>
      <c r="E525" t="s">
        <v>707</v>
      </c>
      <c r="F525">
        <v>26.832000000000001</v>
      </c>
      <c r="G525">
        <v>2010</v>
      </c>
    </row>
    <row r="526" spans="1:7" hidden="1" x14ac:dyDescent="0.25">
      <c r="A526" t="s">
        <v>11</v>
      </c>
      <c r="B526" t="s">
        <v>62</v>
      </c>
      <c r="C526" t="s">
        <v>216</v>
      </c>
      <c r="D526">
        <v>44741</v>
      </c>
      <c r="E526" t="s">
        <v>707</v>
      </c>
      <c r="F526">
        <v>24.207000000000001</v>
      </c>
      <c r="G526">
        <v>2010</v>
      </c>
    </row>
    <row r="527" spans="1:7" hidden="1" x14ac:dyDescent="0.25">
      <c r="A527" t="s">
        <v>11</v>
      </c>
      <c r="B527" t="s">
        <v>62</v>
      </c>
      <c r="C527" t="s">
        <v>217</v>
      </c>
      <c r="D527">
        <v>44742</v>
      </c>
      <c r="E527" t="s">
        <v>707</v>
      </c>
      <c r="F527">
        <v>23.951000000000001</v>
      </c>
      <c r="G527">
        <v>2010</v>
      </c>
    </row>
    <row r="528" spans="1:7" hidden="1" x14ac:dyDescent="0.25">
      <c r="A528" t="s">
        <v>11</v>
      </c>
      <c r="B528" t="s">
        <v>62</v>
      </c>
      <c r="C528" t="s">
        <v>218</v>
      </c>
      <c r="D528">
        <v>46200</v>
      </c>
      <c r="E528" t="s">
        <v>707</v>
      </c>
      <c r="F528">
        <v>22.753</v>
      </c>
      <c r="G528">
        <v>2010</v>
      </c>
    </row>
    <row r="529" spans="1:7" hidden="1" x14ac:dyDescent="0.25">
      <c r="A529" t="s">
        <v>11</v>
      </c>
      <c r="B529" t="s">
        <v>62</v>
      </c>
      <c r="C529" t="s">
        <v>219</v>
      </c>
      <c r="D529">
        <v>46340</v>
      </c>
      <c r="E529" t="s">
        <v>707</v>
      </c>
      <c r="F529">
        <v>24.137</v>
      </c>
      <c r="G529">
        <v>2010</v>
      </c>
    </row>
    <row r="530" spans="1:7" hidden="1" x14ac:dyDescent="0.25">
      <c r="A530" t="s">
        <v>11</v>
      </c>
      <c r="B530" t="s">
        <v>62</v>
      </c>
      <c r="C530" t="s">
        <v>210</v>
      </c>
      <c r="D530">
        <v>18529</v>
      </c>
      <c r="E530" t="s">
        <v>707</v>
      </c>
      <c r="F530">
        <v>501.416</v>
      </c>
      <c r="G530">
        <v>2011</v>
      </c>
    </row>
    <row r="531" spans="1:7" hidden="1" x14ac:dyDescent="0.25">
      <c r="A531" t="s">
        <v>11</v>
      </c>
      <c r="B531" t="s">
        <v>62</v>
      </c>
      <c r="C531" t="s">
        <v>211</v>
      </c>
      <c r="D531">
        <v>20394</v>
      </c>
      <c r="E531" t="s">
        <v>708</v>
      </c>
      <c r="F531">
        <v>133.238</v>
      </c>
      <c r="G531">
        <v>2011</v>
      </c>
    </row>
    <row r="532" spans="1:7" hidden="1" x14ac:dyDescent="0.25">
      <c r="A532" t="s">
        <v>11</v>
      </c>
      <c r="B532" t="s">
        <v>62</v>
      </c>
      <c r="C532" t="s">
        <v>212</v>
      </c>
      <c r="D532">
        <v>24729</v>
      </c>
      <c r="E532" t="s">
        <v>707</v>
      </c>
      <c r="F532">
        <v>70.977999999999994</v>
      </c>
      <c r="G532">
        <v>2011</v>
      </c>
    </row>
    <row r="533" spans="1:7" hidden="1" x14ac:dyDescent="0.25">
      <c r="A533" t="s">
        <v>11</v>
      </c>
      <c r="B533" t="s">
        <v>62</v>
      </c>
      <c r="C533" t="s">
        <v>214</v>
      </c>
      <c r="D533">
        <v>28233</v>
      </c>
      <c r="E533" t="s">
        <v>707</v>
      </c>
      <c r="F533">
        <v>664.59199999999998</v>
      </c>
      <c r="G533">
        <v>2011</v>
      </c>
    </row>
    <row r="534" spans="1:7" hidden="1" x14ac:dyDescent="0.25">
      <c r="A534" t="s">
        <v>11</v>
      </c>
      <c r="B534" t="s">
        <v>62</v>
      </c>
      <c r="C534" t="s">
        <v>215</v>
      </c>
      <c r="D534">
        <v>39353</v>
      </c>
      <c r="E534" t="s">
        <v>707</v>
      </c>
      <c r="F534">
        <v>37.125</v>
      </c>
      <c r="G534">
        <v>2011</v>
      </c>
    </row>
    <row r="535" spans="1:7" hidden="1" x14ac:dyDescent="0.25">
      <c r="A535" t="s">
        <v>11</v>
      </c>
      <c r="B535" t="s">
        <v>62</v>
      </c>
      <c r="C535" t="s">
        <v>216</v>
      </c>
      <c r="D535">
        <v>44741</v>
      </c>
      <c r="E535" t="s">
        <v>707</v>
      </c>
      <c r="F535">
        <v>33.473999999999997</v>
      </c>
      <c r="G535">
        <v>2011</v>
      </c>
    </row>
    <row r="536" spans="1:7" hidden="1" x14ac:dyDescent="0.25">
      <c r="A536" t="s">
        <v>11</v>
      </c>
      <c r="B536" t="s">
        <v>62</v>
      </c>
      <c r="C536" t="s">
        <v>217</v>
      </c>
      <c r="D536">
        <v>44742</v>
      </c>
      <c r="E536" t="s">
        <v>707</v>
      </c>
      <c r="F536">
        <v>23.012</v>
      </c>
      <c r="G536">
        <v>2011</v>
      </c>
    </row>
    <row r="537" spans="1:7" hidden="1" x14ac:dyDescent="0.25">
      <c r="A537" t="s">
        <v>11</v>
      </c>
      <c r="B537" t="s">
        <v>62</v>
      </c>
      <c r="C537" t="s">
        <v>218</v>
      </c>
      <c r="D537">
        <v>46200</v>
      </c>
      <c r="E537" t="s">
        <v>707</v>
      </c>
      <c r="F537">
        <v>23.971</v>
      </c>
      <c r="G537">
        <v>2011</v>
      </c>
    </row>
    <row r="538" spans="1:7" hidden="1" x14ac:dyDescent="0.25">
      <c r="A538" t="s">
        <v>11</v>
      </c>
      <c r="B538" t="s">
        <v>62</v>
      </c>
      <c r="C538" t="s">
        <v>219</v>
      </c>
      <c r="D538">
        <v>46340</v>
      </c>
      <c r="E538" t="s">
        <v>707</v>
      </c>
      <c r="F538">
        <v>37.009</v>
      </c>
      <c r="G538">
        <v>2011</v>
      </c>
    </row>
    <row r="539" spans="1:7" hidden="1" x14ac:dyDescent="0.25">
      <c r="A539" t="s">
        <v>11</v>
      </c>
      <c r="B539" t="s">
        <v>62</v>
      </c>
      <c r="C539" t="s">
        <v>211</v>
      </c>
      <c r="D539">
        <v>20394</v>
      </c>
      <c r="E539" t="s">
        <v>708</v>
      </c>
      <c r="F539">
        <v>2076.0880000000002</v>
      </c>
      <c r="G539">
        <v>2012</v>
      </c>
    </row>
    <row r="540" spans="1:7" hidden="1" x14ac:dyDescent="0.25">
      <c r="A540" t="s">
        <v>11</v>
      </c>
      <c r="B540" t="s">
        <v>62</v>
      </c>
      <c r="C540" t="s">
        <v>212</v>
      </c>
      <c r="D540">
        <v>24729</v>
      </c>
      <c r="E540" t="s">
        <v>707</v>
      </c>
      <c r="F540">
        <v>1027.624</v>
      </c>
      <c r="G540">
        <v>2012</v>
      </c>
    </row>
    <row r="541" spans="1:7" hidden="1" x14ac:dyDescent="0.25">
      <c r="A541" t="s">
        <v>11</v>
      </c>
      <c r="B541" t="s">
        <v>62</v>
      </c>
      <c r="C541" t="s">
        <v>214</v>
      </c>
      <c r="D541">
        <v>28233</v>
      </c>
      <c r="E541" t="s">
        <v>707</v>
      </c>
      <c r="F541">
        <v>1088.6500000000001</v>
      </c>
      <c r="G541">
        <v>2012</v>
      </c>
    </row>
    <row r="542" spans="1:7" hidden="1" x14ac:dyDescent="0.25">
      <c r="A542" t="s">
        <v>11</v>
      </c>
      <c r="B542" t="s">
        <v>62</v>
      </c>
      <c r="C542" t="s">
        <v>217</v>
      </c>
      <c r="D542">
        <v>44742</v>
      </c>
      <c r="E542" t="s">
        <v>707</v>
      </c>
      <c r="F542">
        <v>316.096</v>
      </c>
      <c r="G542">
        <v>2012</v>
      </c>
    </row>
    <row r="543" spans="1:7" hidden="1" x14ac:dyDescent="0.25">
      <c r="A543" t="s">
        <v>11</v>
      </c>
      <c r="B543" t="s">
        <v>62</v>
      </c>
      <c r="C543" t="s">
        <v>219</v>
      </c>
      <c r="D543">
        <v>46340</v>
      </c>
      <c r="E543" t="s">
        <v>707</v>
      </c>
      <c r="F543">
        <v>337.17399999999998</v>
      </c>
      <c r="G543">
        <v>2012</v>
      </c>
    </row>
    <row r="544" spans="1:7" hidden="1" x14ac:dyDescent="0.25">
      <c r="A544" t="s">
        <v>11</v>
      </c>
      <c r="B544" t="s">
        <v>62</v>
      </c>
      <c r="C544" t="s">
        <v>220</v>
      </c>
      <c r="D544">
        <v>46341</v>
      </c>
      <c r="E544" t="s">
        <v>707</v>
      </c>
      <c r="F544">
        <v>325.52300000000002</v>
      </c>
      <c r="G544">
        <v>2012</v>
      </c>
    </row>
    <row r="545" spans="1:52" hidden="1" x14ac:dyDescent="0.25">
      <c r="A545" t="s">
        <v>11</v>
      </c>
      <c r="B545" t="s">
        <v>62</v>
      </c>
      <c r="C545" t="s">
        <v>221</v>
      </c>
      <c r="D545">
        <v>47880</v>
      </c>
      <c r="E545" t="s">
        <v>707</v>
      </c>
      <c r="F545">
        <v>0.52700000000000002</v>
      </c>
      <c r="G545">
        <v>2012</v>
      </c>
    </row>
    <row r="546" spans="1:52" hidden="1" x14ac:dyDescent="0.25">
      <c r="A546" t="s">
        <v>11</v>
      </c>
      <c r="B546" t="s">
        <v>62</v>
      </c>
      <c r="C546" t="s">
        <v>211</v>
      </c>
      <c r="D546">
        <v>20394</v>
      </c>
      <c r="E546" t="s">
        <v>708</v>
      </c>
      <c r="F546">
        <v>719.06799999999998</v>
      </c>
      <c r="G546">
        <v>2013</v>
      </c>
    </row>
    <row r="547" spans="1:52" hidden="1" x14ac:dyDescent="0.25">
      <c r="A547" t="s">
        <v>11</v>
      </c>
      <c r="B547" t="s">
        <v>62</v>
      </c>
      <c r="C547" t="s">
        <v>212</v>
      </c>
      <c r="D547">
        <v>24729</v>
      </c>
      <c r="E547" t="s">
        <v>707</v>
      </c>
      <c r="F547">
        <v>256.82799999999997</v>
      </c>
      <c r="G547">
        <v>2013</v>
      </c>
    </row>
    <row r="548" spans="1:52" hidden="1" x14ac:dyDescent="0.25">
      <c r="A548" t="s">
        <v>11</v>
      </c>
      <c r="B548" t="s">
        <v>62</v>
      </c>
      <c r="C548" t="s">
        <v>214</v>
      </c>
      <c r="D548">
        <v>28233</v>
      </c>
      <c r="E548" t="s">
        <v>707</v>
      </c>
      <c r="F548">
        <v>233.13499999999999</v>
      </c>
      <c r="G548">
        <v>2013</v>
      </c>
    </row>
    <row r="549" spans="1:52" hidden="1" x14ac:dyDescent="0.25">
      <c r="A549" t="s">
        <v>11</v>
      </c>
      <c r="B549" t="s">
        <v>62</v>
      </c>
      <c r="C549" t="s">
        <v>220</v>
      </c>
      <c r="D549">
        <v>46341</v>
      </c>
      <c r="E549" t="s">
        <v>707</v>
      </c>
      <c r="F549">
        <v>29.260999999999999</v>
      </c>
      <c r="G549">
        <v>2013</v>
      </c>
    </row>
    <row r="550" spans="1:52" hidden="1" x14ac:dyDescent="0.25">
      <c r="A550" t="s">
        <v>11</v>
      </c>
      <c r="B550" t="s">
        <v>62</v>
      </c>
      <c r="C550" t="s">
        <v>221</v>
      </c>
      <c r="D550">
        <v>47880</v>
      </c>
      <c r="E550" t="s">
        <v>707</v>
      </c>
      <c r="F550">
        <v>8.2149999999999999</v>
      </c>
      <c r="G550">
        <v>2013</v>
      </c>
    </row>
    <row r="551" spans="1:52" hidden="1" x14ac:dyDescent="0.25">
      <c r="A551" t="s">
        <v>11</v>
      </c>
      <c r="B551" t="s">
        <v>62</v>
      </c>
      <c r="C551" t="s">
        <v>211</v>
      </c>
      <c r="D551">
        <v>20394</v>
      </c>
      <c r="E551" t="s">
        <v>708</v>
      </c>
      <c r="F551">
        <v>3325.6210000000001</v>
      </c>
      <c r="G551">
        <v>2014</v>
      </c>
    </row>
    <row r="552" spans="1:52" hidden="1" x14ac:dyDescent="0.25">
      <c r="A552" t="s">
        <v>11</v>
      </c>
      <c r="B552" t="s">
        <v>62</v>
      </c>
      <c r="C552" t="s">
        <v>212</v>
      </c>
      <c r="D552">
        <v>24729</v>
      </c>
      <c r="E552" t="s">
        <v>707</v>
      </c>
      <c r="F552">
        <v>1476.4570000000001</v>
      </c>
      <c r="G552">
        <v>2014</v>
      </c>
    </row>
    <row r="553" spans="1:52" hidden="1" x14ac:dyDescent="0.25">
      <c r="A553" t="s">
        <v>11</v>
      </c>
      <c r="B553" t="s">
        <v>62</v>
      </c>
      <c r="C553" t="s">
        <v>214</v>
      </c>
      <c r="D553">
        <v>28233</v>
      </c>
      <c r="E553" t="s">
        <v>707</v>
      </c>
      <c r="F553">
        <v>2890.94</v>
      </c>
      <c r="G553">
        <v>2014</v>
      </c>
    </row>
    <row r="554" spans="1:52" hidden="1" x14ac:dyDescent="0.25">
      <c r="A554" t="s">
        <v>11</v>
      </c>
      <c r="B554" t="s">
        <v>62</v>
      </c>
      <c r="C554" t="s">
        <v>220</v>
      </c>
      <c r="D554">
        <v>46341</v>
      </c>
      <c r="E554" t="s">
        <v>707</v>
      </c>
      <c r="F554">
        <v>624.54200000000003</v>
      </c>
      <c r="G554">
        <v>2014</v>
      </c>
    </row>
    <row r="555" spans="1:52" hidden="1" x14ac:dyDescent="0.25">
      <c r="A555" t="s">
        <v>11</v>
      </c>
      <c r="B555" t="s">
        <v>62</v>
      </c>
      <c r="C555" t="s">
        <v>221</v>
      </c>
      <c r="D555">
        <v>47880</v>
      </c>
      <c r="E555" t="s">
        <v>707</v>
      </c>
      <c r="F555">
        <v>275.44499999999999</v>
      </c>
      <c r="G555">
        <v>2014</v>
      </c>
    </row>
    <row r="556" spans="1:52" s="4" customFormat="1" hidden="1" x14ac:dyDescent="0.25">
      <c r="A556" s="4" t="s">
        <v>12</v>
      </c>
      <c r="B556" s="4" t="s">
        <v>63</v>
      </c>
      <c r="C556" s="4" t="s">
        <v>222</v>
      </c>
      <c r="D556" s="4">
        <v>39354</v>
      </c>
      <c r="E556" s="4" t="s">
        <v>707</v>
      </c>
      <c r="F556" s="4">
        <v>0.216</v>
      </c>
      <c r="G556" s="4">
        <v>2007</v>
      </c>
      <c r="J556" s="4" t="s">
        <v>749</v>
      </c>
      <c r="L556" s="4" t="s">
        <v>749</v>
      </c>
      <c r="AZ556" s="7"/>
    </row>
    <row r="557" spans="1:52" hidden="1" x14ac:dyDescent="0.25">
      <c r="A557" t="s">
        <v>12</v>
      </c>
      <c r="B557" t="s">
        <v>63</v>
      </c>
      <c r="C557" t="s">
        <v>223</v>
      </c>
      <c r="D557">
        <v>39355</v>
      </c>
      <c r="E557" t="s">
        <v>707</v>
      </c>
      <c r="F557">
        <v>1.1819999999999999</v>
      </c>
      <c r="G557">
        <v>2007</v>
      </c>
      <c r="J557" t="s">
        <v>749</v>
      </c>
      <c r="L557" t="s">
        <v>749</v>
      </c>
    </row>
    <row r="558" spans="1:52" hidden="1" x14ac:dyDescent="0.25">
      <c r="A558" t="s">
        <v>12</v>
      </c>
      <c r="B558" t="s">
        <v>63</v>
      </c>
      <c r="C558" t="s">
        <v>224</v>
      </c>
      <c r="D558">
        <v>39356</v>
      </c>
      <c r="E558" t="s">
        <v>707</v>
      </c>
      <c r="F558">
        <v>5.0250000000000004</v>
      </c>
      <c r="G558">
        <v>2007</v>
      </c>
      <c r="J558" t="s">
        <v>749</v>
      </c>
      <c r="L558" t="s">
        <v>749</v>
      </c>
    </row>
    <row r="559" spans="1:52" hidden="1" x14ac:dyDescent="0.25">
      <c r="A559" t="s">
        <v>12</v>
      </c>
      <c r="B559" t="s">
        <v>63</v>
      </c>
      <c r="C559" t="s">
        <v>225</v>
      </c>
      <c r="D559">
        <v>39357</v>
      </c>
      <c r="E559" t="s">
        <v>707</v>
      </c>
      <c r="F559">
        <v>0.55200000000000005</v>
      </c>
      <c r="G559">
        <v>2007</v>
      </c>
      <c r="J559" t="s">
        <v>749</v>
      </c>
      <c r="L559" t="s">
        <v>749</v>
      </c>
    </row>
    <row r="560" spans="1:52" hidden="1" x14ac:dyDescent="0.25">
      <c r="A560" t="s">
        <v>12</v>
      </c>
      <c r="B560" t="s">
        <v>63</v>
      </c>
      <c r="C560" t="s">
        <v>226</v>
      </c>
      <c r="D560">
        <v>39358</v>
      </c>
      <c r="E560" t="s">
        <v>708</v>
      </c>
      <c r="F560">
        <v>0.55200000000000005</v>
      </c>
      <c r="G560">
        <v>2007</v>
      </c>
      <c r="J560" t="s">
        <v>749</v>
      </c>
      <c r="L560" t="s">
        <v>749</v>
      </c>
    </row>
    <row r="561" spans="1:12" hidden="1" x14ac:dyDescent="0.25">
      <c r="A561" t="s">
        <v>12</v>
      </c>
      <c r="B561" t="s">
        <v>63</v>
      </c>
      <c r="C561" t="s">
        <v>222</v>
      </c>
      <c r="D561">
        <v>39354</v>
      </c>
      <c r="E561" t="s">
        <v>707</v>
      </c>
      <c r="F561">
        <v>0.24</v>
      </c>
      <c r="G561">
        <v>2008</v>
      </c>
      <c r="J561" t="s">
        <v>749</v>
      </c>
      <c r="L561" t="s">
        <v>749</v>
      </c>
    </row>
    <row r="562" spans="1:12" hidden="1" x14ac:dyDescent="0.25">
      <c r="A562" t="s">
        <v>12</v>
      </c>
      <c r="B562" t="s">
        <v>63</v>
      </c>
      <c r="C562" t="s">
        <v>223</v>
      </c>
      <c r="D562">
        <v>39355</v>
      </c>
      <c r="E562" t="s">
        <v>707</v>
      </c>
      <c r="F562">
        <v>1.032</v>
      </c>
      <c r="G562">
        <v>2008</v>
      </c>
      <c r="J562" t="s">
        <v>749</v>
      </c>
      <c r="L562" t="s">
        <v>749</v>
      </c>
    </row>
    <row r="563" spans="1:12" hidden="1" x14ac:dyDescent="0.25">
      <c r="A563" t="s">
        <v>12</v>
      </c>
      <c r="B563" t="s">
        <v>63</v>
      </c>
      <c r="C563" t="s">
        <v>224</v>
      </c>
      <c r="D563">
        <v>39356</v>
      </c>
      <c r="E563" t="s">
        <v>707</v>
      </c>
      <c r="F563">
        <v>4.7320000000000002</v>
      </c>
      <c r="G563">
        <v>2008</v>
      </c>
      <c r="J563" t="s">
        <v>749</v>
      </c>
      <c r="L563" t="s">
        <v>749</v>
      </c>
    </row>
    <row r="564" spans="1:12" hidden="1" x14ac:dyDescent="0.25">
      <c r="A564" t="s">
        <v>12</v>
      </c>
      <c r="B564" t="s">
        <v>63</v>
      </c>
      <c r="C564" t="s">
        <v>225</v>
      </c>
      <c r="D564">
        <v>39357</v>
      </c>
      <c r="E564" t="s">
        <v>707</v>
      </c>
      <c r="F564">
        <v>0.55200000000000005</v>
      </c>
      <c r="G564">
        <v>2008</v>
      </c>
      <c r="J564" t="s">
        <v>749</v>
      </c>
      <c r="L564" t="s">
        <v>749</v>
      </c>
    </row>
    <row r="565" spans="1:12" hidden="1" x14ac:dyDescent="0.25">
      <c r="A565" t="s">
        <v>12</v>
      </c>
      <c r="B565" t="s">
        <v>63</v>
      </c>
      <c r="C565" t="s">
        <v>226</v>
      </c>
      <c r="D565">
        <v>39358</v>
      </c>
      <c r="E565" t="s">
        <v>708</v>
      </c>
      <c r="F565">
        <v>0.55200000000000005</v>
      </c>
      <c r="G565">
        <v>2008</v>
      </c>
      <c r="J565" t="s">
        <v>749</v>
      </c>
      <c r="L565" t="s">
        <v>749</v>
      </c>
    </row>
    <row r="566" spans="1:12" hidden="1" x14ac:dyDescent="0.25">
      <c r="A566" t="s">
        <v>12</v>
      </c>
      <c r="B566" t="s">
        <v>63</v>
      </c>
      <c r="C566" t="s">
        <v>222</v>
      </c>
      <c r="D566">
        <v>39354</v>
      </c>
      <c r="E566" t="s">
        <v>707</v>
      </c>
      <c r="F566">
        <v>0.24</v>
      </c>
      <c r="G566">
        <v>2009</v>
      </c>
      <c r="J566" t="s">
        <v>749</v>
      </c>
      <c r="L566" t="s">
        <v>749</v>
      </c>
    </row>
    <row r="567" spans="1:12" hidden="1" x14ac:dyDescent="0.25">
      <c r="A567" t="s">
        <v>12</v>
      </c>
      <c r="B567" t="s">
        <v>63</v>
      </c>
      <c r="C567" t="s">
        <v>223</v>
      </c>
      <c r="D567">
        <v>39355</v>
      </c>
      <c r="E567" t="s">
        <v>707</v>
      </c>
      <c r="F567">
        <v>1.032</v>
      </c>
      <c r="G567">
        <v>2009</v>
      </c>
      <c r="J567" t="s">
        <v>749</v>
      </c>
      <c r="L567" t="s">
        <v>749</v>
      </c>
    </row>
    <row r="568" spans="1:12" hidden="1" x14ac:dyDescent="0.25">
      <c r="A568" t="s">
        <v>12</v>
      </c>
      <c r="B568" t="s">
        <v>63</v>
      </c>
      <c r="C568" t="s">
        <v>224</v>
      </c>
      <c r="D568">
        <v>39356</v>
      </c>
      <c r="E568" t="s">
        <v>707</v>
      </c>
      <c r="F568">
        <v>1.2789999999999999</v>
      </c>
      <c r="G568">
        <v>2009</v>
      </c>
      <c r="J568" t="s">
        <v>749</v>
      </c>
      <c r="L568" t="s">
        <v>749</v>
      </c>
    </row>
    <row r="569" spans="1:12" hidden="1" x14ac:dyDescent="0.25">
      <c r="A569" t="s">
        <v>12</v>
      </c>
      <c r="B569" t="s">
        <v>63</v>
      </c>
      <c r="C569" t="s">
        <v>226</v>
      </c>
      <c r="D569">
        <v>39358</v>
      </c>
      <c r="E569" t="s">
        <v>708</v>
      </c>
      <c r="F569">
        <v>0.55200000000000005</v>
      </c>
      <c r="G569">
        <v>2009</v>
      </c>
      <c r="J569" t="s">
        <v>749</v>
      </c>
      <c r="L569" t="s">
        <v>749</v>
      </c>
    </row>
    <row r="570" spans="1:12" hidden="1" x14ac:dyDescent="0.25">
      <c r="A570" t="s">
        <v>12</v>
      </c>
      <c r="B570" t="s">
        <v>63</v>
      </c>
      <c r="C570" t="s">
        <v>227</v>
      </c>
      <c r="D570">
        <v>41094</v>
      </c>
      <c r="E570" t="s">
        <v>707</v>
      </c>
      <c r="F570">
        <v>1.6459999999999999</v>
      </c>
      <c r="G570">
        <v>2009</v>
      </c>
      <c r="J570" t="s">
        <v>749</v>
      </c>
      <c r="L570" t="s">
        <v>749</v>
      </c>
    </row>
    <row r="571" spans="1:12" hidden="1" x14ac:dyDescent="0.25">
      <c r="A571" t="s">
        <v>12</v>
      </c>
      <c r="B571" t="s">
        <v>63</v>
      </c>
      <c r="C571" t="s">
        <v>222</v>
      </c>
      <c r="D571">
        <v>39354</v>
      </c>
      <c r="E571" t="s">
        <v>707</v>
      </c>
      <c r="F571">
        <v>0.24</v>
      </c>
      <c r="G571">
        <v>2010</v>
      </c>
      <c r="J571" t="s">
        <v>749</v>
      </c>
      <c r="L571" t="s">
        <v>749</v>
      </c>
    </row>
    <row r="572" spans="1:12" hidden="1" x14ac:dyDescent="0.25">
      <c r="A572" t="s">
        <v>12</v>
      </c>
      <c r="B572" t="s">
        <v>63</v>
      </c>
      <c r="C572" t="s">
        <v>223</v>
      </c>
      <c r="D572">
        <v>39355</v>
      </c>
      <c r="E572" t="s">
        <v>707</v>
      </c>
      <c r="F572">
        <v>1.032</v>
      </c>
      <c r="G572">
        <v>2010</v>
      </c>
      <c r="J572" t="s">
        <v>749</v>
      </c>
      <c r="L572" t="s">
        <v>749</v>
      </c>
    </row>
    <row r="573" spans="1:12" hidden="1" x14ac:dyDescent="0.25">
      <c r="A573" t="s">
        <v>12</v>
      </c>
      <c r="B573" t="s">
        <v>63</v>
      </c>
      <c r="C573" t="s">
        <v>224</v>
      </c>
      <c r="D573">
        <v>39356</v>
      </c>
      <c r="E573" t="s">
        <v>707</v>
      </c>
      <c r="F573">
        <v>0.24</v>
      </c>
      <c r="G573">
        <v>2010</v>
      </c>
      <c r="J573" t="s">
        <v>749</v>
      </c>
      <c r="L573" t="s">
        <v>749</v>
      </c>
    </row>
    <row r="574" spans="1:12" hidden="1" x14ac:dyDescent="0.25">
      <c r="A574" t="s">
        <v>12</v>
      </c>
      <c r="B574" t="s">
        <v>63</v>
      </c>
      <c r="C574" t="s">
        <v>226</v>
      </c>
      <c r="D574">
        <v>39358</v>
      </c>
      <c r="E574" t="s">
        <v>708</v>
      </c>
      <c r="F574">
        <v>1.032</v>
      </c>
      <c r="G574">
        <v>2010</v>
      </c>
      <c r="J574" t="s">
        <v>749</v>
      </c>
      <c r="L574" t="s">
        <v>749</v>
      </c>
    </row>
    <row r="575" spans="1:12" hidden="1" x14ac:dyDescent="0.25">
      <c r="A575" t="s">
        <v>12</v>
      </c>
      <c r="B575" t="s">
        <v>63</v>
      </c>
      <c r="C575" t="s">
        <v>227</v>
      </c>
      <c r="D575">
        <v>41094</v>
      </c>
      <c r="E575" t="s">
        <v>707</v>
      </c>
      <c r="F575">
        <v>0.24</v>
      </c>
      <c r="G575">
        <v>2010</v>
      </c>
      <c r="J575" t="s">
        <v>749</v>
      </c>
      <c r="L575" t="s">
        <v>749</v>
      </c>
    </row>
    <row r="576" spans="1:12" hidden="1" x14ac:dyDescent="0.25">
      <c r="A576" t="s">
        <v>12</v>
      </c>
      <c r="B576" t="s">
        <v>63</v>
      </c>
      <c r="C576" t="s">
        <v>222</v>
      </c>
      <c r="D576">
        <v>39354</v>
      </c>
      <c r="E576" t="s">
        <v>707</v>
      </c>
      <c r="F576">
        <v>0.24</v>
      </c>
      <c r="G576">
        <v>2011</v>
      </c>
      <c r="J576" t="s">
        <v>749</v>
      </c>
      <c r="L576" t="s">
        <v>749</v>
      </c>
    </row>
    <row r="577" spans="1:15" hidden="1" x14ac:dyDescent="0.25">
      <c r="A577" t="s">
        <v>12</v>
      </c>
      <c r="B577" t="s">
        <v>63</v>
      </c>
      <c r="C577" t="s">
        <v>223</v>
      </c>
      <c r="D577">
        <v>39355</v>
      </c>
      <c r="E577" t="s">
        <v>707</v>
      </c>
      <c r="F577">
        <v>1.032</v>
      </c>
      <c r="G577">
        <v>2011</v>
      </c>
      <c r="J577" t="s">
        <v>749</v>
      </c>
      <c r="L577" t="s">
        <v>749</v>
      </c>
    </row>
    <row r="578" spans="1:15" hidden="1" x14ac:dyDescent="0.25">
      <c r="A578" t="s">
        <v>12</v>
      </c>
      <c r="B578" t="s">
        <v>63</v>
      </c>
      <c r="C578" t="s">
        <v>224</v>
      </c>
      <c r="D578">
        <v>39356</v>
      </c>
      <c r="E578" t="s">
        <v>707</v>
      </c>
      <c r="F578">
        <v>0.36</v>
      </c>
      <c r="G578">
        <v>2011</v>
      </c>
      <c r="J578" t="s">
        <v>749</v>
      </c>
      <c r="L578" t="s">
        <v>749</v>
      </c>
    </row>
    <row r="579" spans="1:15" hidden="1" x14ac:dyDescent="0.25">
      <c r="A579" t="s">
        <v>12</v>
      </c>
      <c r="B579" t="s">
        <v>63</v>
      </c>
      <c r="C579" t="s">
        <v>226</v>
      </c>
      <c r="D579">
        <v>39358</v>
      </c>
      <c r="E579" t="s">
        <v>708</v>
      </c>
      <c r="F579">
        <v>45.441000000000003</v>
      </c>
      <c r="G579">
        <v>2011</v>
      </c>
      <c r="J579" t="s">
        <v>749</v>
      </c>
      <c r="L579" t="s">
        <v>749</v>
      </c>
      <c r="O579" t="s">
        <v>749</v>
      </c>
    </row>
    <row r="580" spans="1:15" hidden="1" x14ac:dyDescent="0.25">
      <c r="A580" t="s">
        <v>12</v>
      </c>
      <c r="B580" t="s">
        <v>63</v>
      </c>
      <c r="C580" t="s">
        <v>227</v>
      </c>
      <c r="D580">
        <v>41094</v>
      </c>
      <c r="E580" t="s">
        <v>707</v>
      </c>
      <c r="F580">
        <v>0.24</v>
      </c>
      <c r="G580">
        <v>2011</v>
      </c>
      <c r="J580" t="s">
        <v>749</v>
      </c>
      <c r="L580" t="s">
        <v>749</v>
      </c>
    </row>
    <row r="581" spans="1:15" hidden="1" x14ac:dyDescent="0.25">
      <c r="A581" t="s">
        <v>12</v>
      </c>
      <c r="B581" t="s">
        <v>63</v>
      </c>
      <c r="C581" t="s">
        <v>222</v>
      </c>
      <c r="D581">
        <v>39354</v>
      </c>
      <c r="E581" t="s">
        <v>707</v>
      </c>
      <c r="F581">
        <v>0.24</v>
      </c>
      <c r="G581">
        <v>2012</v>
      </c>
      <c r="J581" t="s">
        <v>749</v>
      </c>
      <c r="L581" t="s">
        <v>749</v>
      </c>
    </row>
    <row r="582" spans="1:15" hidden="1" x14ac:dyDescent="0.25">
      <c r="A582" t="s">
        <v>12</v>
      </c>
      <c r="B582" t="s">
        <v>63</v>
      </c>
      <c r="C582" t="s">
        <v>223</v>
      </c>
      <c r="D582">
        <v>39355</v>
      </c>
      <c r="E582" t="s">
        <v>707</v>
      </c>
      <c r="F582">
        <v>1.5840000000000001</v>
      </c>
      <c r="G582">
        <v>2012</v>
      </c>
      <c r="J582" t="s">
        <v>749</v>
      </c>
      <c r="L582" t="s">
        <v>749</v>
      </c>
    </row>
    <row r="583" spans="1:15" hidden="1" x14ac:dyDescent="0.25">
      <c r="A583" t="s">
        <v>12</v>
      </c>
      <c r="B583" t="s">
        <v>63</v>
      </c>
      <c r="C583" t="s">
        <v>224</v>
      </c>
      <c r="D583">
        <v>39356</v>
      </c>
      <c r="E583" t="s">
        <v>707</v>
      </c>
      <c r="F583">
        <v>0.36</v>
      </c>
      <c r="G583">
        <v>2012</v>
      </c>
      <c r="J583" t="s">
        <v>749</v>
      </c>
      <c r="L583" t="s">
        <v>749</v>
      </c>
    </row>
    <row r="584" spans="1:15" hidden="1" x14ac:dyDescent="0.25">
      <c r="A584" t="s">
        <v>12</v>
      </c>
      <c r="B584" t="s">
        <v>63</v>
      </c>
      <c r="C584" t="s">
        <v>226</v>
      </c>
      <c r="D584">
        <v>39358</v>
      </c>
      <c r="E584" t="s">
        <v>708</v>
      </c>
      <c r="F584">
        <v>1.032</v>
      </c>
      <c r="G584">
        <v>2012</v>
      </c>
      <c r="J584" t="s">
        <v>749</v>
      </c>
      <c r="L584" t="s">
        <v>749</v>
      </c>
    </row>
    <row r="585" spans="1:15" hidden="1" x14ac:dyDescent="0.25">
      <c r="A585" t="s">
        <v>12</v>
      </c>
      <c r="B585" t="s">
        <v>63</v>
      </c>
      <c r="C585" t="s">
        <v>227</v>
      </c>
      <c r="D585">
        <v>41094</v>
      </c>
      <c r="E585" t="s">
        <v>707</v>
      </c>
      <c r="F585">
        <v>0.36</v>
      </c>
      <c r="G585">
        <v>2012</v>
      </c>
      <c r="J585" t="s">
        <v>749</v>
      </c>
      <c r="L585" t="s">
        <v>749</v>
      </c>
    </row>
    <row r="586" spans="1:15" hidden="1" x14ac:dyDescent="0.25">
      <c r="A586" t="s">
        <v>12</v>
      </c>
      <c r="B586" t="s">
        <v>63</v>
      </c>
      <c r="C586" t="s">
        <v>228</v>
      </c>
      <c r="D586">
        <v>46799</v>
      </c>
      <c r="E586" t="s">
        <v>707</v>
      </c>
      <c r="F586">
        <v>6.0999999999999999E-2</v>
      </c>
      <c r="G586">
        <v>2012</v>
      </c>
      <c r="J586" t="s">
        <v>749</v>
      </c>
      <c r="L586" t="s">
        <v>749</v>
      </c>
    </row>
    <row r="587" spans="1:15" hidden="1" x14ac:dyDescent="0.25">
      <c r="A587" t="s">
        <v>12</v>
      </c>
      <c r="B587" t="s">
        <v>63</v>
      </c>
      <c r="C587" t="s">
        <v>222</v>
      </c>
      <c r="D587">
        <v>39354</v>
      </c>
      <c r="E587" t="s">
        <v>707</v>
      </c>
      <c r="F587">
        <v>0.24</v>
      </c>
      <c r="G587">
        <v>2013</v>
      </c>
      <c r="J587" t="s">
        <v>749</v>
      </c>
      <c r="L587" t="s">
        <v>749</v>
      </c>
    </row>
    <row r="588" spans="1:15" hidden="1" x14ac:dyDescent="0.25">
      <c r="A588" t="s">
        <v>12</v>
      </c>
      <c r="B588" t="s">
        <v>63</v>
      </c>
      <c r="C588" t="s">
        <v>223</v>
      </c>
      <c r="D588">
        <v>39355</v>
      </c>
      <c r="E588" t="s">
        <v>707</v>
      </c>
      <c r="F588">
        <v>1.5840000000000001</v>
      </c>
      <c r="G588">
        <v>2013</v>
      </c>
      <c r="J588" t="s">
        <v>749</v>
      </c>
      <c r="L588" t="s">
        <v>749</v>
      </c>
    </row>
    <row r="589" spans="1:15" hidden="1" x14ac:dyDescent="0.25">
      <c r="A589" t="s">
        <v>12</v>
      </c>
      <c r="B589" t="s">
        <v>63</v>
      </c>
      <c r="C589" t="s">
        <v>224</v>
      </c>
      <c r="D589">
        <v>39356</v>
      </c>
      <c r="E589" t="s">
        <v>707</v>
      </c>
      <c r="F589">
        <v>0.36</v>
      </c>
      <c r="G589">
        <v>2013</v>
      </c>
      <c r="J589" t="s">
        <v>749</v>
      </c>
      <c r="L589" t="s">
        <v>749</v>
      </c>
    </row>
    <row r="590" spans="1:15" hidden="1" x14ac:dyDescent="0.25">
      <c r="A590" t="s">
        <v>12</v>
      </c>
      <c r="B590" t="s">
        <v>63</v>
      </c>
      <c r="C590" t="s">
        <v>226</v>
      </c>
      <c r="D590">
        <v>39358</v>
      </c>
      <c r="E590" t="s">
        <v>708</v>
      </c>
      <c r="F590">
        <v>1.032</v>
      </c>
      <c r="G590">
        <v>2013</v>
      </c>
      <c r="J590" t="s">
        <v>749</v>
      </c>
      <c r="L590" t="s">
        <v>749</v>
      </c>
    </row>
    <row r="591" spans="1:15" hidden="1" x14ac:dyDescent="0.25">
      <c r="A591" t="s">
        <v>12</v>
      </c>
      <c r="B591" t="s">
        <v>63</v>
      </c>
      <c r="C591" t="s">
        <v>227</v>
      </c>
      <c r="D591">
        <v>41094</v>
      </c>
      <c r="E591" t="s">
        <v>707</v>
      </c>
      <c r="F591">
        <v>0.36</v>
      </c>
      <c r="G591">
        <v>2013</v>
      </c>
      <c r="J591" t="s">
        <v>749</v>
      </c>
      <c r="L591" t="s">
        <v>749</v>
      </c>
    </row>
    <row r="592" spans="1:15" hidden="1" x14ac:dyDescent="0.25">
      <c r="A592" t="s">
        <v>12</v>
      </c>
      <c r="B592" t="s">
        <v>63</v>
      </c>
      <c r="C592" t="s">
        <v>228</v>
      </c>
      <c r="D592">
        <v>46799</v>
      </c>
      <c r="E592" t="s">
        <v>707</v>
      </c>
      <c r="F592">
        <v>0</v>
      </c>
      <c r="G592">
        <v>2013</v>
      </c>
      <c r="J592" t="s">
        <v>749</v>
      </c>
      <c r="L592" t="s">
        <v>749</v>
      </c>
    </row>
    <row r="593" spans="1:12" hidden="1" x14ac:dyDescent="0.25">
      <c r="A593" t="s">
        <v>12</v>
      </c>
      <c r="B593" t="s">
        <v>63</v>
      </c>
      <c r="C593" t="s">
        <v>222</v>
      </c>
      <c r="D593">
        <v>39354</v>
      </c>
      <c r="E593" t="s">
        <v>707</v>
      </c>
      <c r="F593">
        <v>0.72</v>
      </c>
      <c r="G593">
        <v>2014</v>
      </c>
      <c r="J593" t="s">
        <v>749</v>
      </c>
      <c r="L593" t="s">
        <v>749</v>
      </c>
    </row>
    <row r="594" spans="1:12" hidden="1" x14ac:dyDescent="0.25">
      <c r="A594" t="s">
        <v>12</v>
      </c>
      <c r="B594" t="s">
        <v>63</v>
      </c>
      <c r="C594" t="s">
        <v>223</v>
      </c>
      <c r="D594">
        <v>39355</v>
      </c>
      <c r="E594" t="s">
        <v>707</v>
      </c>
      <c r="F594">
        <v>3.5640000000000001</v>
      </c>
      <c r="G594">
        <v>2014</v>
      </c>
      <c r="J594" t="s">
        <v>749</v>
      </c>
      <c r="L594" t="s">
        <v>749</v>
      </c>
    </row>
    <row r="595" spans="1:12" hidden="1" x14ac:dyDescent="0.25">
      <c r="A595" t="s">
        <v>12</v>
      </c>
      <c r="B595" t="s">
        <v>63</v>
      </c>
      <c r="C595" t="s">
        <v>224</v>
      </c>
      <c r="D595">
        <v>39356</v>
      </c>
      <c r="E595" t="s">
        <v>707</v>
      </c>
      <c r="F595">
        <v>0.621</v>
      </c>
      <c r="G595">
        <v>2014</v>
      </c>
      <c r="J595" t="s">
        <v>749</v>
      </c>
      <c r="L595" t="s">
        <v>749</v>
      </c>
    </row>
    <row r="596" spans="1:12" hidden="1" x14ac:dyDescent="0.25">
      <c r="A596" t="s">
        <v>12</v>
      </c>
      <c r="B596" t="s">
        <v>63</v>
      </c>
      <c r="C596" t="s">
        <v>226</v>
      </c>
      <c r="D596">
        <v>39358</v>
      </c>
      <c r="E596" t="s">
        <v>708</v>
      </c>
      <c r="F596">
        <v>4.6440000000000001</v>
      </c>
      <c r="G596">
        <v>2014</v>
      </c>
      <c r="J596" t="s">
        <v>749</v>
      </c>
      <c r="L596" t="s">
        <v>749</v>
      </c>
    </row>
    <row r="597" spans="1:12" hidden="1" x14ac:dyDescent="0.25">
      <c r="A597" t="s">
        <v>12</v>
      </c>
      <c r="B597" t="s">
        <v>63</v>
      </c>
      <c r="C597" t="s">
        <v>227</v>
      </c>
      <c r="D597">
        <v>41094</v>
      </c>
      <c r="E597" t="s">
        <v>707</v>
      </c>
      <c r="F597">
        <v>0.495</v>
      </c>
      <c r="G597">
        <v>2014</v>
      </c>
      <c r="J597" t="s">
        <v>749</v>
      </c>
      <c r="L597" t="s">
        <v>749</v>
      </c>
    </row>
    <row r="598" spans="1:12" hidden="1" x14ac:dyDescent="0.25">
      <c r="A598" t="s">
        <v>12</v>
      </c>
      <c r="B598" t="s">
        <v>63</v>
      </c>
      <c r="C598" t="s">
        <v>229</v>
      </c>
      <c r="D598">
        <v>55221</v>
      </c>
      <c r="E598" t="s">
        <v>707</v>
      </c>
      <c r="F598">
        <v>0.441</v>
      </c>
      <c r="G598">
        <v>2014</v>
      </c>
      <c r="J598" t="s">
        <v>749</v>
      </c>
      <c r="L598" t="s">
        <v>749</v>
      </c>
    </row>
    <row r="599" spans="1:12" hidden="1" x14ac:dyDescent="0.25">
      <c r="A599" t="s">
        <v>12</v>
      </c>
      <c r="B599" t="s">
        <v>63</v>
      </c>
      <c r="C599" t="s">
        <v>222</v>
      </c>
      <c r="D599">
        <v>39354</v>
      </c>
      <c r="E599" t="s">
        <v>707</v>
      </c>
      <c r="F599">
        <v>0.81</v>
      </c>
      <c r="G599">
        <v>2015</v>
      </c>
      <c r="J599" t="s">
        <v>749</v>
      </c>
      <c r="L599" t="s">
        <v>749</v>
      </c>
    </row>
    <row r="600" spans="1:12" hidden="1" x14ac:dyDescent="0.25">
      <c r="A600" t="s">
        <v>12</v>
      </c>
      <c r="B600" t="s">
        <v>63</v>
      </c>
      <c r="C600" t="s">
        <v>223</v>
      </c>
      <c r="D600">
        <v>39355</v>
      </c>
      <c r="E600" t="s">
        <v>707</v>
      </c>
      <c r="F600">
        <v>3.5640000000000001</v>
      </c>
      <c r="G600">
        <v>2015</v>
      </c>
      <c r="J600" t="s">
        <v>749</v>
      </c>
      <c r="L600" t="s">
        <v>749</v>
      </c>
    </row>
    <row r="601" spans="1:12" hidden="1" x14ac:dyDescent="0.25">
      <c r="A601" t="s">
        <v>12</v>
      </c>
      <c r="B601" t="s">
        <v>63</v>
      </c>
      <c r="C601" t="s">
        <v>224</v>
      </c>
      <c r="D601">
        <v>39356</v>
      </c>
      <c r="E601" t="s">
        <v>707</v>
      </c>
      <c r="F601">
        <v>0.621</v>
      </c>
      <c r="G601">
        <v>2015</v>
      </c>
      <c r="J601" t="s">
        <v>749</v>
      </c>
      <c r="L601" t="s">
        <v>749</v>
      </c>
    </row>
    <row r="602" spans="1:12" hidden="1" x14ac:dyDescent="0.25">
      <c r="A602" t="s">
        <v>12</v>
      </c>
      <c r="B602" t="s">
        <v>63</v>
      </c>
      <c r="C602" t="s">
        <v>226</v>
      </c>
      <c r="D602">
        <v>39358</v>
      </c>
      <c r="E602" t="s">
        <v>708</v>
      </c>
      <c r="F602">
        <v>7.1280000000000001</v>
      </c>
      <c r="G602">
        <v>2015</v>
      </c>
      <c r="J602" t="s">
        <v>749</v>
      </c>
      <c r="L602" t="s">
        <v>749</v>
      </c>
    </row>
    <row r="603" spans="1:12" hidden="1" x14ac:dyDescent="0.25">
      <c r="A603" t="s">
        <v>12</v>
      </c>
      <c r="B603" t="s">
        <v>63</v>
      </c>
      <c r="C603" t="s">
        <v>227</v>
      </c>
      <c r="D603">
        <v>41094</v>
      </c>
      <c r="E603" t="s">
        <v>707</v>
      </c>
      <c r="F603">
        <v>0.495</v>
      </c>
      <c r="G603">
        <v>2015</v>
      </c>
      <c r="J603" t="s">
        <v>749</v>
      </c>
      <c r="L603" t="s">
        <v>749</v>
      </c>
    </row>
    <row r="604" spans="1:12" hidden="1" x14ac:dyDescent="0.25">
      <c r="A604" t="s">
        <v>12</v>
      </c>
      <c r="B604" t="s">
        <v>63</v>
      </c>
      <c r="C604" t="s">
        <v>229</v>
      </c>
      <c r="D604">
        <v>55221</v>
      </c>
      <c r="E604" t="s">
        <v>707</v>
      </c>
      <c r="F604">
        <v>0.441</v>
      </c>
      <c r="G604">
        <v>2015</v>
      </c>
      <c r="J604" t="s">
        <v>749</v>
      </c>
      <c r="L604" t="s">
        <v>749</v>
      </c>
    </row>
    <row r="605" spans="1:12" hidden="1" x14ac:dyDescent="0.25">
      <c r="A605" t="s">
        <v>12</v>
      </c>
      <c r="B605" t="s">
        <v>63</v>
      </c>
      <c r="C605" t="s">
        <v>222</v>
      </c>
      <c r="D605">
        <v>39354</v>
      </c>
      <c r="E605" t="s">
        <v>707</v>
      </c>
      <c r="F605">
        <v>0.94699999999999995</v>
      </c>
      <c r="G605">
        <v>2016</v>
      </c>
      <c r="J605" t="s">
        <v>749</v>
      </c>
      <c r="L605" t="s">
        <v>749</v>
      </c>
    </row>
    <row r="606" spans="1:12" hidden="1" x14ac:dyDescent="0.25">
      <c r="A606" t="s">
        <v>12</v>
      </c>
      <c r="B606" t="s">
        <v>63</v>
      </c>
      <c r="C606" t="s">
        <v>223</v>
      </c>
      <c r="D606">
        <v>39355</v>
      </c>
      <c r="E606" t="s">
        <v>707</v>
      </c>
      <c r="F606">
        <v>127.673</v>
      </c>
      <c r="G606">
        <v>2016</v>
      </c>
      <c r="J606" t="s">
        <v>749</v>
      </c>
      <c r="L606" t="s">
        <v>749</v>
      </c>
    </row>
    <row r="607" spans="1:12" hidden="1" x14ac:dyDescent="0.25">
      <c r="A607" t="s">
        <v>12</v>
      </c>
      <c r="B607" t="s">
        <v>63</v>
      </c>
      <c r="C607" t="s">
        <v>224</v>
      </c>
      <c r="D607">
        <v>39356</v>
      </c>
      <c r="E607" t="s">
        <v>707</v>
      </c>
      <c r="F607">
        <v>0.95199999999999996</v>
      </c>
      <c r="G607">
        <v>2016</v>
      </c>
      <c r="J607" t="s">
        <v>749</v>
      </c>
      <c r="L607" t="s">
        <v>749</v>
      </c>
    </row>
    <row r="608" spans="1:12" hidden="1" x14ac:dyDescent="0.25">
      <c r="A608" t="s">
        <v>12</v>
      </c>
      <c r="B608" t="s">
        <v>63</v>
      </c>
      <c r="C608" t="s">
        <v>226</v>
      </c>
      <c r="D608">
        <v>39358</v>
      </c>
      <c r="E608" t="s">
        <v>708</v>
      </c>
      <c r="F608">
        <v>7.524</v>
      </c>
      <c r="G608">
        <v>2016</v>
      </c>
      <c r="J608" t="s">
        <v>749</v>
      </c>
      <c r="L608" t="s">
        <v>749</v>
      </c>
    </row>
    <row r="609" spans="1:52" hidden="1" x14ac:dyDescent="0.25">
      <c r="A609" t="s">
        <v>12</v>
      </c>
      <c r="B609" t="s">
        <v>63</v>
      </c>
      <c r="C609" t="s">
        <v>227</v>
      </c>
      <c r="D609">
        <v>41094</v>
      </c>
      <c r="E609" t="s">
        <v>707</v>
      </c>
      <c r="F609">
        <v>0.58499999999999996</v>
      </c>
      <c r="G609">
        <v>2016</v>
      </c>
      <c r="J609" t="s">
        <v>749</v>
      </c>
      <c r="L609" t="s">
        <v>749</v>
      </c>
    </row>
    <row r="610" spans="1:52" hidden="1" x14ac:dyDescent="0.25">
      <c r="A610" t="s">
        <v>12</v>
      </c>
      <c r="B610" t="s">
        <v>63</v>
      </c>
      <c r="C610" t="s">
        <v>229</v>
      </c>
      <c r="D610">
        <v>55221</v>
      </c>
      <c r="E610" t="s">
        <v>707</v>
      </c>
      <c r="F610">
        <v>0.441</v>
      </c>
      <c r="G610">
        <v>2016</v>
      </c>
      <c r="J610" t="s">
        <v>749</v>
      </c>
      <c r="L610" t="s">
        <v>749</v>
      </c>
    </row>
    <row r="611" spans="1:52" hidden="1" x14ac:dyDescent="0.25">
      <c r="A611" t="s">
        <v>12</v>
      </c>
      <c r="B611" t="s">
        <v>63</v>
      </c>
      <c r="C611" t="s">
        <v>230</v>
      </c>
      <c r="D611">
        <v>60010</v>
      </c>
      <c r="E611" t="s">
        <v>707</v>
      </c>
      <c r="F611">
        <v>0.12</v>
      </c>
      <c r="G611">
        <v>2016</v>
      </c>
      <c r="J611" t="s">
        <v>749</v>
      </c>
      <c r="L611" t="s">
        <v>749</v>
      </c>
    </row>
    <row r="612" spans="1:52" hidden="1" x14ac:dyDescent="0.25">
      <c r="A612" t="s">
        <v>12</v>
      </c>
      <c r="B612" t="s">
        <v>63</v>
      </c>
      <c r="C612" t="s">
        <v>222</v>
      </c>
      <c r="D612">
        <v>39354</v>
      </c>
      <c r="E612" t="s">
        <v>707</v>
      </c>
      <c r="F612">
        <v>0.94699999999999995</v>
      </c>
      <c r="G612">
        <v>2017</v>
      </c>
      <c r="J612" t="s">
        <v>749</v>
      </c>
      <c r="L612" t="s">
        <v>749</v>
      </c>
    </row>
    <row r="613" spans="1:52" hidden="1" x14ac:dyDescent="0.25">
      <c r="A613" t="s">
        <v>12</v>
      </c>
      <c r="B613" t="s">
        <v>63</v>
      </c>
      <c r="C613" t="s">
        <v>226</v>
      </c>
      <c r="D613">
        <v>39358</v>
      </c>
      <c r="E613" t="s">
        <v>708</v>
      </c>
      <c r="F613">
        <v>7.524</v>
      </c>
      <c r="G613">
        <v>2017</v>
      </c>
      <c r="J613" t="s">
        <v>749</v>
      </c>
      <c r="L613" t="s">
        <v>749</v>
      </c>
    </row>
    <row r="614" spans="1:52" hidden="1" x14ac:dyDescent="0.25">
      <c r="A614" t="s">
        <v>12</v>
      </c>
      <c r="B614" t="s">
        <v>63</v>
      </c>
      <c r="C614" t="s">
        <v>227</v>
      </c>
      <c r="D614">
        <v>41094</v>
      </c>
      <c r="E614" t="s">
        <v>707</v>
      </c>
      <c r="F614">
        <v>1.008</v>
      </c>
      <c r="G614">
        <v>2017</v>
      </c>
      <c r="J614" t="s">
        <v>749</v>
      </c>
      <c r="L614" t="s">
        <v>749</v>
      </c>
    </row>
    <row r="615" spans="1:52" hidden="1" x14ac:dyDescent="0.25">
      <c r="A615" t="s">
        <v>12</v>
      </c>
      <c r="B615" t="s">
        <v>63</v>
      </c>
      <c r="C615" t="s">
        <v>229</v>
      </c>
      <c r="D615">
        <v>55221</v>
      </c>
      <c r="E615" t="s">
        <v>707</v>
      </c>
      <c r="F615">
        <v>0.60299999999999998</v>
      </c>
      <c r="G615">
        <v>2017</v>
      </c>
      <c r="J615" t="s">
        <v>749</v>
      </c>
      <c r="L615" t="s">
        <v>749</v>
      </c>
    </row>
    <row r="616" spans="1:52" hidden="1" x14ac:dyDescent="0.25">
      <c r="A616" t="s">
        <v>12</v>
      </c>
      <c r="B616" t="s">
        <v>63</v>
      </c>
      <c r="C616" t="s">
        <v>230</v>
      </c>
      <c r="D616">
        <v>60010</v>
      </c>
      <c r="E616" t="s">
        <v>707</v>
      </c>
      <c r="F616">
        <v>0.72</v>
      </c>
      <c r="G616">
        <v>2017</v>
      </c>
      <c r="J616" t="s">
        <v>749</v>
      </c>
      <c r="L616" t="s">
        <v>749</v>
      </c>
    </row>
    <row r="617" spans="1:52" hidden="1" x14ac:dyDescent="0.25">
      <c r="A617" t="s">
        <v>12</v>
      </c>
      <c r="B617" t="s">
        <v>63</v>
      </c>
      <c r="C617" t="s">
        <v>222</v>
      </c>
      <c r="D617">
        <v>39354</v>
      </c>
      <c r="E617" t="s">
        <v>707</v>
      </c>
      <c r="F617">
        <v>2.1989999999999998</v>
      </c>
      <c r="G617">
        <v>2018</v>
      </c>
      <c r="J617" t="s">
        <v>749</v>
      </c>
      <c r="L617" t="s">
        <v>749</v>
      </c>
    </row>
    <row r="618" spans="1:52" hidden="1" x14ac:dyDescent="0.25">
      <c r="A618" t="s">
        <v>12</v>
      </c>
      <c r="B618" t="s">
        <v>63</v>
      </c>
      <c r="C618" t="s">
        <v>226</v>
      </c>
      <c r="D618">
        <v>39358</v>
      </c>
      <c r="E618" t="s">
        <v>708</v>
      </c>
      <c r="F618">
        <v>8.2739999999999991</v>
      </c>
      <c r="G618">
        <v>2018</v>
      </c>
      <c r="J618" t="s">
        <v>749</v>
      </c>
      <c r="L618" t="s">
        <v>749</v>
      </c>
    </row>
    <row r="619" spans="1:52" hidden="1" x14ac:dyDescent="0.25">
      <c r="A619" t="s">
        <v>12</v>
      </c>
      <c r="B619" t="s">
        <v>63</v>
      </c>
      <c r="C619" t="s">
        <v>227</v>
      </c>
      <c r="D619">
        <v>41094</v>
      </c>
      <c r="E619" t="s">
        <v>707</v>
      </c>
      <c r="F619">
        <v>1.8129999999999999</v>
      </c>
      <c r="G619">
        <v>2018</v>
      </c>
      <c r="J619" t="s">
        <v>749</v>
      </c>
      <c r="L619" t="s">
        <v>749</v>
      </c>
    </row>
    <row r="620" spans="1:52" hidden="1" x14ac:dyDescent="0.25">
      <c r="A620" t="s">
        <v>12</v>
      </c>
      <c r="B620" t="s">
        <v>63</v>
      </c>
      <c r="C620" t="s">
        <v>229</v>
      </c>
      <c r="D620">
        <v>55221</v>
      </c>
      <c r="E620" t="s">
        <v>707</v>
      </c>
      <c r="F620">
        <v>1.7849999999999999</v>
      </c>
      <c r="G620">
        <v>2018</v>
      </c>
      <c r="J620" t="s">
        <v>749</v>
      </c>
      <c r="L620" t="s">
        <v>749</v>
      </c>
    </row>
    <row r="621" spans="1:52" hidden="1" x14ac:dyDescent="0.25">
      <c r="A621" t="s">
        <v>12</v>
      </c>
      <c r="B621" t="s">
        <v>63</v>
      </c>
      <c r="C621" t="s">
        <v>230</v>
      </c>
      <c r="D621">
        <v>60010</v>
      </c>
      <c r="E621" t="s">
        <v>707</v>
      </c>
      <c r="F621">
        <v>1.47</v>
      </c>
      <c r="G621">
        <v>2018</v>
      </c>
      <c r="J621" t="s">
        <v>749</v>
      </c>
      <c r="L621" t="s">
        <v>749</v>
      </c>
    </row>
    <row r="622" spans="1:52" s="4" customFormat="1" hidden="1" x14ac:dyDescent="0.25">
      <c r="A622" s="4" t="s">
        <v>13</v>
      </c>
      <c r="B622" s="4" t="s">
        <v>64</v>
      </c>
      <c r="C622" s="4" t="s">
        <v>231</v>
      </c>
      <c r="D622" s="4">
        <v>4409</v>
      </c>
      <c r="E622" s="4" t="s">
        <v>707</v>
      </c>
      <c r="F622" s="4">
        <v>22.96</v>
      </c>
      <c r="G622" s="4">
        <v>2006</v>
      </c>
      <c r="J622" s="4">
        <v>12896</v>
      </c>
      <c r="L622" s="4">
        <v>2107</v>
      </c>
      <c r="X622" s="4">
        <v>7957</v>
      </c>
      <c r="AZ622" s="7"/>
    </row>
    <row r="623" spans="1:52" hidden="1" x14ac:dyDescent="0.25">
      <c r="A623" t="s">
        <v>13</v>
      </c>
      <c r="B623" t="s">
        <v>64</v>
      </c>
      <c r="C623" t="s">
        <v>232</v>
      </c>
      <c r="D623">
        <v>18875</v>
      </c>
      <c r="E623" t="s">
        <v>707</v>
      </c>
      <c r="F623">
        <v>11.295999999999999</v>
      </c>
      <c r="G623">
        <v>2006</v>
      </c>
      <c r="L623">
        <v>2171</v>
      </c>
    </row>
    <row r="624" spans="1:52" hidden="1" x14ac:dyDescent="0.25">
      <c r="A624" t="s">
        <v>13</v>
      </c>
      <c r="B624" t="s">
        <v>64</v>
      </c>
      <c r="C624" t="s">
        <v>233</v>
      </c>
      <c r="D624">
        <v>30215</v>
      </c>
      <c r="E624" t="s">
        <v>708</v>
      </c>
      <c r="F624">
        <v>9.61</v>
      </c>
      <c r="G624">
        <v>2006</v>
      </c>
      <c r="J624">
        <v>6600</v>
      </c>
      <c r="L624">
        <v>3010</v>
      </c>
      <c r="AN624">
        <v>9125</v>
      </c>
    </row>
    <row r="625" spans="1:41" hidden="1" x14ac:dyDescent="0.25">
      <c r="A625" t="s">
        <v>13</v>
      </c>
      <c r="B625" t="s">
        <v>64</v>
      </c>
      <c r="C625" t="s">
        <v>234</v>
      </c>
      <c r="D625">
        <v>30216</v>
      </c>
      <c r="E625" t="s">
        <v>707</v>
      </c>
      <c r="F625">
        <v>7.6559999999999997</v>
      </c>
      <c r="G625">
        <v>2006</v>
      </c>
      <c r="Q625">
        <v>7656</v>
      </c>
    </row>
    <row r="626" spans="1:41" hidden="1" x14ac:dyDescent="0.25">
      <c r="A626" t="s">
        <v>13</v>
      </c>
      <c r="B626" t="s">
        <v>64</v>
      </c>
      <c r="C626" t="s">
        <v>235</v>
      </c>
      <c r="D626">
        <v>32698</v>
      </c>
      <c r="E626" t="s">
        <v>707</v>
      </c>
      <c r="F626">
        <v>10.664</v>
      </c>
      <c r="G626">
        <v>2006</v>
      </c>
      <c r="L626">
        <v>1539</v>
      </c>
      <c r="AN626">
        <v>9125</v>
      </c>
    </row>
    <row r="627" spans="1:41" hidden="1" x14ac:dyDescent="0.25">
      <c r="A627" t="s">
        <v>13</v>
      </c>
      <c r="B627" t="s">
        <v>64</v>
      </c>
      <c r="C627" t="s">
        <v>236</v>
      </c>
      <c r="D627">
        <v>34315</v>
      </c>
      <c r="E627" t="s">
        <v>707</v>
      </c>
      <c r="F627">
        <v>308.04300000000001</v>
      </c>
      <c r="G627">
        <v>2006</v>
      </c>
      <c r="M627">
        <v>11180</v>
      </c>
      <c r="X627">
        <v>2690</v>
      </c>
      <c r="AA627">
        <v>150194</v>
      </c>
      <c r="AB627">
        <v>58404</v>
      </c>
    </row>
    <row r="628" spans="1:41" hidden="1" x14ac:dyDescent="0.25">
      <c r="A628" t="s">
        <v>13</v>
      </c>
      <c r="B628" t="s">
        <v>64</v>
      </c>
      <c r="C628" t="s">
        <v>237</v>
      </c>
      <c r="D628">
        <v>34316</v>
      </c>
      <c r="E628" t="s">
        <v>707</v>
      </c>
      <c r="F628">
        <v>54.048000000000002</v>
      </c>
      <c r="G628">
        <v>2006</v>
      </c>
      <c r="J628">
        <v>9809</v>
      </c>
      <c r="L628">
        <v>1530</v>
      </c>
      <c r="AA628">
        <v>42709</v>
      </c>
    </row>
    <row r="629" spans="1:41" hidden="1" x14ac:dyDescent="0.25">
      <c r="A629" t="s">
        <v>13</v>
      </c>
      <c r="B629" t="s">
        <v>64</v>
      </c>
      <c r="C629" t="s">
        <v>238</v>
      </c>
      <c r="D629">
        <v>34317</v>
      </c>
      <c r="E629" t="s">
        <v>707</v>
      </c>
      <c r="F629">
        <v>51.621000000000002</v>
      </c>
      <c r="G629">
        <v>2006</v>
      </c>
      <c r="L629">
        <v>1114</v>
      </c>
      <c r="AB629">
        <v>50507</v>
      </c>
    </row>
    <row r="630" spans="1:41" hidden="1" x14ac:dyDescent="0.25">
      <c r="A630" t="s">
        <v>13</v>
      </c>
      <c r="B630" t="s">
        <v>64</v>
      </c>
      <c r="C630" t="s">
        <v>239</v>
      </c>
      <c r="D630">
        <v>37597</v>
      </c>
      <c r="E630" t="s">
        <v>707</v>
      </c>
      <c r="F630">
        <v>9.4329999999999998</v>
      </c>
      <c r="G630">
        <v>2006</v>
      </c>
      <c r="J630">
        <v>8850</v>
      </c>
      <c r="L630">
        <v>583</v>
      </c>
    </row>
    <row r="631" spans="1:41" hidden="1" x14ac:dyDescent="0.25">
      <c r="A631" t="s">
        <v>13</v>
      </c>
      <c r="B631" t="s">
        <v>64</v>
      </c>
      <c r="C631" t="s">
        <v>231</v>
      </c>
      <c r="D631">
        <v>4409</v>
      </c>
      <c r="E631" t="s">
        <v>707</v>
      </c>
      <c r="F631">
        <v>30.707000000000001</v>
      </c>
      <c r="G631">
        <v>2007</v>
      </c>
      <c r="J631">
        <v>14267</v>
      </c>
      <c r="L631">
        <v>8910</v>
      </c>
      <c r="X631">
        <v>7530</v>
      </c>
    </row>
    <row r="632" spans="1:41" hidden="1" x14ac:dyDescent="0.25">
      <c r="A632" t="s">
        <v>13</v>
      </c>
      <c r="B632" t="s">
        <v>64</v>
      </c>
      <c r="C632" t="s">
        <v>233</v>
      </c>
      <c r="D632">
        <v>30215</v>
      </c>
      <c r="E632" t="s">
        <v>708</v>
      </c>
      <c r="F632">
        <v>10.856</v>
      </c>
      <c r="G632">
        <v>2007</v>
      </c>
      <c r="J632">
        <v>6600</v>
      </c>
      <c r="L632">
        <v>4256</v>
      </c>
    </row>
    <row r="633" spans="1:41" hidden="1" x14ac:dyDescent="0.25">
      <c r="A633" t="s">
        <v>13</v>
      </c>
      <c r="B633" t="s">
        <v>64</v>
      </c>
      <c r="C633" t="s">
        <v>236</v>
      </c>
      <c r="D633">
        <v>34315</v>
      </c>
      <c r="E633" t="s">
        <v>707</v>
      </c>
      <c r="F633">
        <v>253.22900000000001</v>
      </c>
      <c r="G633">
        <v>2007</v>
      </c>
      <c r="J633">
        <v>97131</v>
      </c>
      <c r="M633">
        <v>11992</v>
      </c>
      <c r="X633">
        <v>2810</v>
      </c>
      <c r="AA633">
        <v>141296</v>
      </c>
    </row>
    <row r="634" spans="1:41" hidden="1" x14ac:dyDescent="0.25">
      <c r="A634" t="s">
        <v>13</v>
      </c>
      <c r="B634" t="s">
        <v>64</v>
      </c>
      <c r="C634" t="s">
        <v>237</v>
      </c>
      <c r="D634">
        <v>34316</v>
      </c>
      <c r="E634" t="s">
        <v>707</v>
      </c>
      <c r="F634">
        <v>131.32900000000001</v>
      </c>
      <c r="G634">
        <v>2007</v>
      </c>
      <c r="J634">
        <v>11116</v>
      </c>
      <c r="L634">
        <v>2032</v>
      </c>
      <c r="AA634">
        <v>118181</v>
      </c>
    </row>
    <row r="635" spans="1:41" hidden="1" x14ac:dyDescent="0.25">
      <c r="A635" t="s">
        <v>13</v>
      </c>
      <c r="B635" t="s">
        <v>64</v>
      </c>
      <c r="C635" t="s">
        <v>238</v>
      </c>
      <c r="D635">
        <v>34317</v>
      </c>
      <c r="E635" t="s">
        <v>707</v>
      </c>
      <c r="F635">
        <v>27.539000000000001</v>
      </c>
      <c r="G635">
        <v>2007</v>
      </c>
      <c r="J635">
        <v>13786</v>
      </c>
      <c r="L635">
        <v>3253</v>
      </c>
      <c r="AO635">
        <v>10500</v>
      </c>
    </row>
    <row r="636" spans="1:41" hidden="1" x14ac:dyDescent="0.25">
      <c r="A636" t="s">
        <v>13</v>
      </c>
      <c r="B636" t="s">
        <v>64</v>
      </c>
      <c r="C636" t="s">
        <v>239</v>
      </c>
      <c r="D636">
        <v>37597</v>
      </c>
      <c r="E636" t="s">
        <v>707</v>
      </c>
      <c r="F636">
        <v>18.795000000000002</v>
      </c>
      <c r="G636">
        <v>2007</v>
      </c>
      <c r="J636">
        <v>12198</v>
      </c>
      <c r="L636">
        <v>852</v>
      </c>
      <c r="X636">
        <v>5745</v>
      </c>
    </row>
    <row r="637" spans="1:41" hidden="1" x14ac:dyDescent="0.25">
      <c r="A637" t="s">
        <v>13</v>
      </c>
      <c r="B637" t="s">
        <v>64</v>
      </c>
      <c r="C637" t="s">
        <v>231</v>
      </c>
      <c r="D637">
        <v>4409</v>
      </c>
      <c r="E637" t="s">
        <v>707</v>
      </c>
      <c r="F637">
        <v>23.542999999999999</v>
      </c>
      <c r="G637">
        <v>2008</v>
      </c>
      <c r="J637">
        <v>12642</v>
      </c>
      <c r="L637">
        <v>2935</v>
      </c>
      <c r="X637">
        <v>8851</v>
      </c>
    </row>
    <row r="638" spans="1:41" hidden="1" x14ac:dyDescent="0.25">
      <c r="A638" t="s">
        <v>13</v>
      </c>
      <c r="B638" t="s">
        <v>64</v>
      </c>
      <c r="C638" t="s">
        <v>233</v>
      </c>
      <c r="D638">
        <v>30215</v>
      </c>
      <c r="E638" t="s">
        <v>708</v>
      </c>
      <c r="F638">
        <v>24.195</v>
      </c>
      <c r="G638">
        <v>2008</v>
      </c>
      <c r="J638">
        <v>21240</v>
      </c>
      <c r="L638">
        <v>2050</v>
      </c>
    </row>
    <row r="639" spans="1:41" hidden="1" x14ac:dyDescent="0.25">
      <c r="A639" t="s">
        <v>13</v>
      </c>
      <c r="B639" t="s">
        <v>64</v>
      </c>
      <c r="C639" t="s">
        <v>236</v>
      </c>
      <c r="D639">
        <v>34315</v>
      </c>
      <c r="E639" t="s">
        <v>707</v>
      </c>
      <c r="F639">
        <v>310.46699999999998</v>
      </c>
      <c r="G639">
        <v>2008</v>
      </c>
      <c r="J639">
        <v>113856</v>
      </c>
      <c r="M639">
        <v>14146</v>
      </c>
      <c r="AA639">
        <v>164648</v>
      </c>
    </row>
    <row r="640" spans="1:41" hidden="1" x14ac:dyDescent="0.25">
      <c r="A640" t="s">
        <v>13</v>
      </c>
      <c r="B640" t="s">
        <v>64</v>
      </c>
      <c r="C640" t="s">
        <v>237</v>
      </c>
      <c r="D640">
        <v>34316</v>
      </c>
      <c r="E640" t="s">
        <v>707</v>
      </c>
      <c r="F640">
        <v>116.364</v>
      </c>
      <c r="G640">
        <v>2008</v>
      </c>
      <c r="J640">
        <v>11838</v>
      </c>
      <c r="L640">
        <v>3863</v>
      </c>
      <c r="AA640">
        <v>100663</v>
      </c>
    </row>
    <row r="641" spans="1:50" hidden="1" x14ac:dyDescent="0.25">
      <c r="A641" t="s">
        <v>13</v>
      </c>
      <c r="B641" t="s">
        <v>64</v>
      </c>
      <c r="C641" t="s">
        <v>238</v>
      </c>
      <c r="D641">
        <v>34317</v>
      </c>
      <c r="E641" t="s">
        <v>707</v>
      </c>
      <c r="F641">
        <v>18.588000000000001</v>
      </c>
      <c r="G641">
        <v>2008</v>
      </c>
      <c r="J641">
        <v>8094</v>
      </c>
      <c r="L641">
        <v>1179</v>
      </c>
      <c r="AN641">
        <v>9315</v>
      </c>
    </row>
    <row r="642" spans="1:50" hidden="1" x14ac:dyDescent="0.25">
      <c r="A642" t="s">
        <v>13</v>
      </c>
      <c r="B642" t="s">
        <v>64</v>
      </c>
      <c r="C642" t="s">
        <v>239</v>
      </c>
      <c r="D642">
        <v>37597</v>
      </c>
      <c r="E642" t="s">
        <v>707</v>
      </c>
      <c r="F642">
        <v>26.234999999999999</v>
      </c>
      <c r="G642">
        <v>2008</v>
      </c>
      <c r="J642">
        <v>11965</v>
      </c>
      <c r="L642">
        <v>1538</v>
      </c>
    </row>
    <row r="643" spans="1:50" hidden="1" x14ac:dyDescent="0.25">
      <c r="A643" t="s">
        <v>13</v>
      </c>
      <c r="B643" t="s">
        <v>64</v>
      </c>
      <c r="C643" t="s">
        <v>240</v>
      </c>
      <c r="D643">
        <v>43836</v>
      </c>
      <c r="E643" t="s">
        <v>707</v>
      </c>
      <c r="F643">
        <v>8.3339999999999996</v>
      </c>
      <c r="G643">
        <v>2008</v>
      </c>
      <c r="J643">
        <v>6800</v>
      </c>
      <c r="L643">
        <v>1534</v>
      </c>
    </row>
    <row r="644" spans="1:50" hidden="1" x14ac:dyDescent="0.25">
      <c r="A644" t="s">
        <v>13</v>
      </c>
      <c r="B644" t="s">
        <v>64</v>
      </c>
      <c r="C644" t="s">
        <v>231</v>
      </c>
      <c r="D644">
        <v>4409</v>
      </c>
      <c r="E644" t="s">
        <v>707</v>
      </c>
      <c r="F644">
        <v>210.559</v>
      </c>
      <c r="G644">
        <v>2009</v>
      </c>
      <c r="J644">
        <v>10460</v>
      </c>
      <c r="L644">
        <v>378</v>
      </c>
      <c r="X644">
        <v>1475</v>
      </c>
      <c r="AK644">
        <v>48279</v>
      </c>
      <c r="AX644">
        <v>149967</v>
      </c>
    </row>
    <row r="645" spans="1:50" hidden="1" x14ac:dyDescent="0.25">
      <c r="A645" t="s">
        <v>13</v>
      </c>
      <c r="B645" t="s">
        <v>64</v>
      </c>
      <c r="C645" t="s">
        <v>233</v>
      </c>
      <c r="D645">
        <v>30215</v>
      </c>
      <c r="E645" t="s">
        <v>708</v>
      </c>
      <c r="F645">
        <v>15.175000000000001</v>
      </c>
      <c r="G645">
        <v>2009</v>
      </c>
      <c r="J645">
        <v>12250</v>
      </c>
      <c r="L645">
        <v>2925</v>
      </c>
    </row>
    <row r="646" spans="1:50" hidden="1" x14ac:dyDescent="0.25">
      <c r="A646" t="s">
        <v>13</v>
      </c>
      <c r="B646" t="s">
        <v>64</v>
      </c>
      <c r="C646" t="s">
        <v>236</v>
      </c>
      <c r="D646">
        <v>34315</v>
      </c>
      <c r="E646" t="s">
        <v>707</v>
      </c>
      <c r="F646">
        <v>303.10500000000002</v>
      </c>
      <c r="G646">
        <v>2009</v>
      </c>
      <c r="J646">
        <v>104888</v>
      </c>
      <c r="M646">
        <v>17531</v>
      </c>
      <c r="X646">
        <v>3106</v>
      </c>
      <c r="AA646">
        <v>158743</v>
      </c>
      <c r="AC646">
        <v>18837</v>
      </c>
    </row>
    <row r="647" spans="1:50" hidden="1" x14ac:dyDescent="0.25">
      <c r="A647" t="s">
        <v>13</v>
      </c>
      <c r="B647" t="s">
        <v>64</v>
      </c>
      <c r="C647" t="s">
        <v>238</v>
      </c>
      <c r="D647">
        <v>34317</v>
      </c>
      <c r="E647" t="s">
        <v>707</v>
      </c>
      <c r="F647">
        <v>15.867000000000001</v>
      </c>
      <c r="G647">
        <v>2009</v>
      </c>
      <c r="J647">
        <v>10960</v>
      </c>
      <c r="L647">
        <v>1342</v>
      </c>
      <c r="AN647">
        <v>3565</v>
      </c>
    </row>
    <row r="648" spans="1:50" hidden="1" x14ac:dyDescent="0.25">
      <c r="A648" t="s">
        <v>13</v>
      </c>
      <c r="B648" t="s">
        <v>64</v>
      </c>
      <c r="C648" t="s">
        <v>239</v>
      </c>
      <c r="D648">
        <v>37597</v>
      </c>
      <c r="E648" t="s">
        <v>707</v>
      </c>
      <c r="F648">
        <v>16.052</v>
      </c>
      <c r="G648">
        <v>2009</v>
      </c>
      <c r="J648">
        <v>12250</v>
      </c>
      <c r="L648">
        <v>1538</v>
      </c>
      <c r="X648">
        <v>274</v>
      </c>
      <c r="AN648">
        <v>1990</v>
      </c>
    </row>
    <row r="649" spans="1:50" hidden="1" x14ac:dyDescent="0.25">
      <c r="A649" t="s">
        <v>13</v>
      </c>
      <c r="B649" t="s">
        <v>64</v>
      </c>
      <c r="C649" t="s">
        <v>241</v>
      </c>
      <c r="D649">
        <v>42304</v>
      </c>
      <c r="E649" t="s">
        <v>707</v>
      </c>
      <c r="F649">
        <v>3.68</v>
      </c>
      <c r="G649">
        <v>2009</v>
      </c>
      <c r="J649">
        <v>3000</v>
      </c>
      <c r="L649">
        <v>680</v>
      </c>
    </row>
    <row r="650" spans="1:50" hidden="1" x14ac:dyDescent="0.25">
      <c r="A650" t="s">
        <v>13</v>
      </c>
      <c r="B650" t="s">
        <v>64</v>
      </c>
      <c r="C650" t="s">
        <v>240</v>
      </c>
      <c r="D650">
        <v>43836</v>
      </c>
      <c r="E650" t="s">
        <v>707</v>
      </c>
      <c r="F650">
        <v>8.5939999999999994</v>
      </c>
      <c r="G650">
        <v>2009</v>
      </c>
      <c r="J650">
        <v>7941</v>
      </c>
      <c r="L650">
        <v>603</v>
      </c>
    </row>
    <row r="651" spans="1:50" hidden="1" x14ac:dyDescent="0.25">
      <c r="A651" t="s">
        <v>13</v>
      </c>
      <c r="B651" t="s">
        <v>64</v>
      </c>
      <c r="C651" t="s">
        <v>233</v>
      </c>
      <c r="D651">
        <v>30215</v>
      </c>
      <c r="E651" t="s">
        <v>708</v>
      </c>
      <c r="F651">
        <v>15.175000000000001</v>
      </c>
      <c r="G651">
        <v>2010</v>
      </c>
      <c r="J651">
        <v>12250</v>
      </c>
      <c r="L651">
        <v>2925</v>
      </c>
    </row>
    <row r="652" spans="1:50" hidden="1" x14ac:dyDescent="0.25">
      <c r="A652" t="s">
        <v>13</v>
      </c>
      <c r="B652" t="s">
        <v>64</v>
      </c>
      <c r="C652" t="s">
        <v>236</v>
      </c>
      <c r="D652">
        <v>34315</v>
      </c>
      <c r="E652" t="s">
        <v>707</v>
      </c>
      <c r="F652">
        <v>277.36500000000001</v>
      </c>
      <c r="G652">
        <v>2010</v>
      </c>
      <c r="J652">
        <v>100814</v>
      </c>
      <c r="M652">
        <v>19154</v>
      </c>
      <c r="Q652">
        <v>12077</v>
      </c>
      <c r="X652">
        <v>3246</v>
      </c>
      <c r="AA652">
        <v>142074</v>
      </c>
    </row>
    <row r="653" spans="1:50" hidden="1" x14ac:dyDescent="0.25">
      <c r="A653" t="s">
        <v>13</v>
      </c>
      <c r="B653" t="s">
        <v>64</v>
      </c>
      <c r="C653" t="s">
        <v>238</v>
      </c>
      <c r="D653">
        <v>34317</v>
      </c>
      <c r="E653" t="s">
        <v>707</v>
      </c>
      <c r="F653">
        <v>46.646999999999998</v>
      </c>
      <c r="G653">
        <v>2010</v>
      </c>
      <c r="J653">
        <v>12250</v>
      </c>
      <c r="L653">
        <v>1450</v>
      </c>
      <c r="AD653" t="s">
        <v>749</v>
      </c>
      <c r="AR653" t="s">
        <v>749</v>
      </c>
    </row>
    <row r="654" spans="1:50" hidden="1" x14ac:dyDescent="0.25">
      <c r="A654" t="s">
        <v>13</v>
      </c>
      <c r="B654" t="s">
        <v>64</v>
      </c>
      <c r="C654" t="s">
        <v>239</v>
      </c>
      <c r="D654">
        <v>37597</v>
      </c>
      <c r="E654" t="s">
        <v>707</v>
      </c>
      <c r="F654">
        <v>13.788</v>
      </c>
      <c r="G654">
        <v>2010</v>
      </c>
      <c r="J654">
        <v>12250</v>
      </c>
      <c r="L654">
        <v>1538</v>
      </c>
    </row>
    <row r="655" spans="1:50" hidden="1" x14ac:dyDescent="0.25">
      <c r="A655" t="s">
        <v>13</v>
      </c>
      <c r="B655" t="s">
        <v>64</v>
      </c>
      <c r="C655" t="s">
        <v>241</v>
      </c>
      <c r="D655">
        <v>42304</v>
      </c>
      <c r="E655" t="s">
        <v>707</v>
      </c>
      <c r="F655">
        <v>113.474</v>
      </c>
      <c r="G655">
        <v>2010</v>
      </c>
      <c r="J655">
        <v>12250</v>
      </c>
      <c r="L655">
        <v>1224</v>
      </c>
      <c r="AX655">
        <v>100000</v>
      </c>
    </row>
    <row r="656" spans="1:50" hidden="1" x14ac:dyDescent="0.25">
      <c r="A656" t="s">
        <v>13</v>
      </c>
      <c r="B656" t="s">
        <v>64</v>
      </c>
      <c r="C656" t="s">
        <v>240</v>
      </c>
      <c r="D656">
        <v>43836</v>
      </c>
      <c r="E656" t="s">
        <v>707</v>
      </c>
      <c r="F656">
        <v>10.249000000000001</v>
      </c>
      <c r="G656">
        <v>2010</v>
      </c>
      <c r="J656">
        <v>9637.11</v>
      </c>
      <c r="L656">
        <v>612</v>
      </c>
    </row>
    <row r="657" spans="1:44" hidden="1" x14ac:dyDescent="0.25">
      <c r="A657" t="s">
        <v>13</v>
      </c>
      <c r="B657" t="s">
        <v>64</v>
      </c>
      <c r="C657" t="s">
        <v>242</v>
      </c>
      <c r="D657">
        <v>47165</v>
      </c>
      <c r="E657" t="s">
        <v>707</v>
      </c>
      <c r="F657">
        <v>27.43</v>
      </c>
      <c r="G657">
        <v>2010</v>
      </c>
      <c r="J657">
        <v>11097</v>
      </c>
      <c r="L657">
        <v>743</v>
      </c>
      <c r="AD657" t="s">
        <v>749</v>
      </c>
      <c r="AR657" t="s">
        <v>749</v>
      </c>
    </row>
    <row r="658" spans="1:44" hidden="1" x14ac:dyDescent="0.25">
      <c r="A658" t="s">
        <v>13</v>
      </c>
      <c r="B658" t="s">
        <v>64</v>
      </c>
      <c r="C658" t="s">
        <v>233</v>
      </c>
      <c r="D658">
        <v>30215</v>
      </c>
      <c r="E658" t="s">
        <v>708</v>
      </c>
      <c r="F658">
        <v>15.292999999999999</v>
      </c>
      <c r="G658">
        <v>2011</v>
      </c>
      <c r="J658">
        <v>12500</v>
      </c>
      <c r="L658">
        <v>2793</v>
      </c>
    </row>
    <row r="659" spans="1:44" hidden="1" x14ac:dyDescent="0.25">
      <c r="A659" t="s">
        <v>13</v>
      </c>
      <c r="B659" t="s">
        <v>64</v>
      </c>
      <c r="C659" t="s">
        <v>236</v>
      </c>
      <c r="D659">
        <v>34315</v>
      </c>
      <c r="E659" t="s">
        <v>707</v>
      </c>
      <c r="F659">
        <v>329.30099999999999</v>
      </c>
      <c r="G659">
        <v>2011</v>
      </c>
      <c r="J659">
        <v>108290</v>
      </c>
      <c r="M659">
        <v>29857</v>
      </c>
      <c r="Q659">
        <v>19126</v>
      </c>
      <c r="X659">
        <v>3559</v>
      </c>
      <c r="AA659">
        <v>168469</v>
      </c>
    </row>
    <row r="660" spans="1:44" hidden="1" x14ac:dyDescent="0.25">
      <c r="A660" t="s">
        <v>13</v>
      </c>
      <c r="B660" t="s">
        <v>64</v>
      </c>
      <c r="C660" t="s">
        <v>238</v>
      </c>
      <c r="D660">
        <v>34317</v>
      </c>
      <c r="E660" t="s">
        <v>707</v>
      </c>
      <c r="F660">
        <v>56.183</v>
      </c>
      <c r="G660">
        <v>2011</v>
      </c>
      <c r="J660">
        <v>12250</v>
      </c>
      <c r="L660">
        <v>1392</v>
      </c>
      <c r="AA660">
        <v>42541</v>
      </c>
    </row>
    <row r="661" spans="1:44" hidden="1" x14ac:dyDescent="0.25">
      <c r="A661" t="s">
        <v>13</v>
      </c>
      <c r="B661" t="s">
        <v>64</v>
      </c>
      <c r="C661" t="s">
        <v>239</v>
      </c>
      <c r="D661">
        <v>37597</v>
      </c>
      <c r="E661" t="s">
        <v>707</v>
      </c>
      <c r="F661">
        <v>15.218</v>
      </c>
      <c r="G661">
        <v>2011</v>
      </c>
      <c r="J661">
        <v>12250</v>
      </c>
      <c r="L661">
        <v>2968</v>
      </c>
    </row>
    <row r="662" spans="1:44" hidden="1" x14ac:dyDescent="0.25">
      <c r="A662" t="s">
        <v>13</v>
      </c>
      <c r="B662" t="s">
        <v>64</v>
      </c>
      <c r="C662" t="s">
        <v>240</v>
      </c>
      <c r="D662">
        <v>43836</v>
      </c>
      <c r="E662" t="s">
        <v>707</v>
      </c>
      <c r="F662">
        <v>12.891</v>
      </c>
      <c r="G662">
        <v>2011</v>
      </c>
      <c r="J662">
        <v>12250</v>
      </c>
      <c r="L662">
        <v>641</v>
      </c>
    </row>
    <row r="663" spans="1:44" hidden="1" x14ac:dyDescent="0.25">
      <c r="A663" t="s">
        <v>13</v>
      </c>
      <c r="B663" t="s">
        <v>64</v>
      </c>
      <c r="C663" t="s">
        <v>242</v>
      </c>
      <c r="D663">
        <v>47165</v>
      </c>
      <c r="E663" t="s">
        <v>707</v>
      </c>
      <c r="F663">
        <v>37.938000000000002</v>
      </c>
      <c r="G663">
        <v>2011</v>
      </c>
      <c r="J663">
        <v>12250</v>
      </c>
      <c r="L663">
        <v>842</v>
      </c>
      <c r="R663">
        <v>1156</v>
      </c>
      <c r="AD663" t="s">
        <v>749</v>
      </c>
      <c r="AR663" t="s">
        <v>749</v>
      </c>
    </row>
    <row r="664" spans="1:44" hidden="1" x14ac:dyDescent="0.25">
      <c r="A664" t="s">
        <v>13</v>
      </c>
      <c r="B664" t="s">
        <v>64</v>
      </c>
      <c r="C664" t="s">
        <v>233</v>
      </c>
      <c r="D664">
        <v>30215</v>
      </c>
      <c r="E664" t="s">
        <v>708</v>
      </c>
      <c r="F664">
        <v>15.11</v>
      </c>
      <c r="G664">
        <v>2012</v>
      </c>
      <c r="J664">
        <v>12500</v>
      </c>
      <c r="L664">
        <v>2610</v>
      </c>
    </row>
    <row r="665" spans="1:44" hidden="1" x14ac:dyDescent="0.25">
      <c r="A665" t="s">
        <v>13</v>
      </c>
      <c r="B665" t="s">
        <v>64</v>
      </c>
      <c r="C665" t="s">
        <v>236</v>
      </c>
      <c r="D665">
        <v>34315</v>
      </c>
      <c r="E665" t="s">
        <v>707</v>
      </c>
      <c r="F665">
        <v>350.33800000000002</v>
      </c>
      <c r="G665">
        <v>2012</v>
      </c>
      <c r="J665">
        <v>101316</v>
      </c>
      <c r="M665">
        <v>30983</v>
      </c>
      <c r="AA665">
        <v>201442</v>
      </c>
    </row>
    <row r="666" spans="1:44" hidden="1" x14ac:dyDescent="0.25">
      <c r="A666" t="s">
        <v>13</v>
      </c>
      <c r="B666" t="s">
        <v>64</v>
      </c>
      <c r="C666" t="s">
        <v>238</v>
      </c>
      <c r="D666">
        <v>34317</v>
      </c>
      <c r="E666" t="s">
        <v>707</v>
      </c>
      <c r="F666">
        <v>43.859000000000002</v>
      </c>
      <c r="G666">
        <v>2012</v>
      </c>
      <c r="J666">
        <v>12195</v>
      </c>
      <c r="L666">
        <v>1237</v>
      </c>
      <c r="AA666">
        <v>30427</v>
      </c>
    </row>
    <row r="667" spans="1:44" hidden="1" x14ac:dyDescent="0.25">
      <c r="A667" t="s">
        <v>13</v>
      </c>
      <c r="B667" t="s">
        <v>64</v>
      </c>
      <c r="C667" t="s">
        <v>240</v>
      </c>
      <c r="D667">
        <v>43836</v>
      </c>
      <c r="E667" t="s">
        <v>707</v>
      </c>
      <c r="F667">
        <v>13.77</v>
      </c>
      <c r="G667">
        <v>2012</v>
      </c>
      <c r="J667">
        <v>12500</v>
      </c>
      <c r="L667">
        <v>1270</v>
      </c>
    </row>
    <row r="668" spans="1:44" hidden="1" x14ac:dyDescent="0.25">
      <c r="A668" t="s">
        <v>13</v>
      </c>
      <c r="B668" t="s">
        <v>64</v>
      </c>
      <c r="C668" t="s">
        <v>242</v>
      </c>
      <c r="D668">
        <v>47165</v>
      </c>
      <c r="E668" t="s">
        <v>707</v>
      </c>
      <c r="F668">
        <v>28.123000000000001</v>
      </c>
      <c r="G668">
        <v>2012</v>
      </c>
      <c r="J668">
        <v>12250</v>
      </c>
      <c r="L668">
        <v>911</v>
      </c>
      <c r="R668">
        <v>1156</v>
      </c>
      <c r="AD668" t="s">
        <v>749</v>
      </c>
      <c r="AR668" t="s">
        <v>749</v>
      </c>
    </row>
    <row r="669" spans="1:44" hidden="1" x14ac:dyDescent="0.25">
      <c r="A669" t="s">
        <v>13</v>
      </c>
      <c r="B669" t="s">
        <v>64</v>
      </c>
      <c r="C669" t="s">
        <v>233</v>
      </c>
      <c r="D669">
        <v>30215</v>
      </c>
      <c r="E669" t="s">
        <v>708</v>
      </c>
      <c r="F669">
        <v>16.274000000000001</v>
      </c>
      <c r="G669">
        <v>2013</v>
      </c>
      <c r="J669">
        <v>12750</v>
      </c>
      <c r="L669">
        <v>3524</v>
      </c>
    </row>
    <row r="670" spans="1:44" hidden="1" x14ac:dyDescent="0.25">
      <c r="A670" t="s">
        <v>13</v>
      </c>
      <c r="B670" t="s">
        <v>64</v>
      </c>
      <c r="C670" t="s">
        <v>236</v>
      </c>
      <c r="D670">
        <v>34315</v>
      </c>
      <c r="E670" t="s">
        <v>707</v>
      </c>
      <c r="F670">
        <v>272.24400000000003</v>
      </c>
      <c r="G670">
        <v>2013</v>
      </c>
      <c r="J670">
        <v>110952</v>
      </c>
      <c r="M670">
        <v>30715</v>
      </c>
      <c r="Q670">
        <v>5068</v>
      </c>
      <c r="AA670">
        <v>125509</v>
      </c>
    </row>
    <row r="671" spans="1:44" hidden="1" x14ac:dyDescent="0.25">
      <c r="A671" t="s">
        <v>13</v>
      </c>
      <c r="B671" t="s">
        <v>64</v>
      </c>
      <c r="C671" t="s">
        <v>238</v>
      </c>
      <c r="D671">
        <v>34317</v>
      </c>
      <c r="E671" t="s">
        <v>707</v>
      </c>
      <c r="F671">
        <v>15.297000000000001</v>
      </c>
      <c r="G671">
        <v>2013</v>
      </c>
      <c r="J671">
        <v>12750</v>
      </c>
      <c r="L671">
        <v>1749</v>
      </c>
      <c r="AD671">
        <v>798</v>
      </c>
    </row>
    <row r="672" spans="1:44" hidden="1" x14ac:dyDescent="0.25">
      <c r="A672" t="s">
        <v>13</v>
      </c>
      <c r="B672" t="s">
        <v>64</v>
      </c>
      <c r="C672" t="s">
        <v>240</v>
      </c>
      <c r="D672">
        <v>43836</v>
      </c>
      <c r="E672" t="s">
        <v>707</v>
      </c>
      <c r="F672">
        <v>11.36</v>
      </c>
      <c r="G672">
        <v>2013</v>
      </c>
      <c r="J672">
        <v>9562</v>
      </c>
      <c r="L672">
        <v>1798</v>
      </c>
      <c r="AD672" t="s">
        <v>749</v>
      </c>
    </row>
    <row r="673" spans="1:44" hidden="1" x14ac:dyDescent="0.25">
      <c r="A673" t="s">
        <v>13</v>
      </c>
      <c r="B673" t="s">
        <v>64</v>
      </c>
      <c r="C673" t="s">
        <v>242</v>
      </c>
      <c r="D673">
        <v>47165</v>
      </c>
      <c r="E673" t="s">
        <v>707</v>
      </c>
      <c r="F673">
        <v>36.683999999999997</v>
      </c>
      <c r="G673">
        <v>2013</v>
      </c>
      <c r="J673">
        <v>6650</v>
      </c>
      <c r="L673">
        <v>1240</v>
      </c>
      <c r="R673">
        <v>5847</v>
      </c>
      <c r="AR673" t="s">
        <v>749</v>
      </c>
    </row>
    <row r="674" spans="1:44" hidden="1" x14ac:dyDescent="0.25">
      <c r="A674" t="s">
        <v>13</v>
      </c>
      <c r="B674" t="s">
        <v>64</v>
      </c>
      <c r="C674" t="s">
        <v>233</v>
      </c>
      <c r="D674">
        <v>30215</v>
      </c>
      <c r="E674" t="s">
        <v>708</v>
      </c>
      <c r="F674">
        <v>14.901999999999999</v>
      </c>
      <c r="G674">
        <v>2014</v>
      </c>
      <c r="J674">
        <v>13000</v>
      </c>
      <c r="L674">
        <v>1902</v>
      </c>
    </row>
    <row r="675" spans="1:44" hidden="1" x14ac:dyDescent="0.25">
      <c r="A675" t="s">
        <v>13</v>
      </c>
      <c r="B675" t="s">
        <v>64</v>
      </c>
      <c r="C675" t="s">
        <v>236</v>
      </c>
      <c r="D675">
        <v>34315</v>
      </c>
      <c r="E675" t="s">
        <v>707</v>
      </c>
      <c r="F675">
        <v>279.52100000000002</v>
      </c>
      <c r="G675">
        <v>2014</v>
      </c>
      <c r="J675">
        <v>112227</v>
      </c>
      <c r="M675">
        <v>34739</v>
      </c>
      <c r="Q675">
        <v>2085</v>
      </c>
      <c r="AA675">
        <v>130470</v>
      </c>
    </row>
    <row r="676" spans="1:44" hidden="1" x14ac:dyDescent="0.25">
      <c r="A676" t="s">
        <v>13</v>
      </c>
      <c r="B676" t="s">
        <v>64</v>
      </c>
      <c r="C676" t="s">
        <v>238</v>
      </c>
      <c r="D676">
        <v>34317</v>
      </c>
      <c r="E676" t="s">
        <v>707</v>
      </c>
      <c r="F676">
        <v>131.91399999999999</v>
      </c>
      <c r="G676">
        <v>2014</v>
      </c>
      <c r="J676">
        <v>13000</v>
      </c>
      <c r="L676">
        <v>1914</v>
      </c>
    </row>
    <row r="677" spans="1:44" hidden="1" x14ac:dyDescent="0.25">
      <c r="A677" t="s">
        <v>13</v>
      </c>
      <c r="B677" t="s">
        <v>64</v>
      </c>
      <c r="C677" t="s">
        <v>240</v>
      </c>
      <c r="D677">
        <v>43836</v>
      </c>
      <c r="E677" t="s">
        <v>707</v>
      </c>
      <c r="F677">
        <v>12.114000000000001</v>
      </c>
      <c r="G677">
        <v>2014</v>
      </c>
      <c r="J677">
        <v>10200</v>
      </c>
      <c r="L677">
        <v>1914</v>
      </c>
    </row>
    <row r="678" spans="1:44" hidden="1" x14ac:dyDescent="0.25">
      <c r="A678" t="s">
        <v>13</v>
      </c>
      <c r="B678" t="s">
        <v>64</v>
      </c>
      <c r="C678" t="s">
        <v>242</v>
      </c>
      <c r="D678">
        <v>47165</v>
      </c>
      <c r="E678" t="s">
        <v>707</v>
      </c>
      <c r="F678">
        <v>27.318999999999999</v>
      </c>
      <c r="G678">
        <v>2014</v>
      </c>
      <c r="J678">
        <v>11483</v>
      </c>
      <c r="L678">
        <v>1291</v>
      </c>
      <c r="R678">
        <v>2923</v>
      </c>
      <c r="AD678" t="s">
        <v>749</v>
      </c>
      <c r="AR678" t="s">
        <v>749</v>
      </c>
    </row>
    <row r="679" spans="1:44" hidden="1" x14ac:dyDescent="0.25">
      <c r="A679" t="s">
        <v>13</v>
      </c>
      <c r="B679" t="s">
        <v>64</v>
      </c>
      <c r="C679" t="s">
        <v>243</v>
      </c>
      <c r="D679">
        <v>54748</v>
      </c>
      <c r="E679" t="s">
        <v>707</v>
      </c>
      <c r="F679">
        <v>13.93</v>
      </c>
      <c r="G679">
        <v>2014</v>
      </c>
      <c r="J679">
        <v>13000</v>
      </c>
      <c r="L679">
        <v>930</v>
      </c>
    </row>
    <row r="680" spans="1:44" hidden="1" x14ac:dyDescent="0.25">
      <c r="A680" t="s">
        <v>13</v>
      </c>
      <c r="B680" t="s">
        <v>64</v>
      </c>
      <c r="C680" t="s">
        <v>233</v>
      </c>
      <c r="D680">
        <v>30215</v>
      </c>
      <c r="E680" t="s">
        <v>708</v>
      </c>
      <c r="F680">
        <v>15.734</v>
      </c>
      <c r="G680">
        <v>2015</v>
      </c>
      <c r="J680">
        <v>13250</v>
      </c>
      <c r="L680">
        <v>2484</v>
      </c>
    </row>
    <row r="681" spans="1:44" hidden="1" x14ac:dyDescent="0.25">
      <c r="A681" t="s">
        <v>13</v>
      </c>
      <c r="B681" t="s">
        <v>64</v>
      </c>
      <c r="C681" t="s">
        <v>236</v>
      </c>
      <c r="D681">
        <v>34315</v>
      </c>
      <c r="E681" t="s">
        <v>707</v>
      </c>
      <c r="F681">
        <v>246.095</v>
      </c>
      <c r="G681">
        <v>2015</v>
      </c>
      <c r="J681">
        <v>95796</v>
      </c>
      <c r="M681">
        <v>26248</v>
      </c>
      <c r="Q681">
        <v>1992</v>
      </c>
      <c r="AA681">
        <v>124051</v>
      </c>
    </row>
    <row r="682" spans="1:44" hidden="1" x14ac:dyDescent="0.25">
      <c r="A682" t="s">
        <v>13</v>
      </c>
      <c r="B682" t="s">
        <v>64</v>
      </c>
      <c r="C682" t="s">
        <v>238</v>
      </c>
      <c r="D682">
        <v>34317</v>
      </c>
      <c r="E682" t="s">
        <v>707</v>
      </c>
      <c r="F682">
        <v>14.645</v>
      </c>
      <c r="G682">
        <v>2015</v>
      </c>
      <c r="J682">
        <v>13250</v>
      </c>
      <c r="L682">
        <v>1395</v>
      </c>
    </row>
    <row r="683" spans="1:44" hidden="1" x14ac:dyDescent="0.25">
      <c r="A683" t="s">
        <v>13</v>
      </c>
      <c r="B683" t="s">
        <v>64</v>
      </c>
      <c r="C683" t="s">
        <v>240</v>
      </c>
      <c r="D683">
        <v>43836</v>
      </c>
      <c r="E683" t="s">
        <v>707</v>
      </c>
      <c r="F683">
        <v>13.212999999999999</v>
      </c>
      <c r="G683">
        <v>2015</v>
      </c>
      <c r="J683">
        <v>11772</v>
      </c>
      <c r="L683">
        <v>1441</v>
      </c>
    </row>
    <row r="684" spans="1:44" hidden="1" x14ac:dyDescent="0.25">
      <c r="A684" t="s">
        <v>13</v>
      </c>
      <c r="B684" t="s">
        <v>64</v>
      </c>
      <c r="C684" t="s">
        <v>242</v>
      </c>
      <c r="D684">
        <v>47165</v>
      </c>
      <c r="E684" t="s">
        <v>707</v>
      </c>
      <c r="F684">
        <v>18.085999999999999</v>
      </c>
      <c r="G684">
        <v>2015</v>
      </c>
      <c r="J684">
        <v>12473</v>
      </c>
      <c r="L684">
        <v>941</v>
      </c>
      <c r="R684">
        <v>1169</v>
      </c>
      <c r="AD684" t="s">
        <v>749</v>
      </c>
      <c r="AR684" t="s">
        <v>749</v>
      </c>
    </row>
    <row r="685" spans="1:44" hidden="1" x14ac:dyDescent="0.25">
      <c r="A685" t="s">
        <v>13</v>
      </c>
      <c r="B685" t="s">
        <v>64</v>
      </c>
      <c r="C685" t="s">
        <v>243</v>
      </c>
      <c r="D685">
        <v>54748</v>
      </c>
      <c r="E685" t="s">
        <v>707</v>
      </c>
      <c r="F685">
        <v>14.266999999999999</v>
      </c>
      <c r="G685">
        <v>2015</v>
      </c>
      <c r="J685">
        <v>13310</v>
      </c>
      <c r="L685">
        <v>957</v>
      </c>
    </row>
    <row r="686" spans="1:44" hidden="1" x14ac:dyDescent="0.25">
      <c r="A686" t="s">
        <v>13</v>
      </c>
      <c r="B686" t="s">
        <v>64</v>
      </c>
      <c r="C686" t="s">
        <v>233</v>
      </c>
      <c r="D686">
        <v>30215</v>
      </c>
      <c r="E686" t="s">
        <v>708</v>
      </c>
      <c r="F686">
        <v>14.452999999999999</v>
      </c>
      <c r="G686">
        <v>2016</v>
      </c>
      <c r="J686">
        <v>11969</v>
      </c>
      <c r="L686">
        <v>2484</v>
      </c>
    </row>
    <row r="687" spans="1:44" hidden="1" x14ac:dyDescent="0.25">
      <c r="A687" t="s">
        <v>13</v>
      </c>
      <c r="B687" t="s">
        <v>64</v>
      </c>
      <c r="C687" t="s">
        <v>236</v>
      </c>
      <c r="D687">
        <v>34315</v>
      </c>
      <c r="E687" t="s">
        <v>707</v>
      </c>
      <c r="F687">
        <v>224.45400000000001</v>
      </c>
      <c r="G687">
        <v>2016</v>
      </c>
      <c r="J687">
        <v>102098</v>
      </c>
      <c r="M687">
        <v>23314</v>
      </c>
      <c r="Q687">
        <v>1827</v>
      </c>
      <c r="AA687">
        <v>97215</v>
      </c>
    </row>
    <row r="688" spans="1:44" hidden="1" x14ac:dyDescent="0.25">
      <c r="A688" t="s">
        <v>13</v>
      </c>
      <c r="B688" t="s">
        <v>64</v>
      </c>
      <c r="C688" t="s">
        <v>240</v>
      </c>
      <c r="D688">
        <v>43836</v>
      </c>
      <c r="E688" t="s">
        <v>707</v>
      </c>
      <c r="F688">
        <v>14.750999999999999</v>
      </c>
      <c r="G688">
        <v>2016</v>
      </c>
      <c r="J688">
        <v>13250</v>
      </c>
      <c r="L688">
        <v>1501</v>
      </c>
    </row>
    <row r="689" spans="1:52" hidden="1" x14ac:dyDescent="0.25">
      <c r="A689" t="s">
        <v>13</v>
      </c>
      <c r="B689" t="s">
        <v>64</v>
      </c>
      <c r="C689" t="s">
        <v>242</v>
      </c>
      <c r="D689">
        <v>47165</v>
      </c>
      <c r="E689" t="s">
        <v>707</v>
      </c>
      <c r="F689">
        <v>15.398</v>
      </c>
      <c r="G689">
        <v>2016</v>
      </c>
      <c r="J689">
        <v>13250</v>
      </c>
      <c r="L689">
        <v>979</v>
      </c>
      <c r="R689">
        <v>1169</v>
      </c>
    </row>
    <row r="690" spans="1:52" hidden="1" x14ac:dyDescent="0.25">
      <c r="A690" t="s">
        <v>13</v>
      </c>
      <c r="B690" t="s">
        <v>64</v>
      </c>
      <c r="C690" t="s">
        <v>243</v>
      </c>
      <c r="D690">
        <v>54748</v>
      </c>
      <c r="E690" t="s">
        <v>707</v>
      </c>
      <c r="F690">
        <v>14.398</v>
      </c>
      <c r="G690">
        <v>2016</v>
      </c>
      <c r="J690">
        <v>13250</v>
      </c>
      <c r="L690">
        <v>1148</v>
      </c>
    </row>
    <row r="691" spans="1:52" hidden="1" x14ac:dyDescent="0.25">
      <c r="A691" t="s">
        <v>13</v>
      </c>
      <c r="B691" t="s">
        <v>64</v>
      </c>
      <c r="C691" t="s">
        <v>244</v>
      </c>
      <c r="D691">
        <v>61716</v>
      </c>
      <c r="E691" t="s">
        <v>707</v>
      </c>
      <c r="F691">
        <v>14.516999999999999</v>
      </c>
      <c r="G691">
        <v>2016</v>
      </c>
      <c r="J691">
        <v>13250</v>
      </c>
      <c r="L691">
        <v>1267</v>
      </c>
    </row>
    <row r="692" spans="1:52" hidden="1" x14ac:dyDescent="0.25">
      <c r="A692" t="s">
        <v>13</v>
      </c>
      <c r="B692" t="s">
        <v>64</v>
      </c>
      <c r="C692" t="s">
        <v>233</v>
      </c>
      <c r="D692">
        <v>30215</v>
      </c>
      <c r="E692" t="s">
        <v>708</v>
      </c>
      <c r="F692">
        <v>12.99</v>
      </c>
      <c r="G692">
        <v>2017</v>
      </c>
      <c r="J692">
        <v>10506</v>
      </c>
      <c r="L692">
        <v>2484</v>
      </c>
    </row>
    <row r="693" spans="1:52" hidden="1" x14ac:dyDescent="0.25">
      <c r="A693" t="s">
        <v>13</v>
      </c>
      <c r="B693" t="s">
        <v>64</v>
      </c>
      <c r="C693" t="s">
        <v>236</v>
      </c>
      <c r="D693">
        <v>34315</v>
      </c>
      <c r="E693" t="s">
        <v>707</v>
      </c>
      <c r="F693">
        <v>226.971</v>
      </c>
      <c r="G693">
        <v>2017</v>
      </c>
      <c r="J693">
        <v>105825</v>
      </c>
      <c r="M693">
        <v>27855</v>
      </c>
      <c r="Q693">
        <v>1800</v>
      </c>
      <c r="AA693">
        <v>91491</v>
      </c>
    </row>
    <row r="694" spans="1:52" hidden="1" x14ac:dyDescent="0.25">
      <c r="A694" t="s">
        <v>13</v>
      </c>
      <c r="B694" t="s">
        <v>64</v>
      </c>
      <c r="C694" t="s">
        <v>240</v>
      </c>
      <c r="D694">
        <v>43836</v>
      </c>
      <c r="E694" t="s">
        <v>707</v>
      </c>
      <c r="F694">
        <v>11.016</v>
      </c>
      <c r="G694">
        <v>2017</v>
      </c>
      <c r="J694">
        <v>9504</v>
      </c>
      <c r="L694">
        <v>1512</v>
      </c>
    </row>
    <row r="695" spans="1:52" hidden="1" x14ac:dyDescent="0.25">
      <c r="A695" t="s">
        <v>13</v>
      </c>
      <c r="B695" t="s">
        <v>64</v>
      </c>
      <c r="C695" t="s">
        <v>242</v>
      </c>
      <c r="D695">
        <v>47165</v>
      </c>
      <c r="E695" t="s">
        <v>707</v>
      </c>
      <c r="F695">
        <v>15.659000000000001</v>
      </c>
      <c r="G695">
        <v>2017</v>
      </c>
      <c r="J695">
        <v>13500</v>
      </c>
      <c r="L695">
        <v>990</v>
      </c>
      <c r="R695">
        <v>1169</v>
      </c>
    </row>
    <row r="696" spans="1:52" hidden="1" x14ac:dyDescent="0.25">
      <c r="A696" t="s">
        <v>13</v>
      </c>
      <c r="B696" t="s">
        <v>64</v>
      </c>
      <c r="C696" t="s">
        <v>243</v>
      </c>
      <c r="D696">
        <v>54748</v>
      </c>
      <c r="E696" t="s">
        <v>707</v>
      </c>
      <c r="F696">
        <v>12.895</v>
      </c>
      <c r="G696">
        <v>2017</v>
      </c>
      <c r="J696">
        <v>11695</v>
      </c>
      <c r="L696">
        <v>1200</v>
      </c>
    </row>
    <row r="697" spans="1:52" hidden="1" x14ac:dyDescent="0.25">
      <c r="A697" t="s">
        <v>13</v>
      </c>
      <c r="B697" t="s">
        <v>64</v>
      </c>
      <c r="C697" t="s">
        <v>244</v>
      </c>
      <c r="D697">
        <v>61716</v>
      </c>
      <c r="E697" t="s">
        <v>707</v>
      </c>
      <c r="F697">
        <v>14.766999999999999</v>
      </c>
      <c r="G697">
        <v>2017</v>
      </c>
      <c r="J697">
        <v>13450</v>
      </c>
      <c r="L697">
        <v>1267</v>
      </c>
    </row>
    <row r="698" spans="1:52" hidden="1" x14ac:dyDescent="0.25">
      <c r="A698" t="s">
        <v>13</v>
      </c>
      <c r="B698" t="s">
        <v>64</v>
      </c>
      <c r="C698" t="s">
        <v>233</v>
      </c>
      <c r="D698">
        <v>30215</v>
      </c>
      <c r="E698" t="s">
        <v>707</v>
      </c>
      <c r="F698">
        <v>7.968</v>
      </c>
      <c r="G698">
        <v>2018</v>
      </c>
      <c r="J698">
        <v>7374</v>
      </c>
      <c r="L698">
        <v>594</v>
      </c>
    </row>
    <row r="699" spans="1:52" hidden="1" x14ac:dyDescent="0.25">
      <c r="A699" t="s">
        <v>13</v>
      </c>
      <c r="B699" t="s">
        <v>64</v>
      </c>
      <c r="C699" t="s">
        <v>236</v>
      </c>
      <c r="D699">
        <v>34315</v>
      </c>
      <c r="E699" t="s">
        <v>707</v>
      </c>
      <c r="F699">
        <v>230.71199999999999</v>
      </c>
      <c r="G699">
        <v>2018</v>
      </c>
      <c r="J699">
        <v>112146</v>
      </c>
      <c r="M699">
        <v>27052</v>
      </c>
      <c r="Q699">
        <v>1840</v>
      </c>
      <c r="AA699">
        <v>89674</v>
      </c>
    </row>
    <row r="700" spans="1:52" hidden="1" x14ac:dyDescent="0.25">
      <c r="A700" t="s">
        <v>13</v>
      </c>
      <c r="B700" t="s">
        <v>64</v>
      </c>
      <c r="C700" t="s">
        <v>240</v>
      </c>
      <c r="D700">
        <v>43836</v>
      </c>
      <c r="E700" t="s">
        <v>707</v>
      </c>
      <c r="F700">
        <v>10.587</v>
      </c>
      <c r="G700">
        <v>2018</v>
      </c>
      <c r="J700">
        <v>9503</v>
      </c>
      <c r="L700">
        <v>1084</v>
      </c>
    </row>
    <row r="701" spans="1:52" hidden="1" x14ac:dyDescent="0.25">
      <c r="A701" t="s">
        <v>13</v>
      </c>
      <c r="B701" t="s">
        <v>64</v>
      </c>
      <c r="C701" t="s">
        <v>242</v>
      </c>
      <c r="D701">
        <v>47165</v>
      </c>
      <c r="E701" t="s">
        <v>707</v>
      </c>
      <c r="F701">
        <v>15.58</v>
      </c>
      <c r="G701">
        <v>2018</v>
      </c>
      <c r="M701">
        <v>6307</v>
      </c>
      <c r="AJ701">
        <v>6307</v>
      </c>
    </row>
    <row r="702" spans="1:52" hidden="1" x14ac:dyDescent="0.25">
      <c r="A702" t="s">
        <v>13</v>
      </c>
      <c r="B702" t="s">
        <v>64</v>
      </c>
      <c r="C702" t="s">
        <v>244</v>
      </c>
      <c r="D702">
        <v>61716</v>
      </c>
      <c r="E702" t="s">
        <v>707</v>
      </c>
      <c r="F702">
        <v>14.670999999999999</v>
      </c>
      <c r="G702">
        <v>2018</v>
      </c>
      <c r="J702">
        <v>13750</v>
      </c>
      <c r="L702">
        <v>921</v>
      </c>
    </row>
    <row r="703" spans="1:52" hidden="1" x14ac:dyDescent="0.25">
      <c r="A703" t="s">
        <v>13</v>
      </c>
      <c r="B703" t="s">
        <v>64</v>
      </c>
      <c r="C703" t="s">
        <v>245</v>
      </c>
      <c r="D703">
        <v>61717</v>
      </c>
      <c r="E703" t="s">
        <v>708</v>
      </c>
      <c r="F703">
        <v>183.44399999999999</v>
      </c>
      <c r="G703">
        <v>2018</v>
      </c>
      <c r="J703">
        <v>10520</v>
      </c>
      <c r="L703">
        <v>1192</v>
      </c>
      <c r="N703" t="s">
        <v>749</v>
      </c>
      <c r="AD703" t="s">
        <v>749</v>
      </c>
    </row>
    <row r="704" spans="1:52" s="4" customFormat="1" hidden="1" x14ac:dyDescent="0.25">
      <c r="A704" s="4" t="s">
        <v>14</v>
      </c>
      <c r="B704" s="4" t="s">
        <v>65</v>
      </c>
      <c r="C704" s="4" t="s">
        <v>246</v>
      </c>
      <c r="D704" s="4">
        <v>36291</v>
      </c>
      <c r="E704" s="4" t="s">
        <v>708</v>
      </c>
      <c r="F704" s="4">
        <v>1.46</v>
      </c>
      <c r="G704" s="4">
        <v>2007</v>
      </c>
      <c r="AZ704" s="7"/>
    </row>
    <row r="705" spans="1:7" hidden="1" x14ac:dyDescent="0.25">
      <c r="A705" t="s">
        <v>14</v>
      </c>
      <c r="B705" t="s">
        <v>65</v>
      </c>
      <c r="C705" t="s">
        <v>247</v>
      </c>
      <c r="D705">
        <v>36292</v>
      </c>
      <c r="E705" t="s">
        <v>707</v>
      </c>
      <c r="F705">
        <v>1.1499999999999999</v>
      </c>
      <c r="G705">
        <v>2007</v>
      </c>
    </row>
    <row r="706" spans="1:7" hidden="1" x14ac:dyDescent="0.25">
      <c r="A706" t="s">
        <v>14</v>
      </c>
      <c r="B706" t="s">
        <v>65</v>
      </c>
      <c r="C706" t="s">
        <v>248</v>
      </c>
      <c r="D706">
        <v>36293</v>
      </c>
      <c r="E706" t="s">
        <v>707</v>
      </c>
      <c r="F706">
        <v>1.1599999999999999</v>
      </c>
      <c r="G706">
        <v>2007</v>
      </c>
    </row>
    <row r="707" spans="1:7" hidden="1" x14ac:dyDescent="0.25">
      <c r="A707" t="s">
        <v>14</v>
      </c>
      <c r="B707" t="s">
        <v>65</v>
      </c>
      <c r="C707" t="s">
        <v>249</v>
      </c>
      <c r="D707">
        <v>36294</v>
      </c>
      <c r="E707" t="s">
        <v>707</v>
      </c>
      <c r="F707">
        <v>1.212</v>
      </c>
      <c r="G707">
        <v>2007</v>
      </c>
    </row>
    <row r="708" spans="1:7" hidden="1" x14ac:dyDescent="0.25">
      <c r="A708" t="s">
        <v>14</v>
      </c>
      <c r="B708" t="s">
        <v>65</v>
      </c>
      <c r="C708" t="s">
        <v>250</v>
      </c>
      <c r="D708">
        <v>36295</v>
      </c>
      <c r="E708" t="s">
        <v>707</v>
      </c>
      <c r="F708">
        <v>1.1499999999999999</v>
      </c>
      <c r="G708">
        <v>2007</v>
      </c>
    </row>
    <row r="709" spans="1:7" hidden="1" x14ac:dyDescent="0.25">
      <c r="A709" t="s">
        <v>14</v>
      </c>
      <c r="B709" t="s">
        <v>65</v>
      </c>
      <c r="C709" t="s">
        <v>251</v>
      </c>
      <c r="D709">
        <v>36296</v>
      </c>
      <c r="E709" t="s">
        <v>707</v>
      </c>
      <c r="F709">
        <v>1.1499999999999999</v>
      </c>
      <c r="G709">
        <v>2007</v>
      </c>
    </row>
    <row r="710" spans="1:7" hidden="1" x14ac:dyDescent="0.25">
      <c r="A710" t="s">
        <v>14</v>
      </c>
      <c r="B710" t="s">
        <v>65</v>
      </c>
      <c r="C710" t="s">
        <v>246</v>
      </c>
      <c r="D710">
        <v>36291</v>
      </c>
      <c r="E710" t="s">
        <v>708</v>
      </c>
      <c r="F710">
        <v>1.1499999999999999</v>
      </c>
      <c r="G710">
        <v>2008</v>
      </c>
    </row>
    <row r="711" spans="1:7" hidden="1" x14ac:dyDescent="0.25">
      <c r="A711" t="s">
        <v>14</v>
      </c>
      <c r="B711" t="s">
        <v>65</v>
      </c>
      <c r="C711" t="s">
        <v>247</v>
      </c>
      <c r="D711">
        <v>36292</v>
      </c>
      <c r="E711" t="s">
        <v>707</v>
      </c>
      <c r="F711">
        <v>1.1499999999999999</v>
      </c>
      <c r="G711">
        <v>2008</v>
      </c>
    </row>
    <row r="712" spans="1:7" hidden="1" x14ac:dyDescent="0.25">
      <c r="A712" t="s">
        <v>14</v>
      </c>
      <c r="B712" t="s">
        <v>65</v>
      </c>
      <c r="C712" t="s">
        <v>249</v>
      </c>
      <c r="D712">
        <v>36294</v>
      </c>
      <c r="E712" t="s">
        <v>707</v>
      </c>
      <c r="F712">
        <v>1.2190000000000001</v>
      </c>
      <c r="G712">
        <v>2008</v>
      </c>
    </row>
    <row r="713" spans="1:7" hidden="1" x14ac:dyDescent="0.25">
      <c r="A713" t="s">
        <v>14</v>
      </c>
      <c r="B713" t="s">
        <v>65</v>
      </c>
      <c r="C713" t="s">
        <v>250</v>
      </c>
      <c r="D713">
        <v>36295</v>
      </c>
      <c r="E713" t="s">
        <v>707</v>
      </c>
      <c r="F713">
        <v>1.1499999999999999</v>
      </c>
      <c r="G713">
        <v>2008</v>
      </c>
    </row>
    <row r="714" spans="1:7" hidden="1" x14ac:dyDescent="0.25">
      <c r="A714" t="s">
        <v>14</v>
      </c>
      <c r="B714" t="s">
        <v>65</v>
      </c>
      <c r="C714" t="s">
        <v>246</v>
      </c>
      <c r="D714">
        <v>36291</v>
      </c>
      <c r="E714" t="s">
        <v>708</v>
      </c>
      <c r="F714">
        <v>29.213000000000001</v>
      </c>
      <c r="G714">
        <v>2009</v>
      </c>
    </row>
    <row r="715" spans="1:7" hidden="1" x14ac:dyDescent="0.25">
      <c r="A715" t="s">
        <v>14</v>
      </c>
      <c r="B715" t="s">
        <v>65</v>
      </c>
      <c r="C715" t="s">
        <v>247</v>
      </c>
      <c r="D715">
        <v>36292</v>
      </c>
      <c r="E715" t="s">
        <v>707</v>
      </c>
      <c r="F715">
        <v>19.3</v>
      </c>
      <c r="G715">
        <v>2009</v>
      </c>
    </row>
    <row r="716" spans="1:7" hidden="1" x14ac:dyDescent="0.25">
      <c r="A716" t="s">
        <v>14</v>
      </c>
      <c r="B716" t="s">
        <v>65</v>
      </c>
      <c r="C716" t="s">
        <v>249</v>
      </c>
      <c r="D716">
        <v>36294</v>
      </c>
      <c r="E716" t="s">
        <v>707</v>
      </c>
      <c r="F716">
        <v>13.512</v>
      </c>
      <c r="G716">
        <v>2009</v>
      </c>
    </row>
    <row r="717" spans="1:7" hidden="1" x14ac:dyDescent="0.25">
      <c r="A717" t="s">
        <v>14</v>
      </c>
      <c r="B717" t="s">
        <v>65</v>
      </c>
      <c r="C717" t="s">
        <v>250</v>
      </c>
      <c r="D717">
        <v>36295</v>
      </c>
      <c r="E717" t="s">
        <v>707</v>
      </c>
      <c r="F717">
        <v>15.673999999999999</v>
      </c>
      <c r="G717">
        <v>2009</v>
      </c>
    </row>
    <row r="718" spans="1:7" hidden="1" x14ac:dyDescent="0.25">
      <c r="A718" t="s">
        <v>14</v>
      </c>
      <c r="B718" t="s">
        <v>65</v>
      </c>
      <c r="C718" t="s">
        <v>246</v>
      </c>
      <c r="D718">
        <v>36291</v>
      </c>
      <c r="E718" t="s">
        <v>708</v>
      </c>
      <c r="F718">
        <v>1383.4749999999999</v>
      </c>
      <c r="G718">
        <v>2010</v>
      </c>
    </row>
    <row r="719" spans="1:7" hidden="1" x14ac:dyDescent="0.25">
      <c r="A719" t="s">
        <v>14</v>
      </c>
      <c r="B719" t="s">
        <v>65</v>
      </c>
      <c r="C719" t="s">
        <v>247</v>
      </c>
      <c r="D719">
        <v>36292</v>
      </c>
      <c r="E719" t="s">
        <v>707</v>
      </c>
      <c r="F719">
        <v>32.966999999999999</v>
      </c>
      <c r="G719">
        <v>2010</v>
      </c>
    </row>
    <row r="720" spans="1:7" hidden="1" x14ac:dyDescent="0.25">
      <c r="A720" t="s">
        <v>14</v>
      </c>
      <c r="B720" t="s">
        <v>65</v>
      </c>
      <c r="C720" t="s">
        <v>249</v>
      </c>
      <c r="D720">
        <v>36294</v>
      </c>
      <c r="E720" t="s">
        <v>707</v>
      </c>
      <c r="F720">
        <v>27.321999999999999</v>
      </c>
      <c r="G720">
        <v>2010</v>
      </c>
    </row>
    <row r="721" spans="1:28" hidden="1" x14ac:dyDescent="0.25">
      <c r="A721" t="s">
        <v>14</v>
      </c>
      <c r="B721" t="s">
        <v>65</v>
      </c>
      <c r="C721" t="s">
        <v>250</v>
      </c>
      <c r="D721">
        <v>36295</v>
      </c>
      <c r="E721" t="s">
        <v>707</v>
      </c>
      <c r="F721">
        <v>34.14</v>
      </c>
      <c r="G721">
        <v>2010</v>
      </c>
    </row>
    <row r="722" spans="1:28" hidden="1" x14ac:dyDescent="0.25">
      <c r="A722" t="s">
        <v>14</v>
      </c>
      <c r="B722" t="s">
        <v>65</v>
      </c>
      <c r="C722" t="s">
        <v>246</v>
      </c>
      <c r="D722">
        <v>36291</v>
      </c>
      <c r="E722" t="s">
        <v>708</v>
      </c>
      <c r="F722">
        <v>62.122</v>
      </c>
      <c r="G722">
        <v>2011</v>
      </c>
      <c r="J722">
        <v>62122</v>
      </c>
    </row>
    <row r="723" spans="1:28" hidden="1" x14ac:dyDescent="0.25">
      <c r="A723" t="s">
        <v>14</v>
      </c>
      <c r="B723" t="s">
        <v>65</v>
      </c>
      <c r="C723" t="s">
        <v>247</v>
      </c>
      <c r="D723">
        <v>36292</v>
      </c>
      <c r="E723" t="s">
        <v>707</v>
      </c>
      <c r="F723">
        <v>9.1389999999999993</v>
      </c>
      <c r="G723">
        <v>2011</v>
      </c>
      <c r="J723">
        <v>9139</v>
      </c>
    </row>
    <row r="724" spans="1:28" hidden="1" x14ac:dyDescent="0.25">
      <c r="A724" t="s">
        <v>14</v>
      </c>
      <c r="B724" t="s">
        <v>65</v>
      </c>
      <c r="C724" t="s">
        <v>249</v>
      </c>
      <c r="D724">
        <v>36294</v>
      </c>
      <c r="E724" t="s">
        <v>707</v>
      </c>
      <c r="F724">
        <v>28.268000000000001</v>
      </c>
      <c r="G724">
        <v>2011</v>
      </c>
      <c r="J724">
        <v>28268</v>
      </c>
    </row>
    <row r="725" spans="1:28" hidden="1" x14ac:dyDescent="0.25">
      <c r="A725" t="s">
        <v>14</v>
      </c>
      <c r="B725" t="s">
        <v>65</v>
      </c>
      <c r="C725" t="s">
        <v>250</v>
      </c>
      <c r="D725">
        <v>36295</v>
      </c>
      <c r="E725" t="s">
        <v>707</v>
      </c>
      <c r="F725">
        <v>33.177999999999997</v>
      </c>
      <c r="G725">
        <v>2011</v>
      </c>
      <c r="J725">
        <v>33178</v>
      </c>
    </row>
    <row r="726" spans="1:28" hidden="1" x14ac:dyDescent="0.25">
      <c r="A726" t="s">
        <v>14</v>
      </c>
      <c r="B726" t="s">
        <v>65</v>
      </c>
      <c r="C726" t="s">
        <v>252</v>
      </c>
      <c r="D726">
        <v>44829</v>
      </c>
      <c r="E726" t="s">
        <v>707</v>
      </c>
      <c r="F726">
        <v>154.011</v>
      </c>
      <c r="G726">
        <v>2011</v>
      </c>
      <c r="J726">
        <v>51000</v>
      </c>
    </row>
    <row r="727" spans="1:28" hidden="1" x14ac:dyDescent="0.25">
      <c r="A727" t="s">
        <v>14</v>
      </c>
      <c r="B727" t="s">
        <v>65</v>
      </c>
      <c r="C727" t="s">
        <v>253</v>
      </c>
      <c r="D727">
        <v>48166</v>
      </c>
      <c r="E727" t="s">
        <v>707</v>
      </c>
      <c r="F727">
        <v>0</v>
      </c>
      <c r="G727">
        <v>2011</v>
      </c>
    </row>
    <row r="728" spans="1:28" hidden="1" x14ac:dyDescent="0.25">
      <c r="A728" t="s">
        <v>14</v>
      </c>
      <c r="B728" t="s">
        <v>65</v>
      </c>
      <c r="C728" t="s">
        <v>246</v>
      </c>
      <c r="D728">
        <v>36291</v>
      </c>
      <c r="E728" t="s">
        <v>708</v>
      </c>
      <c r="F728">
        <v>54.183</v>
      </c>
      <c r="G728">
        <v>2012</v>
      </c>
      <c r="J728">
        <v>54183</v>
      </c>
    </row>
    <row r="729" spans="1:28" hidden="1" x14ac:dyDescent="0.25">
      <c r="A729" t="s">
        <v>14</v>
      </c>
      <c r="B729" t="s">
        <v>65</v>
      </c>
      <c r="C729" t="s">
        <v>249</v>
      </c>
      <c r="D729">
        <v>36294</v>
      </c>
      <c r="E729" t="s">
        <v>707</v>
      </c>
      <c r="F729">
        <v>2.3260000000000001</v>
      </c>
      <c r="G729">
        <v>2012</v>
      </c>
      <c r="J729">
        <v>2326</v>
      </c>
    </row>
    <row r="730" spans="1:28" hidden="1" x14ac:dyDescent="0.25">
      <c r="A730" t="s">
        <v>14</v>
      </c>
      <c r="B730" t="s">
        <v>65</v>
      </c>
      <c r="C730" t="s">
        <v>250</v>
      </c>
      <c r="D730">
        <v>36295</v>
      </c>
      <c r="E730" t="s">
        <v>707</v>
      </c>
      <c r="F730">
        <v>28.718</v>
      </c>
      <c r="G730">
        <v>2012</v>
      </c>
      <c r="J730">
        <v>28718</v>
      </c>
    </row>
    <row r="731" spans="1:28" hidden="1" x14ac:dyDescent="0.25">
      <c r="A731" t="s">
        <v>14</v>
      </c>
      <c r="B731" t="s">
        <v>65</v>
      </c>
      <c r="C731" t="s">
        <v>252</v>
      </c>
      <c r="D731">
        <v>44829</v>
      </c>
      <c r="E731" t="s">
        <v>707</v>
      </c>
      <c r="F731">
        <v>145.047</v>
      </c>
      <c r="G731">
        <v>2012</v>
      </c>
      <c r="J731">
        <v>42000</v>
      </c>
    </row>
    <row r="732" spans="1:28" hidden="1" x14ac:dyDescent="0.25">
      <c r="A732" t="s">
        <v>14</v>
      </c>
      <c r="B732" t="s">
        <v>65</v>
      </c>
      <c r="C732" t="s">
        <v>241</v>
      </c>
      <c r="D732">
        <v>46489</v>
      </c>
      <c r="E732" t="s">
        <v>707</v>
      </c>
      <c r="F732">
        <v>22.518999999999998</v>
      </c>
      <c r="G732">
        <v>2012</v>
      </c>
      <c r="J732">
        <v>22519</v>
      </c>
    </row>
    <row r="733" spans="1:28" hidden="1" x14ac:dyDescent="0.25">
      <c r="A733" t="s">
        <v>14</v>
      </c>
      <c r="B733" t="s">
        <v>65</v>
      </c>
      <c r="C733" t="s">
        <v>253</v>
      </c>
      <c r="D733">
        <v>48166</v>
      </c>
      <c r="E733" t="s">
        <v>707</v>
      </c>
      <c r="F733">
        <v>10.86</v>
      </c>
      <c r="G733">
        <v>2012</v>
      </c>
      <c r="J733">
        <v>10860</v>
      </c>
    </row>
    <row r="734" spans="1:28" hidden="1" x14ac:dyDescent="0.25">
      <c r="A734" t="s">
        <v>14</v>
      </c>
      <c r="B734" t="s">
        <v>65</v>
      </c>
      <c r="C734" t="s">
        <v>246</v>
      </c>
      <c r="D734">
        <v>36291</v>
      </c>
      <c r="E734" t="s">
        <v>708</v>
      </c>
      <c r="F734">
        <v>72.994</v>
      </c>
      <c r="G734">
        <v>2013</v>
      </c>
      <c r="J734">
        <v>72994</v>
      </c>
    </row>
    <row r="735" spans="1:28" hidden="1" x14ac:dyDescent="0.25">
      <c r="A735" t="s">
        <v>14</v>
      </c>
      <c r="B735" t="s">
        <v>65</v>
      </c>
      <c r="C735" t="s">
        <v>250</v>
      </c>
      <c r="D735">
        <v>36295</v>
      </c>
      <c r="E735" t="s">
        <v>707</v>
      </c>
      <c r="F735">
        <v>39.988</v>
      </c>
      <c r="G735">
        <v>2013</v>
      </c>
      <c r="J735">
        <v>39988</v>
      </c>
    </row>
    <row r="736" spans="1:28" hidden="1" x14ac:dyDescent="0.25">
      <c r="A736" t="s">
        <v>14</v>
      </c>
      <c r="B736" t="s">
        <v>65</v>
      </c>
      <c r="C736" t="s">
        <v>241</v>
      </c>
      <c r="D736">
        <v>46489</v>
      </c>
      <c r="E736" t="s">
        <v>707</v>
      </c>
      <c r="F736">
        <v>65.378</v>
      </c>
      <c r="G736">
        <v>2013</v>
      </c>
      <c r="J736">
        <f>65378-21877</f>
        <v>43501</v>
      </c>
      <c r="AB736">
        <v>21877</v>
      </c>
    </row>
    <row r="737" spans="1:28" hidden="1" x14ac:dyDescent="0.25">
      <c r="A737" t="s">
        <v>14</v>
      </c>
      <c r="B737" t="s">
        <v>65</v>
      </c>
      <c r="C737" t="s">
        <v>253</v>
      </c>
      <c r="D737">
        <v>48166</v>
      </c>
      <c r="E737" t="s">
        <v>707</v>
      </c>
      <c r="F737">
        <v>35.216000000000001</v>
      </c>
      <c r="G737">
        <v>2013</v>
      </c>
      <c r="J737">
        <v>35216</v>
      </c>
    </row>
    <row r="738" spans="1:28" hidden="1" x14ac:dyDescent="0.25">
      <c r="A738" t="s">
        <v>14</v>
      </c>
      <c r="B738" t="s">
        <v>65</v>
      </c>
      <c r="C738" t="s">
        <v>254</v>
      </c>
      <c r="D738">
        <v>48167</v>
      </c>
      <c r="E738" t="s">
        <v>707</v>
      </c>
      <c r="F738">
        <v>235.37799999999999</v>
      </c>
      <c r="G738">
        <v>2013</v>
      </c>
      <c r="J738">
        <f>235378-220267</f>
        <v>15111</v>
      </c>
      <c r="AB738">
        <v>220267</v>
      </c>
    </row>
    <row r="739" spans="1:28" hidden="1" x14ac:dyDescent="0.25">
      <c r="A739" t="s">
        <v>14</v>
      </c>
      <c r="B739" t="s">
        <v>65</v>
      </c>
      <c r="C739" t="s">
        <v>255</v>
      </c>
      <c r="D739">
        <v>51748</v>
      </c>
      <c r="E739" t="s">
        <v>707</v>
      </c>
      <c r="F739">
        <v>32.206000000000003</v>
      </c>
      <c r="G739">
        <v>2013</v>
      </c>
      <c r="J739">
        <v>32206</v>
      </c>
    </row>
    <row r="740" spans="1:28" hidden="1" x14ac:dyDescent="0.25">
      <c r="A740" t="s">
        <v>14</v>
      </c>
      <c r="B740" t="s">
        <v>65</v>
      </c>
      <c r="C740" t="s">
        <v>246</v>
      </c>
      <c r="D740">
        <v>36291</v>
      </c>
      <c r="E740" t="s">
        <v>708</v>
      </c>
      <c r="F740">
        <v>27.760999999999999</v>
      </c>
      <c r="G740">
        <v>2014</v>
      </c>
      <c r="J740">
        <v>27761</v>
      </c>
    </row>
    <row r="741" spans="1:28" hidden="1" x14ac:dyDescent="0.25">
      <c r="A741" t="s">
        <v>14</v>
      </c>
      <c r="B741" t="s">
        <v>65</v>
      </c>
      <c r="C741" t="s">
        <v>250</v>
      </c>
      <c r="D741">
        <v>36295</v>
      </c>
      <c r="E741" t="s">
        <v>707</v>
      </c>
      <c r="F741">
        <v>35.341000000000001</v>
      </c>
      <c r="G741">
        <v>2014</v>
      </c>
      <c r="J741">
        <v>35341</v>
      </c>
    </row>
    <row r="742" spans="1:28" hidden="1" x14ac:dyDescent="0.25">
      <c r="A742" t="s">
        <v>14</v>
      </c>
      <c r="B742" t="s">
        <v>65</v>
      </c>
      <c r="C742" t="s">
        <v>252</v>
      </c>
      <c r="D742">
        <v>44829</v>
      </c>
      <c r="E742" t="s">
        <v>707</v>
      </c>
      <c r="F742">
        <v>42</v>
      </c>
      <c r="G742">
        <v>2014</v>
      </c>
      <c r="J742">
        <v>42000</v>
      </c>
    </row>
    <row r="743" spans="1:28" hidden="1" x14ac:dyDescent="0.25">
      <c r="A743" t="s">
        <v>14</v>
      </c>
      <c r="B743" t="s">
        <v>65</v>
      </c>
      <c r="C743" t="s">
        <v>241</v>
      </c>
      <c r="D743">
        <v>46489</v>
      </c>
      <c r="E743" t="s">
        <v>707</v>
      </c>
      <c r="F743">
        <v>103.867</v>
      </c>
      <c r="G743">
        <v>2014</v>
      </c>
      <c r="J743">
        <f>103867-85238</f>
        <v>18629</v>
      </c>
    </row>
    <row r="744" spans="1:28" hidden="1" x14ac:dyDescent="0.25">
      <c r="A744" t="s">
        <v>14</v>
      </c>
      <c r="B744" t="s">
        <v>65</v>
      </c>
      <c r="C744" t="s">
        <v>253</v>
      </c>
      <c r="D744">
        <v>48166</v>
      </c>
      <c r="E744" t="s">
        <v>707</v>
      </c>
      <c r="F744">
        <v>34.838000000000001</v>
      </c>
      <c r="G744">
        <v>2014</v>
      </c>
      <c r="J744">
        <v>34838</v>
      </c>
    </row>
    <row r="745" spans="1:28" hidden="1" x14ac:dyDescent="0.25">
      <c r="A745" t="s">
        <v>14</v>
      </c>
      <c r="B745" t="s">
        <v>65</v>
      </c>
      <c r="C745" t="s">
        <v>254</v>
      </c>
      <c r="D745">
        <v>48167</v>
      </c>
      <c r="E745" t="s">
        <v>707</v>
      </c>
      <c r="F745">
        <v>41.531999999999996</v>
      </c>
      <c r="G745">
        <v>2014</v>
      </c>
      <c r="J745">
        <v>41532</v>
      </c>
    </row>
    <row r="746" spans="1:28" hidden="1" x14ac:dyDescent="0.25">
      <c r="A746" t="s">
        <v>14</v>
      </c>
      <c r="B746" t="s">
        <v>65</v>
      </c>
      <c r="C746" t="s">
        <v>256</v>
      </c>
      <c r="D746">
        <v>50161</v>
      </c>
      <c r="E746" t="s">
        <v>707</v>
      </c>
      <c r="F746">
        <v>19.341999999999999</v>
      </c>
      <c r="G746">
        <v>2014</v>
      </c>
      <c r="J746">
        <v>19342</v>
      </c>
    </row>
    <row r="747" spans="1:28" hidden="1" x14ac:dyDescent="0.25">
      <c r="A747" t="s">
        <v>14</v>
      </c>
      <c r="B747" t="s">
        <v>65</v>
      </c>
      <c r="C747" t="s">
        <v>257</v>
      </c>
      <c r="D747">
        <v>51747</v>
      </c>
      <c r="E747" t="s">
        <v>707</v>
      </c>
      <c r="F747">
        <v>10.993</v>
      </c>
      <c r="G747">
        <v>2014</v>
      </c>
      <c r="J747">
        <v>10993</v>
      </c>
    </row>
    <row r="748" spans="1:28" hidden="1" x14ac:dyDescent="0.25">
      <c r="A748" t="s">
        <v>14</v>
      </c>
      <c r="B748" t="s">
        <v>65</v>
      </c>
      <c r="C748" t="s">
        <v>255</v>
      </c>
      <c r="D748">
        <v>51748</v>
      </c>
      <c r="E748" t="s">
        <v>707</v>
      </c>
      <c r="F748">
        <v>32.701000000000001</v>
      </c>
      <c r="G748">
        <v>2014</v>
      </c>
      <c r="J748">
        <v>32701</v>
      </c>
    </row>
    <row r="749" spans="1:28" hidden="1" x14ac:dyDescent="0.25">
      <c r="A749" t="s">
        <v>14</v>
      </c>
      <c r="B749" t="s">
        <v>65</v>
      </c>
      <c r="C749" t="s">
        <v>250</v>
      </c>
      <c r="D749">
        <v>36295</v>
      </c>
      <c r="E749" t="s">
        <v>707</v>
      </c>
      <c r="F749">
        <v>35.518999999999998</v>
      </c>
      <c r="G749">
        <v>2015</v>
      </c>
      <c r="J749">
        <v>35519</v>
      </c>
    </row>
    <row r="750" spans="1:28" hidden="1" x14ac:dyDescent="0.25">
      <c r="A750" t="s">
        <v>14</v>
      </c>
      <c r="B750" t="s">
        <v>65</v>
      </c>
      <c r="C750" t="s">
        <v>252</v>
      </c>
      <c r="D750">
        <v>44829</v>
      </c>
      <c r="E750" t="s">
        <v>708</v>
      </c>
      <c r="F750">
        <v>45.75</v>
      </c>
      <c r="G750">
        <v>2015</v>
      </c>
      <c r="J750">
        <v>4575</v>
      </c>
    </row>
    <row r="751" spans="1:28" hidden="1" x14ac:dyDescent="0.25">
      <c r="A751" t="s">
        <v>14</v>
      </c>
      <c r="B751" t="s">
        <v>65</v>
      </c>
      <c r="C751" t="s">
        <v>253</v>
      </c>
      <c r="D751">
        <v>48166</v>
      </c>
      <c r="E751" t="s">
        <v>707</v>
      </c>
      <c r="F751">
        <v>35.576999999999998</v>
      </c>
      <c r="G751">
        <v>2015</v>
      </c>
      <c r="J751">
        <v>35577</v>
      </c>
    </row>
    <row r="752" spans="1:28" hidden="1" x14ac:dyDescent="0.25">
      <c r="A752" t="s">
        <v>14</v>
      </c>
      <c r="B752" t="s">
        <v>65</v>
      </c>
      <c r="C752" t="s">
        <v>254</v>
      </c>
      <c r="D752">
        <v>48167</v>
      </c>
      <c r="E752" t="s">
        <v>707</v>
      </c>
      <c r="F752">
        <v>43.923999999999999</v>
      </c>
      <c r="G752">
        <v>2015</v>
      </c>
      <c r="J752">
        <v>43924</v>
      </c>
    </row>
    <row r="753" spans="1:52" hidden="1" x14ac:dyDescent="0.25">
      <c r="A753" t="s">
        <v>14</v>
      </c>
      <c r="B753" t="s">
        <v>65</v>
      </c>
      <c r="C753" t="s">
        <v>256</v>
      </c>
      <c r="D753">
        <v>50161</v>
      </c>
      <c r="E753" t="s">
        <v>707</v>
      </c>
      <c r="F753">
        <v>33.195999999999998</v>
      </c>
      <c r="G753">
        <v>2015</v>
      </c>
      <c r="J753">
        <v>33196</v>
      </c>
    </row>
    <row r="754" spans="1:52" hidden="1" x14ac:dyDescent="0.25">
      <c r="A754" t="s">
        <v>14</v>
      </c>
      <c r="B754" t="s">
        <v>65</v>
      </c>
      <c r="C754" t="s">
        <v>257</v>
      </c>
      <c r="D754">
        <v>51747</v>
      </c>
      <c r="E754" t="s">
        <v>707</v>
      </c>
      <c r="F754">
        <v>31.204999999999998</v>
      </c>
      <c r="G754">
        <v>2015</v>
      </c>
      <c r="J754">
        <v>31205</v>
      </c>
    </row>
    <row r="755" spans="1:52" hidden="1" x14ac:dyDescent="0.25">
      <c r="A755" t="s">
        <v>14</v>
      </c>
      <c r="B755" t="s">
        <v>65</v>
      </c>
      <c r="C755" t="s">
        <v>255</v>
      </c>
      <c r="D755">
        <v>51748</v>
      </c>
      <c r="E755" t="s">
        <v>707</v>
      </c>
      <c r="F755">
        <v>34.793999999999997</v>
      </c>
      <c r="G755">
        <v>2015</v>
      </c>
      <c r="J755">
        <v>34794</v>
      </c>
    </row>
    <row r="756" spans="1:52" hidden="1" x14ac:dyDescent="0.25">
      <c r="A756" t="s">
        <v>14</v>
      </c>
      <c r="B756" t="s">
        <v>65</v>
      </c>
      <c r="C756" t="s">
        <v>252</v>
      </c>
      <c r="D756">
        <v>44829</v>
      </c>
      <c r="E756" t="s">
        <v>707</v>
      </c>
      <c r="F756">
        <v>18.425000000000001</v>
      </c>
      <c r="G756">
        <v>2016</v>
      </c>
      <c r="J756">
        <v>18425</v>
      </c>
    </row>
    <row r="757" spans="1:52" hidden="1" x14ac:dyDescent="0.25">
      <c r="A757" t="s">
        <v>14</v>
      </c>
      <c r="B757" t="s">
        <v>65</v>
      </c>
      <c r="C757" t="s">
        <v>253</v>
      </c>
      <c r="D757">
        <v>48166</v>
      </c>
      <c r="E757" t="s">
        <v>707</v>
      </c>
      <c r="F757">
        <v>34.225000000000001</v>
      </c>
      <c r="G757">
        <v>2016</v>
      </c>
      <c r="J757">
        <v>34225</v>
      </c>
    </row>
    <row r="758" spans="1:52" hidden="1" x14ac:dyDescent="0.25">
      <c r="A758" t="s">
        <v>14</v>
      </c>
      <c r="B758" t="s">
        <v>65</v>
      </c>
      <c r="C758" t="s">
        <v>254</v>
      </c>
      <c r="D758">
        <v>48167</v>
      </c>
      <c r="E758" t="s">
        <v>708</v>
      </c>
      <c r="F758">
        <v>48.491999999999997</v>
      </c>
      <c r="G758">
        <v>2016</v>
      </c>
      <c r="J758">
        <v>48492</v>
      </c>
    </row>
    <row r="759" spans="1:52" hidden="1" x14ac:dyDescent="0.25">
      <c r="A759" t="s">
        <v>14</v>
      </c>
      <c r="B759" t="s">
        <v>65</v>
      </c>
      <c r="C759" t="s">
        <v>257</v>
      </c>
      <c r="D759">
        <v>51747</v>
      </c>
      <c r="E759" t="s">
        <v>707</v>
      </c>
      <c r="F759">
        <v>32.357999999999997</v>
      </c>
      <c r="G759">
        <v>2016</v>
      </c>
      <c r="J759">
        <v>32358</v>
      </c>
    </row>
    <row r="760" spans="1:52" hidden="1" x14ac:dyDescent="0.25">
      <c r="A760" t="s">
        <v>14</v>
      </c>
      <c r="B760" t="s">
        <v>65</v>
      </c>
      <c r="C760" t="s">
        <v>255</v>
      </c>
      <c r="D760">
        <v>51748</v>
      </c>
      <c r="E760" t="s">
        <v>707</v>
      </c>
      <c r="F760">
        <v>30.177</v>
      </c>
      <c r="G760">
        <v>2016</v>
      </c>
      <c r="J760">
        <v>30177</v>
      </c>
    </row>
    <row r="761" spans="1:52" s="4" customFormat="1" hidden="1" x14ac:dyDescent="0.25">
      <c r="A761" s="4" t="s">
        <v>15</v>
      </c>
      <c r="B761" s="4" t="s">
        <v>66</v>
      </c>
      <c r="C761" s="4" t="s">
        <v>258</v>
      </c>
      <c r="D761" s="4">
        <v>7456</v>
      </c>
      <c r="E761" s="4" t="s">
        <v>708</v>
      </c>
      <c r="F761" s="4">
        <v>67.656999999999996</v>
      </c>
      <c r="G761" s="4">
        <v>2006</v>
      </c>
      <c r="J761" s="4" t="s">
        <v>749</v>
      </c>
      <c r="L761" s="4" t="s">
        <v>749</v>
      </c>
      <c r="M761" s="4" t="s">
        <v>749</v>
      </c>
      <c r="Q761" s="4" t="s">
        <v>749</v>
      </c>
      <c r="AZ761" s="7"/>
    </row>
    <row r="762" spans="1:52" hidden="1" x14ac:dyDescent="0.25">
      <c r="A762" t="s">
        <v>15</v>
      </c>
      <c r="B762" t="s">
        <v>66</v>
      </c>
      <c r="C762" t="s">
        <v>259</v>
      </c>
      <c r="D762">
        <v>16829</v>
      </c>
      <c r="E762" t="s">
        <v>707</v>
      </c>
      <c r="F762">
        <v>27.9</v>
      </c>
      <c r="G762">
        <v>2006</v>
      </c>
      <c r="J762" t="s">
        <v>749</v>
      </c>
      <c r="L762" t="s">
        <v>749</v>
      </c>
      <c r="M762" t="s">
        <v>749</v>
      </c>
      <c r="Q762" t="s">
        <v>749</v>
      </c>
    </row>
    <row r="763" spans="1:52" hidden="1" x14ac:dyDescent="0.25">
      <c r="A763" t="s">
        <v>15</v>
      </c>
      <c r="B763" t="s">
        <v>66</v>
      </c>
      <c r="C763" t="s">
        <v>260</v>
      </c>
      <c r="D763">
        <v>22281</v>
      </c>
      <c r="E763" t="s">
        <v>707</v>
      </c>
      <c r="F763">
        <v>12.414999999999999</v>
      </c>
      <c r="G763">
        <v>2006</v>
      </c>
      <c r="J763" t="s">
        <v>749</v>
      </c>
      <c r="L763" t="s">
        <v>749</v>
      </c>
      <c r="M763" t="s">
        <v>749</v>
      </c>
      <c r="Q763" t="s">
        <v>749</v>
      </c>
    </row>
    <row r="764" spans="1:52" hidden="1" x14ac:dyDescent="0.25">
      <c r="A764" t="s">
        <v>15</v>
      </c>
      <c r="B764" t="s">
        <v>66</v>
      </c>
      <c r="C764" t="s">
        <v>261</v>
      </c>
      <c r="D764">
        <v>22282</v>
      </c>
      <c r="E764" t="s">
        <v>707</v>
      </c>
      <c r="F764">
        <v>22.172999999999998</v>
      </c>
      <c r="G764">
        <v>2006</v>
      </c>
      <c r="J764" t="s">
        <v>749</v>
      </c>
      <c r="L764" t="s">
        <v>749</v>
      </c>
      <c r="M764" t="s">
        <v>749</v>
      </c>
      <c r="Q764" t="s">
        <v>749</v>
      </c>
    </row>
    <row r="765" spans="1:52" hidden="1" x14ac:dyDescent="0.25">
      <c r="A765" t="s">
        <v>15</v>
      </c>
      <c r="B765" t="s">
        <v>66</v>
      </c>
      <c r="C765" t="s">
        <v>258</v>
      </c>
      <c r="D765">
        <v>7456</v>
      </c>
      <c r="E765" t="s">
        <v>708</v>
      </c>
      <c r="F765">
        <v>81.197999999999993</v>
      </c>
      <c r="G765">
        <v>2007</v>
      </c>
      <c r="J765" t="s">
        <v>749</v>
      </c>
      <c r="L765" t="s">
        <v>749</v>
      </c>
      <c r="M765" t="s">
        <v>749</v>
      </c>
      <c r="Q765" t="s">
        <v>749</v>
      </c>
    </row>
    <row r="766" spans="1:52" hidden="1" x14ac:dyDescent="0.25">
      <c r="A766" t="s">
        <v>15</v>
      </c>
      <c r="B766" t="s">
        <v>66</v>
      </c>
      <c r="C766" t="s">
        <v>259</v>
      </c>
      <c r="D766">
        <v>16829</v>
      </c>
      <c r="E766" t="s">
        <v>707</v>
      </c>
      <c r="F766">
        <v>34.869</v>
      </c>
      <c r="G766">
        <v>2007</v>
      </c>
      <c r="J766" t="s">
        <v>749</v>
      </c>
      <c r="L766" t="s">
        <v>749</v>
      </c>
      <c r="M766" t="s">
        <v>749</v>
      </c>
      <c r="Q766" t="s">
        <v>749</v>
      </c>
    </row>
    <row r="767" spans="1:52" hidden="1" x14ac:dyDescent="0.25">
      <c r="A767" t="s">
        <v>15</v>
      </c>
      <c r="B767" t="s">
        <v>66</v>
      </c>
      <c r="C767" t="s">
        <v>260</v>
      </c>
      <c r="D767">
        <v>22281</v>
      </c>
      <c r="E767" t="s">
        <v>707</v>
      </c>
      <c r="F767">
        <v>12.759</v>
      </c>
      <c r="G767">
        <v>2007</v>
      </c>
      <c r="J767" t="s">
        <v>749</v>
      </c>
      <c r="L767" t="s">
        <v>749</v>
      </c>
      <c r="M767" t="s">
        <v>749</v>
      </c>
      <c r="Q767" t="s">
        <v>749</v>
      </c>
    </row>
    <row r="768" spans="1:52" hidden="1" x14ac:dyDescent="0.25">
      <c r="A768" t="s">
        <v>15</v>
      </c>
      <c r="B768" t="s">
        <v>66</v>
      </c>
      <c r="C768" t="s">
        <v>261</v>
      </c>
      <c r="D768">
        <v>22282</v>
      </c>
      <c r="E768" t="s">
        <v>707</v>
      </c>
      <c r="F768">
        <v>22.611000000000001</v>
      </c>
      <c r="G768">
        <v>2007</v>
      </c>
      <c r="J768" t="s">
        <v>749</v>
      </c>
      <c r="L768" t="s">
        <v>749</v>
      </c>
      <c r="M768" t="s">
        <v>749</v>
      </c>
      <c r="Q768" t="s">
        <v>749</v>
      </c>
    </row>
    <row r="769" spans="1:50" hidden="1" x14ac:dyDescent="0.25">
      <c r="A769" t="s">
        <v>15</v>
      </c>
      <c r="B769" t="s">
        <v>66</v>
      </c>
      <c r="C769" t="s">
        <v>258</v>
      </c>
      <c r="D769">
        <v>7456</v>
      </c>
      <c r="E769" t="s">
        <v>708</v>
      </c>
      <c r="F769">
        <v>71.102000000000004</v>
      </c>
      <c r="G769">
        <v>2008</v>
      </c>
      <c r="J769" t="s">
        <v>749</v>
      </c>
      <c r="L769" t="s">
        <v>749</v>
      </c>
      <c r="M769" t="s">
        <v>749</v>
      </c>
      <c r="Q769" t="s">
        <v>749</v>
      </c>
    </row>
    <row r="770" spans="1:50" hidden="1" x14ac:dyDescent="0.25">
      <c r="A770" t="s">
        <v>15</v>
      </c>
      <c r="B770" t="s">
        <v>66</v>
      </c>
      <c r="C770" t="s">
        <v>259</v>
      </c>
      <c r="D770">
        <v>16829</v>
      </c>
      <c r="E770" t="s">
        <v>707</v>
      </c>
      <c r="F770">
        <v>19.795000000000002</v>
      </c>
      <c r="G770">
        <v>2008</v>
      </c>
      <c r="J770" t="s">
        <v>749</v>
      </c>
      <c r="L770" t="s">
        <v>749</v>
      </c>
      <c r="M770" t="s">
        <v>749</v>
      </c>
      <c r="Q770" t="s">
        <v>749</v>
      </c>
    </row>
    <row r="771" spans="1:50" hidden="1" x14ac:dyDescent="0.25">
      <c r="A771" t="s">
        <v>15</v>
      </c>
      <c r="B771" t="s">
        <v>66</v>
      </c>
      <c r="C771" t="s">
        <v>260</v>
      </c>
      <c r="D771">
        <v>22281</v>
      </c>
      <c r="E771" t="s">
        <v>707</v>
      </c>
      <c r="F771">
        <v>11.993</v>
      </c>
      <c r="G771">
        <v>2008</v>
      </c>
      <c r="J771" t="s">
        <v>749</v>
      </c>
      <c r="L771" t="s">
        <v>749</v>
      </c>
      <c r="M771" t="s">
        <v>749</v>
      </c>
      <c r="Q771" t="s">
        <v>749</v>
      </c>
    </row>
    <row r="772" spans="1:50" hidden="1" x14ac:dyDescent="0.25">
      <c r="A772" t="s">
        <v>15</v>
      </c>
      <c r="B772" t="s">
        <v>66</v>
      </c>
      <c r="C772" t="s">
        <v>261</v>
      </c>
      <c r="D772">
        <v>22282</v>
      </c>
      <c r="E772" t="s">
        <v>707</v>
      </c>
      <c r="F772">
        <v>22.811</v>
      </c>
      <c r="G772">
        <v>2008</v>
      </c>
      <c r="J772" t="s">
        <v>749</v>
      </c>
      <c r="L772" t="s">
        <v>749</v>
      </c>
      <c r="M772" t="s">
        <v>749</v>
      </c>
      <c r="Q772" t="s">
        <v>749</v>
      </c>
    </row>
    <row r="773" spans="1:50" hidden="1" x14ac:dyDescent="0.25">
      <c r="A773" t="s">
        <v>15</v>
      </c>
      <c r="B773" t="s">
        <v>66</v>
      </c>
      <c r="C773" t="s">
        <v>262</v>
      </c>
      <c r="D773">
        <v>37329</v>
      </c>
      <c r="E773" t="s">
        <v>707</v>
      </c>
      <c r="F773">
        <v>11.682</v>
      </c>
      <c r="G773">
        <v>2008</v>
      </c>
      <c r="J773" t="s">
        <v>749</v>
      </c>
      <c r="L773" t="s">
        <v>749</v>
      </c>
      <c r="M773" t="s">
        <v>749</v>
      </c>
      <c r="Q773" t="s">
        <v>749</v>
      </c>
    </row>
    <row r="774" spans="1:50" hidden="1" x14ac:dyDescent="0.25">
      <c r="A774" t="s">
        <v>15</v>
      </c>
      <c r="B774" t="s">
        <v>66</v>
      </c>
      <c r="C774" t="s">
        <v>258</v>
      </c>
      <c r="D774">
        <v>7456</v>
      </c>
      <c r="E774" t="s">
        <v>708</v>
      </c>
      <c r="F774">
        <v>50.460999999999999</v>
      </c>
      <c r="G774">
        <v>2009</v>
      </c>
      <c r="J774" t="s">
        <v>749</v>
      </c>
      <c r="L774" t="s">
        <v>749</v>
      </c>
      <c r="M774" t="s">
        <v>749</v>
      </c>
      <c r="Q774" t="s">
        <v>749</v>
      </c>
    </row>
    <row r="775" spans="1:50" hidden="1" x14ac:dyDescent="0.25">
      <c r="A775" t="s">
        <v>15</v>
      </c>
      <c r="B775" t="s">
        <v>66</v>
      </c>
      <c r="C775" t="s">
        <v>259</v>
      </c>
      <c r="D775">
        <v>16829</v>
      </c>
      <c r="E775" t="s">
        <v>707</v>
      </c>
      <c r="F775">
        <v>25.277999999999999</v>
      </c>
      <c r="G775">
        <v>2009</v>
      </c>
      <c r="J775" t="s">
        <v>749</v>
      </c>
      <c r="L775" t="s">
        <v>749</v>
      </c>
      <c r="M775" t="s">
        <v>749</v>
      </c>
      <c r="Q775" t="s">
        <v>749</v>
      </c>
    </row>
    <row r="776" spans="1:50" hidden="1" x14ac:dyDescent="0.25">
      <c r="A776" t="s">
        <v>15</v>
      </c>
      <c r="B776" t="s">
        <v>66</v>
      </c>
      <c r="C776" t="s">
        <v>261</v>
      </c>
      <c r="D776">
        <v>22282</v>
      </c>
      <c r="E776" t="s">
        <v>707</v>
      </c>
      <c r="F776">
        <v>23.306000000000001</v>
      </c>
      <c r="G776">
        <v>2009</v>
      </c>
      <c r="J776" t="s">
        <v>749</v>
      </c>
      <c r="L776" t="s">
        <v>749</v>
      </c>
      <c r="M776" t="s">
        <v>749</v>
      </c>
      <c r="Q776" t="s">
        <v>749</v>
      </c>
    </row>
    <row r="777" spans="1:50" hidden="1" x14ac:dyDescent="0.25">
      <c r="A777" t="s">
        <v>15</v>
      </c>
      <c r="B777" t="s">
        <v>66</v>
      </c>
      <c r="C777" t="s">
        <v>262</v>
      </c>
      <c r="D777">
        <v>37329</v>
      </c>
      <c r="E777" t="s">
        <v>707</v>
      </c>
      <c r="F777">
        <v>22.225999999999999</v>
      </c>
      <c r="G777">
        <v>2009</v>
      </c>
      <c r="J777" t="s">
        <v>749</v>
      </c>
      <c r="L777" t="s">
        <v>749</v>
      </c>
      <c r="M777" t="s">
        <v>749</v>
      </c>
      <c r="Q777" t="s">
        <v>749</v>
      </c>
    </row>
    <row r="778" spans="1:50" hidden="1" x14ac:dyDescent="0.25">
      <c r="A778" t="s">
        <v>15</v>
      </c>
      <c r="B778" t="s">
        <v>66</v>
      </c>
      <c r="C778" t="s">
        <v>258</v>
      </c>
      <c r="D778">
        <v>7456</v>
      </c>
      <c r="E778" t="s">
        <v>708</v>
      </c>
      <c r="F778">
        <v>3163.88</v>
      </c>
      <c r="G778">
        <v>2010</v>
      </c>
      <c r="J778" t="s">
        <v>749</v>
      </c>
      <c r="L778" t="s">
        <v>749</v>
      </c>
      <c r="M778" t="s">
        <v>749</v>
      </c>
      <c r="Q778" t="s">
        <v>749</v>
      </c>
      <c r="AX778">
        <v>3113996</v>
      </c>
    </row>
    <row r="779" spans="1:50" hidden="1" x14ac:dyDescent="0.25">
      <c r="A779" t="s">
        <v>15</v>
      </c>
      <c r="B779" t="s">
        <v>66</v>
      </c>
      <c r="C779" t="s">
        <v>259</v>
      </c>
      <c r="D779">
        <v>16829</v>
      </c>
      <c r="E779" t="s">
        <v>707</v>
      </c>
      <c r="F779">
        <v>25.927</v>
      </c>
      <c r="G779">
        <v>2010</v>
      </c>
      <c r="J779" t="s">
        <v>749</v>
      </c>
      <c r="L779" t="s">
        <v>749</v>
      </c>
      <c r="M779" t="s">
        <v>749</v>
      </c>
      <c r="Q779" t="s">
        <v>749</v>
      </c>
    </row>
    <row r="780" spans="1:50" hidden="1" x14ac:dyDescent="0.25">
      <c r="A780" t="s">
        <v>15</v>
      </c>
      <c r="B780" t="s">
        <v>66</v>
      </c>
      <c r="C780" t="s">
        <v>261</v>
      </c>
      <c r="D780">
        <v>22282</v>
      </c>
      <c r="E780" t="s">
        <v>707</v>
      </c>
      <c r="F780">
        <v>21.893999999999998</v>
      </c>
      <c r="G780">
        <v>2010</v>
      </c>
      <c r="J780" t="s">
        <v>749</v>
      </c>
      <c r="L780" t="s">
        <v>749</v>
      </c>
      <c r="M780" t="s">
        <v>749</v>
      </c>
      <c r="Q780" t="s">
        <v>749</v>
      </c>
    </row>
    <row r="781" spans="1:50" hidden="1" x14ac:dyDescent="0.25">
      <c r="A781" t="s">
        <v>15</v>
      </c>
      <c r="B781" t="s">
        <v>66</v>
      </c>
      <c r="C781" t="s">
        <v>262</v>
      </c>
      <c r="D781">
        <v>37329</v>
      </c>
      <c r="E781" t="s">
        <v>707</v>
      </c>
      <c r="F781">
        <v>34.509</v>
      </c>
      <c r="G781">
        <v>2010</v>
      </c>
      <c r="J781" t="s">
        <v>749</v>
      </c>
      <c r="L781" t="s">
        <v>749</v>
      </c>
      <c r="M781" t="s">
        <v>749</v>
      </c>
      <c r="Q781" t="s">
        <v>749</v>
      </c>
    </row>
    <row r="782" spans="1:50" hidden="1" x14ac:dyDescent="0.25">
      <c r="A782" t="s">
        <v>15</v>
      </c>
      <c r="B782" t="s">
        <v>66</v>
      </c>
      <c r="C782" t="s">
        <v>263</v>
      </c>
      <c r="D782">
        <v>43837</v>
      </c>
      <c r="E782" t="s">
        <v>707</v>
      </c>
      <c r="F782">
        <v>14.23</v>
      </c>
      <c r="G782">
        <v>2010</v>
      </c>
      <c r="J782" t="s">
        <v>749</v>
      </c>
      <c r="L782" t="s">
        <v>749</v>
      </c>
      <c r="M782" t="s">
        <v>749</v>
      </c>
      <c r="Q782" t="s">
        <v>749</v>
      </c>
    </row>
    <row r="783" spans="1:50" hidden="1" x14ac:dyDescent="0.25">
      <c r="A783" t="s">
        <v>15</v>
      </c>
      <c r="B783" t="s">
        <v>66</v>
      </c>
      <c r="C783" t="s">
        <v>259</v>
      </c>
      <c r="D783">
        <v>16829</v>
      </c>
      <c r="E783" t="s">
        <v>707</v>
      </c>
      <c r="F783">
        <v>26.18</v>
      </c>
      <c r="G783">
        <v>2011</v>
      </c>
      <c r="J783" t="s">
        <v>749</v>
      </c>
      <c r="L783" t="s">
        <v>749</v>
      </c>
      <c r="M783" t="s">
        <v>749</v>
      </c>
      <c r="Q783" t="s">
        <v>749</v>
      </c>
    </row>
    <row r="784" spans="1:50" hidden="1" x14ac:dyDescent="0.25">
      <c r="A784" t="s">
        <v>15</v>
      </c>
      <c r="B784" t="s">
        <v>66</v>
      </c>
      <c r="C784" t="s">
        <v>261</v>
      </c>
      <c r="D784">
        <v>22282</v>
      </c>
      <c r="E784" t="s">
        <v>708</v>
      </c>
      <c r="F784">
        <v>35.643999999999998</v>
      </c>
      <c r="G784">
        <v>2011</v>
      </c>
      <c r="J784" t="s">
        <v>749</v>
      </c>
      <c r="L784" t="s">
        <v>749</v>
      </c>
      <c r="M784" t="s">
        <v>749</v>
      </c>
      <c r="Q784" t="s">
        <v>749</v>
      </c>
    </row>
    <row r="785" spans="1:52" hidden="1" x14ac:dyDescent="0.25">
      <c r="A785" t="s">
        <v>15</v>
      </c>
      <c r="B785" t="s">
        <v>66</v>
      </c>
      <c r="C785" t="s">
        <v>262</v>
      </c>
      <c r="D785">
        <v>37329</v>
      </c>
      <c r="E785" t="s">
        <v>707</v>
      </c>
      <c r="F785">
        <v>38.161999999999999</v>
      </c>
      <c r="G785">
        <v>2011</v>
      </c>
      <c r="J785" t="s">
        <v>749</v>
      </c>
      <c r="L785" t="s">
        <v>749</v>
      </c>
      <c r="M785" t="s">
        <v>749</v>
      </c>
      <c r="Q785" t="s">
        <v>749</v>
      </c>
    </row>
    <row r="786" spans="1:52" hidden="1" x14ac:dyDescent="0.25">
      <c r="A786" t="s">
        <v>15</v>
      </c>
      <c r="B786" t="s">
        <v>66</v>
      </c>
      <c r="C786" t="s">
        <v>263</v>
      </c>
      <c r="D786">
        <v>43837</v>
      </c>
      <c r="E786" t="s">
        <v>707</v>
      </c>
      <c r="F786">
        <v>14.802</v>
      </c>
      <c r="G786">
        <v>2011</v>
      </c>
      <c r="J786" t="s">
        <v>749</v>
      </c>
      <c r="L786" t="s">
        <v>749</v>
      </c>
      <c r="M786" t="s">
        <v>749</v>
      </c>
      <c r="Q786" t="s">
        <v>749</v>
      </c>
    </row>
    <row r="787" spans="1:52" hidden="1" x14ac:dyDescent="0.25">
      <c r="A787" t="s">
        <v>15</v>
      </c>
      <c r="B787" t="s">
        <v>66</v>
      </c>
      <c r="C787" t="s">
        <v>264</v>
      </c>
      <c r="D787">
        <v>45425</v>
      </c>
      <c r="E787" t="s">
        <v>707</v>
      </c>
      <c r="F787">
        <v>19.466999999999999</v>
      </c>
      <c r="G787">
        <v>2011</v>
      </c>
      <c r="J787" t="s">
        <v>749</v>
      </c>
      <c r="L787" t="s">
        <v>749</v>
      </c>
      <c r="M787" t="s">
        <v>749</v>
      </c>
      <c r="Q787" t="s">
        <v>749</v>
      </c>
    </row>
    <row r="788" spans="1:52" hidden="1" x14ac:dyDescent="0.25">
      <c r="A788" t="s">
        <v>15</v>
      </c>
      <c r="B788" t="s">
        <v>66</v>
      </c>
      <c r="C788" t="s">
        <v>259</v>
      </c>
      <c r="D788">
        <v>16829</v>
      </c>
      <c r="E788" t="s">
        <v>707</v>
      </c>
      <c r="F788">
        <v>26.413</v>
      </c>
      <c r="G788">
        <v>2012</v>
      </c>
      <c r="J788" t="s">
        <v>749</v>
      </c>
      <c r="L788" t="s">
        <v>749</v>
      </c>
      <c r="M788" t="s">
        <v>749</v>
      </c>
      <c r="Q788" t="s">
        <v>749</v>
      </c>
    </row>
    <row r="789" spans="1:52" hidden="1" x14ac:dyDescent="0.25">
      <c r="A789" t="s">
        <v>15</v>
      </c>
      <c r="B789" t="s">
        <v>66</v>
      </c>
      <c r="C789" t="s">
        <v>261</v>
      </c>
      <c r="D789">
        <v>22282</v>
      </c>
      <c r="E789" t="s">
        <v>708</v>
      </c>
      <c r="F789">
        <v>36.011000000000003</v>
      </c>
      <c r="G789">
        <v>2012</v>
      </c>
      <c r="J789" t="s">
        <v>749</v>
      </c>
      <c r="L789" t="s">
        <v>749</v>
      </c>
      <c r="M789" t="s">
        <v>749</v>
      </c>
      <c r="Q789" t="s">
        <v>749</v>
      </c>
    </row>
    <row r="790" spans="1:52" hidden="1" x14ac:dyDescent="0.25">
      <c r="A790" t="s">
        <v>15</v>
      </c>
      <c r="B790" t="s">
        <v>66</v>
      </c>
      <c r="C790" t="s">
        <v>262</v>
      </c>
      <c r="D790">
        <v>37329</v>
      </c>
      <c r="E790" t="s">
        <v>707</v>
      </c>
      <c r="F790">
        <v>47.259</v>
      </c>
      <c r="G790">
        <v>2012</v>
      </c>
      <c r="J790" t="s">
        <v>749</v>
      </c>
      <c r="L790" t="s">
        <v>749</v>
      </c>
      <c r="M790" t="s">
        <v>749</v>
      </c>
      <c r="Q790" t="s">
        <v>749</v>
      </c>
    </row>
    <row r="791" spans="1:52" hidden="1" x14ac:dyDescent="0.25">
      <c r="A791" t="s">
        <v>15</v>
      </c>
      <c r="B791" t="s">
        <v>66</v>
      </c>
      <c r="C791" t="s">
        <v>263</v>
      </c>
      <c r="D791">
        <v>43837</v>
      </c>
      <c r="E791" t="s">
        <v>707</v>
      </c>
      <c r="F791">
        <v>22.463000000000001</v>
      </c>
      <c r="G791">
        <v>2012</v>
      </c>
      <c r="J791" t="s">
        <v>749</v>
      </c>
      <c r="L791" t="s">
        <v>749</v>
      </c>
      <c r="M791" t="s">
        <v>749</v>
      </c>
      <c r="Q791" t="s">
        <v>749</v>
      </c>
    </row>
    <row r="792" spans="1:52" hidden="1" x14ac:dyDescent="0.25">
      <c r="A792" t="s">
        <v>15</v>
      </c>
      <c r="B792" t="s">
        <v>66</v>
      </c>
      <c r="C792" t="s">
        <v>265</v>
      </c>
      <c r="D792">
        <v>47166</v>
      </c>
      <c r="E792" t="s">
        <v>707</v>
      </c>
      <c r="F792">
        <v>33.606000000000002</v>
      </c>
      <c r="G792">
        <v>2012</v>
      </c>
      <c r="J792" t="s">
        <v>749</v>
      </c>
      <c r="L792" t="s">
        <v>749</v>
      </c>
      <c r="M792" t="s">
        <v>749</v>
      </c>
      <c r="Q792" t="s">
        <v>749</v>
      </c>
    </row>
    <row r="793" spans="1:52" hidden="1" x14ac:dyDescent="0.25">
      <c r="A793" t="s">
        <v>15</v>
      </c>
      <c r="B793" t="s">
        <v>66</v>
      </c>
      <c r="C793" t="s">
        <v>259</v>
      </c>
      <c r="D793">
        <v>16829</v>
      </c>
      <c r="E793" t="s">
        <v>707</v>
      </c>
      <c r="F793">
        <v>98.817999999999998</v>
      </c>
      <c r="G793">
        <v>2013</v>
      </c>
    </row>
    <row r="794" spans="1:52" hidden="1" x14ac:dyDescent="0.25">
      <c r="A794" t="s">
        <v>15</v>
      </c>
      <c r="B794" t="s">
        <v>66</v>
      </c>
      <c r="C794" t="s">
        <v>261</v>
      </c>
      <c r="D794">
        <v>22282</v>
      </c>
      <c r="E794" t="s">
        <v>708</v>
      </c>
      <c r="F794">
        <v>37.615000000000002</v>
      </c>
      <c r="G794">
        <v>2013</v>
      </c>
    </row>
    <row r="795" spans="1:52" hidden="1" x14ac:dyDescent="0.25">
      <c r="A795" t="s">
        <v>15</v>
      </c>
      <c r="B795" t="s">
        <v>66</v>
      </c>
      <c r="C795" t="s">
        <v>262</v>
      </c>
      <c r="D795">
        <v>37329</v>
      </c>
      <c r="E795" t="s">
        <v>707</v>
      </c>
      <c r="F795">
        <v>46.701000000000001</v>
      </c>
      <c r="G795">
        <v>2013</v>
      </c>
    </row>
    <row r="796" spans="1:52" hidden="1" x14ac:dyDescent="0.25">
      <c r="A796" t="s">
        <v>15</v>
      </c>
      <c r="B796" t="s">
        <v>66</v>
      </c>
      <c r="C796" t="s">
        <v>263</v>
      </c>
      <c r="D796">
        <v>43837</v>
      </c>
      <c r="E796" t="s">
        <v>707</v>
      </c>
      <c r="F796">
        <v>31.166</v>
      </c>
      <c r="G796">
        <v>2013</v>
      </c>
    </row>
    <row r="797" spans="1:52" hidden="1" x14ac:dyDescent="0.25">
      <c r="A797" t="s">
        <v>15</v>
      </c>
      <c r="B797" t="s">
        <v>66</v>
      </c>
      <c r="C797" t="s">
        <v>265</v>
      </c>
      <c r="D797">
        <v>47166</v>
      </c>
      <c r="E797" t="s">
        <v>707</v>
      </c>
      <c r="F797">
        <v>43.244999999999997</v>
      </c>
      <c r="G797">
        <v>2013</v>
      </c>
    </row>
    <row r="798" spans="1:52" s="4" customFormat="1" hidden="1" x14ac:dyDescent="0.25">
      <c r="A798" s="4" t="s">
        <v>16</v>
      </c>
      <c r="B798" s="4" t="s">
        <v>67</v>
      </c>
      <c r="C798" s="4" t="s">
        <v>266</v>
      </c>
      <c r="D798" s="4">
        <v>29875</v>
      </c>
      <c r="E798" s="4" t="s">
        <v>708</v>
      </c>
      <c r="F798" s="4">
        <v>64.45</v>
      </c>
      <c r="G798" s="4">
        <v>2006</v>
      </c>
      <c r="J798" s="4">
        <v>6600</v>
      </c>
      <c r="L798" s="4">
        <v>18450</v>
      </c>
      <c r="N798" s="4">
        <f>6677+13261</f>
        <v>19938</v>
      </c>
      <c r="AR798" s="4">
        <f>5694+11310</f>
        <v>17004</v>
      </c>
      <c r="AY798" s="4">
        <v>2458</v>
      </c>
      <c r="AZ798" s="7"/>
    </row>
    <row r="799" spans="1:52" hidden="1" x14ac:dyDescent="0.25">
      <c r="A799" t="s">
        <v>16</v>
      </c>
      <c r="B799" t="s">
        <v>67</v>
      </c>
      <c r="C799" t="s">
        <v>267</v>
      </c>
      <c r="D799">
        <v>29876</v>
      </c>
      <c r="E799" t="s">
        <v>707</v>
      </c>
      <c r="F799">
        <v>8.58</v>
      </c>
      <c r="G799">
        <v>2006</v>
      </c>
      <c r="J799">
        <v>6600</v>
      </c>
      <c r="L799">
        <f>8580-6600</f>
        <v>1980</v>
      </c>
    </row>
    <row r="800" spans="1:52" hidden="1" x14ac:dyDescent="0.25">
      <c r="A800" t="s">
        <v>16</v>
      </c>
      <c r="B800" t="s">
        <v>67</v>
      </c>
      <c r="C800" t="s">
        <v>268</v>
      </c>
      <c r="D800">
        <v>29877</v>
      </c>
      <c r="E800" t="s">
        <v>707</v>
      </c>
      <c r="F800">
        <v>8.58</v>
      </c>
      <c r="G800">
        <v>2006</v>
      </c>
      <c r="J800">
        <v>6600</v>
      </c>
      <c r="L800">
        <f>8580-6600</f>
        <v>1980</v>
      </c>
    </row>
    <row r="801" spans="1:51" hidden="1" x14ac:dyDescent="0.25">
      <c r="A801" t="s">
        <v>16</v>
      </c>
      <c r="B801" t="s">
        <v>67</v>
      </c>
      <c r="C801" t="s">
        <v>269</v>
      </c>
      <c r="D801">
        <v>29878</v>
      </c>
      <c r="E801" t="s">
        <v>707</v>
      </c>
      <c r="F801">
        <v>7.5149999999999997</v>
      </c>
      <c r="G801">
        <v>2006</v>
      </c>
      <c r="J801">
        <v>6300</v>
      </c>
      <c r="L801">
        <f>7515-6300</f>
        <v>1215</v>
      </c>
    </row>
    <row r="802" spans="1:51" hidden="1" x14ac:dyDescent="0.25">
      <c r="A802" t="s">
        <v>16</v>
      </c>
      <c r="B802" t="s">
        <v>67</v>
      </c>
      <c r="C802" t="s">
        <v>270</v>
      </c>
      <c r="D802">
        <v>30901</v>
      </c>
      <c r="E802" t="s">
        <v>707</v>
      </c>
      <c r="F802">
        <v>7.89</v>
      </c>
      <c r="G802">
        <v>2006</v>
      </c>
      <c r="J802">
        <v>6600</v>
      </c>
      <c r="L802">
        <f>7890-6600</f>
        <v>1290</v>
      </c>
    </row>
    <row r="803" spans="1:51" hidden="1" x14ac:dyDescent="0.25">
      <c r="A803" t="s">
        <v>16</v>
      </c>
      <c r="B803" t="s">
        <v>67</v>
      </c>
      <c r="C803" t="s">
        <v>271</v>
      </c>
      <c r="D803">
        <v>33241</v>
      </c>
      <c r="E803" t="s">
        <v>707</v>
      </c>
      <c r="F803">
        <v>7.665</v>
      </c>
      <c r="G803">
        <v>2006</v>
      </c>
      <c r="J803">
        <v>6600</v>
      </c>
      <c r="L803">
        <f>7665-6600</f>
        <v>1065</v>
      </c>
    </row>
    <row r="804" spans="1:51" hidden="1" x14ac:dyDescent="0.25">
      <c r="A804" t="s">
        <v>16</v>
      </c>
      <c r="B804" t="s">
        <v>67</v>
      </c>
      <c r="C804" t="s">
        <v>272</v>
      </c>
      <c r="D804">
        <v>33242</v>
      </c>
      <c r="E804" t="s">
        <v>707</v>
      </c>
      <c r="F804">
        <v>7.2240000000000002</v>
      </c>
      <c r="G804">
        <v>2006</v>
      </c>
      <c r="J804">
        <v>6600</v>
      </c>
      <c r="L804">
        <f>7224-6600</f>
        <v>624</v>
      </c>
    </row>
    <row r="805" spans="1:51" hidden="1" x14ac:dyDescent="0.25">
      <c r="A805" t="s">
        <v>16</v>
      </c>
      <c r="B805" t="s">
        <v>67</v>
      </c>
      <c r="C805" t="s">
        <v>266</v>
      </c>
      <c r="D805">
        <v>29875</v>
      </c>
      <c r="E805" t="s">
        <v>708</v>
      </c>
      <c r="F805">
        <v>46.844000000000001</v>
      </c>
      <c r="G805">
        <v>2007</v>
      </c>
      <c r="J805">
        <v>6750</v>
      </c>
      <c r="L805">
        <v>16470</v>
      </c>
      <c r="N805">
        <v>13496</v>
      </c>
      <c r="AR805">
        <v>10128</v>
      </c>
    </row>
    <row r="806" spans="1:51" hidden="1" x14ac:dyDescent="0.25">
      <c r="A806" t="s">
        <v>16</v>
      </c>
      <c r="B806" t="s">
        <v>67</v>
      </c>
      <c r="C806" t="s">
        <v>267</v>
      </c>
      <c r="D806">
        <v>29876</v>
      </c>
      <c r="E806" t="s">
        <v>707</v>
      </c>
      <c r="F806">
        <v>8.73</v>
      </c>
      <c r="G806">
        <v>2007</v>
      </c>
      <c r="J806">
        <v>6750</v>
      </c>
      <c r="L806">
        <v>1980</v>
      </c>
    </row>
    <row r="807" spans="1:51" hidden="1" x14ac:dyDescent="0.25">
      <c r="A807" t="s">
        <v>16</v>
      </c>
      <c r="B807" t="s">
        <v>67</v>
      </c>
      <c r="C807" t="s">
        <v>269</v>
      </c>
      <c r="D807">
        <v>29878</v>
      </c>
      <c r="E807" t="s">
        <v>707</v>
      </c>
      <c r="F807">
        <v>7.44</v>
      </c>
      <c r="G807">
        <v>2007</v>
      </c>
      <c r="J807">
        <v>6750</v>
      </c>
      <c r="L807">
        <v>690</v>
      </c>
    </row>
    <row r="808" spans="1:51" hidden="1" x14ac:dyDescent="0.25">
      <c r="A808" t="s">
        <v>16</v>
      </c>
      <c r="B808" t="s">
        <v>67</v>
      </c>
      <c r="C808" t="s">
        <v>270</v>
      </c>
      <c r="D808">
        <v>30901</v>
      </c>
      <c r="E808" t="s">
        <v>707</v>
      </c>
      <c r="F808">
        <v>21.117000000000001</v>
      </c>
      <c r="G808">
        <v>2007</v>
      </c>
      <c r="J808">
        <v>6750</v>
      </c>
      <c r="L808">
        <v>1980</v>
      </c>
      <c r="AY808">
        <v>600</v>
      </c>
    </row>
    <row r="809" spans="1:51" hidden="1" x14ac:dyDescent="0.25">
      <c r="A809" t="s">
        <v>16</v>
      </c>
      <c r="B809" t="s">
        <v>67</v>
      </c>
      <c r="C809" t="s">
        <v>272</v>
      </c>
      <c r="D809">
        <v>33242</v>
      </c>
      <c r="E809" t="s">
        <v>707</v>
      </c>
      <c r="F809">
        <v>7.4180000000000001</v>
      </c>
      <c r="G809">
        <v>2007</v>
      </c>
      <c r="J809">
        <v>6750</v>
      </c>
      <c r="L809">
        <v>668</v>
      </c>
    </row>
    <row r="810" spans="1:51" hidden="1" x14ac:dyDescent="0.25">
      <c r="A810" t="s">
        <v>16</v>
      </c>
      <c r="B810" t="s">
        <v>67</v>
      </c>
      <c r="C810" t="s">
        <v>273</v>
      </c>
      <c r="D810">
        <v>34672</v>
      </c>
      <c r="E810" t="s">
        <v>707</v>
      </c>
      <c r="F810">
        <v>301.911</v>
      </c>
      <c r="G810">
        <v>2007</v>
      </c>
      <c r="L810">
        <v>610</v>
      </c>
      <c r="AB810">
        <v>174006</v>
      </c>
      <c r="AP810">
        <v>127295</v>
      </c>
    </row>
    <row r="811" spans="1:51" hidden="1" x14ac:dyDescent="0.25">
      <c r="A811" t="s">
        <v>16</v>
      </c>
      <c r="B811" t="s">
        <v>67</v>
      </c>
      <c r="C811" t="s">
        <v>266</v>
      </c>
      <c r="D811">
        <v>29875</v>
      </c>
      <c r="E811" t="s">
        <v>708</v>
      </c>
      <c r="F811">
        <v>49.101999999999997</v>
      </c>
      <c r="G811">
        <v>2008</v>
      </c>
      <c r="J811">
        <v>6900</v>
      </c>
      <c r="L811">
        <v>16470</v>
      </c>
      <c r="N811">
        <v>14023</v>
      </c>
      <c r="AR811">
        <v>11359</v>
      </c>
      <c r="AY811">
        <v>350</v>
      </c>
    </row>
    <row r="812" spans="1:51" hidden="1" x14ac:dyDescent="0.25">
      <c r="A812" t="s">
        <v>16</v>
      </c>
      <c r="B812" t="s">
        <v>67</v>
      </c>
      <c r="C812" t="s">
        <v>267</v>
      </c>
      <c r="D812">
        <v>29876</v>
      </c>
      <c r="E812" t="s">
        <v>707</v>
      </c>
      <c r="F812">
        <v>8.8800000000000008</v>
      </c>
      <c r="G812">
        <v>2008</v>
      </c>
      <c r="J812">
        <v>6900</v>
      </c>
      <c r="L812">
        <v>1980</v>
      </c>
    </row>
    <row r="813" spans="1:51" hidden="1" x14ac:dyDescent="0.25">
      <c r="A813" t="s">
        <v>16</v>
      </c>
      <c r="B813" t="s">
        <v>67</v>
      </c>
      <c r="C813" t="s">
        <v>269</v>
      </c>
      <c r="D813">
        <v>29878</v>
      </c>
      <c r="E813" t="s">
        <v>707</v>
      </c>
      <c r="F813">
        <v>8.19</v>
      </c>
      <c r="G813">
        <v>2008</v>
      </c>
      <c r="J813">
        <v>6900</v>
      </c>
      <c r="L813">
        <v>1290</v>
      </c>
    </row>
    <row r="814" spans="1:51" hidden="1" x14ac:dyDescent="0.25">
      <c r="A814" t="s">
        <v>16</v>
      </c>
      <c r="B814" t="s">
        <v>67</v>
      </c>
      <c r="C814" t="s">
        <v>270</v>
      </c>
      <c r="D814">
        <v>30901</v>
      </c>
      <c r="E814" t="s">
        <v>707</v>
      </c>
      <c r="F814">
        <v>9.1300000000000008</v>
      </c>
      <c r="G814">
        <v>2008</v>
      </c>
      <c r="J814">
        <v>6900</v>
      </c>
      <c r="L814">
        <v>1980</v>
      </c>
      <c r="AY814">
        <v>250</v>
      </c>
    </row>
    <row r="815" spans="1:51" hidden="1" x14ac:dyDescent="0.25">
      <c r="A815" t="s">
        <v>16</v>
      </c>
      <c r="B815" t="s">
        <v>67</v>
      </c>
      <c r="C815" t="s">
        <v>273</v>
      </c>
      <c r="D815">
        <v>34672</v>
      </c>
      <c r="E815" t="s">
        <v>707</v>
      </c>
      <c r="F815">
        <v>7.59</v>
      </c>
      <c r="G815">
        <v>2008</v>
      </c>
      <c r="J815">
        <v>6900</v>
      </c>
      <c r="L815">
        <v>690</v>
      </c>
    </row>
    <row r="816" spans="1:51" hidden="1" x14ac:dyDescent="0.25">
      <c r="A816" t="s">
        <v>16</v>
      </c>
      <c r="B816" t="s">
        <v>67</v>
      </c>
      <c r="C816" t="s">
        <v>266</v>
      </c>
      <c r="D816">
        <v>29875</v>
      </c>
      <c r="E816" t="s">
        <v>707</v>
      </c>
      <c r="F816">
        <v>665.15099999999995</v>
      </c>
      <c r="G816">
        <v>2009</v>
      </c>
      <c r="J816">
        <v>3513</v>
      </c>
      <c r="L816">
        <v>16470</v>
      </c>
      <c r="N816">
        <v>9483</v>
      </c>
      <c r="T816">
        <v>55910</v>
      </c>
      <c r="V816">
        <v>21129</v>
      </c>
      <c r="AR816">
        <v>7560</v>
      </c>
      <c r="AY816">
        <v>2592</v>
      </c>
    </row>
    <row r="817" spans="1:51" hidden="1" x14ac:dyDescent="0.25">
      <c r="A817" t="s">
        <v>16</v>
      </c>
      <c r="B817" t="s">
        <v>67</v>
      </c>
      <c r="C817" t="s">
        <v>267</v>
      </c>
      <c r="D817">
        <v>29876</v>
      </c>
      <c r="E817" t="s">
        <v>707</v>
      </c>
      <c r="F817">
        <v>9.33</v>
      </c>
      <c r="G817">
        <v>2009</v>
      </c>
      <c r="J817">
        <v>7350</v>
      </c>
      <c r="L817">
        <v>1980</v>
      </c>
    </row>
    <row r="818" spans="1:51" hidden="1" x14ac:dyDescent="0.25">
      <c r="A818" t="s">
        <v>16</v>
      </c>
      <c r="B818" t="s">
        <v>67</v>
      </c>
      <c r="C818" t="s">
        <v>269</v>
      </c>
      <c r="D818">
        <v>29878</v>
      </c>
      <c r="E818" t="s">
        <v>707</v>
      </c>
      <c r="F818">
        <v>8.64</v>
      </c>
      <c r="G818">
        <v>2009</v>
      </c>
      <c r="H818">
        <v>1</v>
      </c>
    </row>
    <row r="819" spans="1:51" hidden="1" x14ac:dyDescent="0.25">
      <c r="A819" t="s">
        <v>16</v>
      </c>
      <c r="B819" t="s">
        <v>67</v>
      </c>
      <c r="C819" t="s">
        <v>270</v>
      </c>
      <c r="D819">
        <v>30901</v>
      </c>
      <c r="E819" t="s">
        <v>707</v>
      </c>
      <c r="F819">
        <v>9.33</v>
      </c>
      <c r="G819">
        <v>2009</v>
      </c>
      <c r="J819">
        <v>7350</v>
      </c>
      <c r="L819">
        <v>1980</v>
      </c>
    </row>
    <row r="820" spans="1:51" hidden="1" x14ac:dyDescent="0.25">
      <c r="A820" t="s">
        <v>16</v>
      </c>
      <c r="B820" t="s">
        <v>67</v>
      </c>
      <c r="C820" t="s">
        <v>273</v>
      </c>
      <c r="D820">
        <v>34672</v>
      </c>
      <c r="E820" t="s">
        <v>708</v>
      </c>
      <c r="F820">
        <v>18.95</v>
      </c>
      <c r="G820">
        <v>2009</v>
      </c>
      <c r="J820">
        <v>7350</v>
      </c>
      <c r="L820">
        <v>690</v>
      </c>
      <c r="Z820">
        <v>10000</v>
      </c>
    </row>
    <row r="821" spans="1:51" hidden="1" x14ac:dyDescent="0.25">
      <c r="A821" t="s">
        <v>16</v>
      </c>
      <c r="B821" t="s">
        <v>67</v>
      </c>
      <c r="C821" t="s">
        <v>274</v>
      </c>
      <c r="D821">
        <v>41098</v>
      </c>
      <c r="E821" t="s">
        <v>707</v>
      </c>
      <c r="F821">
        <v>73.400000000000006</v>
      </c>
      <c r="G821">
        <v>2009</v>
      </c>
      <c r="H821">
        <v>1</v>
      </c>
      <c r="L821">
        <v>260</v>
      </c>
      <c r="AB821">
        <v>52981</v>
      </c>
      <c r="AP821">
        <v>20159</v>
      </c>
    </row>
    <row r="822" spans="1:51" hidden="1" x14ac:dyDescent="0.25">
      <c r="A822" t="s">
        <v>16</v>
      </c>
      <c r="B822" t="s">
        <v>67</v>
      </c>
      <c r="C822" t="s">
        <v>275</v>
      </c>
      <c r="D822">
        <v>41099</v>
      </c>
      <c r="E822" t="s">
        <v>707</v>
      </c>
      <c r="F822">
        <v>57.069000000000003</v>
      </c>
      <c r="G822">
        <v>2009</v>
      </c>
      <c r="J822">
        <v>7350</v>
      </c>
      <c r="L822">
        <v>610</v>
      </c>
      <c r="AB822">
        <v>23661</v>
      </c>
      <c r="AP822">
        <v>15324</v>
      </c>
      <c r="AY822">
        <v>10124</v>
      </c>
    </row>
    <row r="823" spans="1:51" hidden="1" x14ac:dyDescent="0.25">
      <c r="A823" t="s">
        <v>16</v>
      </c>
      <c r="B823" t="s">
        <v>67</v>
      </c>
      <c r="C823" t="s">
        <v>267</v>
      </c>
      <c r="D823">
        <v>29876</v>
      </c>
      <c r="E823" t="s">
        <v>707</v>
      </c>
      <c r="F823">
        <v>9.33</v>
      </c>
      <c r="G823">
        <v>2010</v>
      </c>
      <c r="J823">
        <v>7350</v>
      </c>
      <c r="L823">
        <v>1980</v>
      </c>
    </row>
    <row r="824" spans="1:51" hidden="1" x14ac:dyDescent="0.25">
      <c r="A824" t="s">
        <v>16</v>
      </c>
      <c r="B824" t="s">
        <v>67</v>
      </c>
      <c r="C824" t="s">
        <v>269</v>
      </c>
      <c r="D824">
        <v>29878</v>
      </c>
      <c r="E824" t="s">
        <v>707</v>
      </c>
      <c r="F824">
        <v>8.64</v>
      </c>
      <c r="G824">
        <v>2010</v>
      </c>
      <c r="J824">
        <v>7350</v>
      </c>
      <c r="L824">
        <v>1290</v>
      </c>
    </row>
    <row r="825" spans="1:51" hidden="1" x14ac:dyDescent="0.25">
      <c r="A825" t="s">
        <v>16</v>
      </c>
      <c r="B825" t="s">
        <v>67</v>
      </c>
      <c r="C825" t="s">
        <v>270</v>
      </c>
      <c r="D825">
        <v>30901</v>
      </c>
      <c r="E825" t="s">
        <v>707</v>
      </c>
      <c r="F825">
        <v>9.33</v>
      </c>
      <c r="G825">
        <v>2010</v>
      </c>
      <c r="J825">
        <v>7350</v>
      </c>
      <c r="L825">
        <v>1980</v>
      </c>
    </row>
    <row r="826" spans="1:51" hidden="1" x14ac:dyDescent="0.25">
      <c r="A826" t="s">
        <v>16</v>
      </c>
      <c r="B826" t="s">
        <v>67</v>
      </c>
      <c r="C826" t="s">
        <v>273</v>
      </c>
      <c r="D826">
        <v>34672</v>
      </c>
      <c r="E826" t="s">
        <v>708</v>
      </c>
      <c r="F826">
        <v>52.445</v>
      </c>
      <c r="G826">
        <v>2010</v>
      </c>
      <c r="J826">
        <v>7350</v>
      </c>
      <c r="L826">
        <v>13398</v>
      </c>
      <c r="N826">
        <v>15278</v>
      </c>
      <c r="AR826">
        <v>12179</v>
      </c>
    </row>
    <row r="827" spans="1:51" hidden="1" x14ac:dyDescent="0.25">
      <c r="A827" t="s">
        <v>16</v>
      </c>
      <c r="B827" t="s">
        <v>67</v>
      </c>
      <c r="C827" t="s">
        <v>275</v>
      </c>
      <c r="D827">
        <v>41099</v>
      </c>
      <c r="E827" t="s">
        <v>707</v>
      </c>
      <c r="F827">
        <v>8.0399999999999991</v>
      </c>
      <c r="G827">
        <v>2010</v>
      </c>
      <c r="J827">
        <v>7350</v>
      </c>
      <c r="L827">
        <v>690</v>
      </c>
    </row>
    <row r="828" spans="1:51" hidden="1" x14ac:dyDescent="0.25">
      <c r="A828" t="s">
        <v>16</v>
      </c>
      <c r="B828" t="s">
        <v>67</v>
      </c>
      <c r="C828" t="s">
        <v>267</v>
      </c>
      <c r="D828">
        <v>29876</v>
      </c>
      <c r="E828" t="s">
        <v>707</v>
      </c>
      <c r="F828">
        <v>11.16</v>
      </c>
      <c r="G828">
        <v>2011</v>
      </c>
      <c r="J828">
        <v>7350</v>
      </c>
      <c r="L828">
        <v>3810</v>
      </c>
    </row>
    <row r="829" spans="1:51" hidden="1" x14ac:dyDescent="0.25">
      <c r="A829" t="s">
        <v>16</v>
      </c>
      <c r="B829" t="s">
        <v>67</v>
      </c>
      <c r="C829" t="s">
        <v>269</v>
      </c>
      <c r="D829">
        <v>29878</v>
      </c>
      <c r="E829" t="s">
        <v>707</v>
      </c>
      <c r="F829">
        <v>8.64</v>
      </c>
      <c r="G829">
        <v>2011</v>
      </c>
      <c r="J829">
        <v>7350</v>
      </c>
      <c r="L829">
        <v>1290</v>
      </c>
    </row>
    <row r="830" spans="1:51" hidden="1" x14ac:dyDescent="0.25">
      <c r="A830" t="s">
        <v>16</v>
      </c>
      <c r="B830" t="s">
        <v>67</v>
      </c>
      <c r="C830" t="s">
        <v>270</v>
      </c>
      <c r="D830">
        <v>30901</v>
      </c>
      <c r="E830" t="s">
        <v>707</v>
      </c>
      <c r="F830">
        <v>9.33</v>
      </c>
      <c r="G830">
        <v>2011</v>
      </c>
      <c r="J830">
        <v>7350</v>
      </c>
      <c r="L830">
        <v>1980</v>
      </c>
    </row>
    <row r="831" spans="1:51" hidden="1" x14ac:dyDescent="0.25">
      <c r="A831" t="s">
        <v>16</v>
      </c>
      <c r="B831" t="s">
        <v>67</v>
      </c>
      <c r="C831" t="s">
        <v>273</v>
      </c>
      <c r="D831">
        <v>34672</v>
      </c>
      <c r="E831" t="s">
        <v>708</v>
      </c>
      <c r="F831">
        <v>48.798999999999999</v>
      </c>
      <c r="G831">
        <v>2011</v>
      </c>
      <c r="J831">
        <v>7350</v>
      </c>
      <c r="L831">
        <v>17638</v>
      </c>
      <c r="N831">
        <v>13288</v>
      </c>
      <c r="AR831">
        <v>10523</v>
      </c>
    </row>
    <row r="832" spans="1:51" hidden="1" x14ac:dyDescent="0.25">
      <c r="A832" t="s">
        <v>16</v>
      </c>
      <c r="B832" t="s">
        <v>67</v>
      </c>
      <c r="C832" t="s">
        <v>275</v>
      </c>
      <c r="D832">
        <v>41099</v>
      </c>
      <c r="E832" t="s">
        <v>707</v>
      </c>
      <c r="F832">
        <v>476.17500000000001</v>
      </c>
      <c r="G832">
        <v>2011</v>
      </c>
      <c r="J832">
        <v>7350</v>
      </c>
      <c r="L832">
        <v>664</v>
      </c>
      <c r="AX832">
        <v>456915</v>
      </c>
      <c r="AY832">
        <v>1500</v>
      </c>
    </row>
    <row r="833" spans="1:52" hidden="1" x14ac:dyDescent="0.25">
      <c r="A833" t="s">
        <v>16</v>
      </c>
      <c r="B833" t="s">
        <v>67</v>
      </c>
      <c r="C833" t="s">
        <v>276</v>
      </c>
      <c r="D833">
        <v>45426</v>
      </c>
      <c r="E833" t="s">
        <v>707</v>
      </c>
      <c r="F833">
        <v>8.0399999999999991</v>
      </c>
      <c r="G833">
        <v>2011</v>
      </c>
      <c r="J833">
        <v>7350</v>
      </c>
      <c r="L833">
        <v>690</v>
      </c>
    </row>
    <row r="834" spans="1:52" s="4" customFormat="1" hidden="1" x14ac:dyDescent="0.25">
      <c r="A834" s="4" t="s">
        <v>17</v>
      </c>
      <c r="B834" s="4" t="s">
        <v>68</v>
      </c>
      <c r="C834" s="4" t="s">
        <v>277</v>
      </c>
      <c r="D834" s="4">
        <v>14469</v>
      </c>
      <c r="E834" s="4" t="s">
        <v>708</v>
      </c>
      <c r="F834" s="4">
        <v>1.9830000000000001</v>
      </c>
      <c r="G834" s="4">
        <v>2006</v>
      </c>
      <c r="J834" s="4">
        <v>1983</v>
      </c>
      <c r="AZ834" s="7"/>
    </row>
    <row r="835" spans="1:52" hidden="1" x14ac:dyDescent="0.25">
      <c r="A835" t="s">
        <v>17</v>
      </c>
      <c r="B835" t="s">
        <v>68</v>
      </c>
      <c r="C835" t="s">
        <v>278</v>
      </c>
      <c r="D835">
        <v>16179</v>
      </c>
      <c r="E835" t="s">
        <v>707</v>
      </c>
      <c r="F835">
        <v>1.9830000000000001</v>
      </c>
      <c r="G835">
        <v>2006</v>
      </c>
      <c r="J835">
        <v>1983</v>
      </c>
    </row>
    <row r="836" spans="1:52" hidden="1" x14ac:dyDescent="0.25">
      <c r="A836" t="s">
        <v>17</v>
      </c>
      <c r="B836" t="s">
        <v>68</v>
      </c>
      <c r="C836" t="s">
        <v>279</v>
      </c>
      <c r="D836">
        <v>20978</v>
      </c>
      <c r="E836" t="s">
        <v>707</v>
      </c>
      <c r="F836">
        <v>1.9830000000000001</v>
      </c>
      <c r="G836">
        <v>2006</v>
      </c>
      <c r="J836">
        <v>1983</v>
      </c>
    </row>
    <row r="837" spans="1:52" hidden="1" x14ac:dyDescent="0.25">
      <c r="A837" t="s">
        <v>17</v>
      </c>
      <c r="B837" t="s">
        <v>68</v>
      </c>
      <c r="C837" t="s">
        <v>280</v>
      </c>
      <c r="D837">
        <v>24966</v>
      </c>
      <c r="E837" t="s">
        <v>707</v>
      </c>
      <c r="F837">
        <v>1.9830000000000001</v>
      </c>
      <c r="G837">
        <v>2006</v>
      </c>
      <c r="J837">
        <v>1983</v>
      </c>
    </row>
    <row r="838" spans="1:52" hidden="1" x14ac:dyDescent="0.25">
      <c r="A838" t="s">
        <v>17</v>
      </c>
      <c r="B838" t="s">
        <v>68</v>
      </c>
      <c r="C838" t="s">
        <v>277</v>
      </c>
      <c r="D838">
        <v>14469</v>
      </c>
      <c r="E838" t="s">
        <v>708</v>
      </c>
      <c r="F838">
        <v>2.5</v>
      </c>
      <c r="G838">
        <v>2007</v>
      </c>
      <c r="J838">
        <v>2500</v>
      </c>
    </row>
    <row r="839" spans="1:52" hidden="1" x14ac:dyDescent="0.25">
      <c r="A839" t="s">
        <v>17</v>
      </c>
      <c r="B839" t="s">
        <v>68</v>
      </c>
      <c r="C839" t="s">
        <v>278</v>
      </c>
      <c r="D839">
        <v>16179</v>
      </c>
      <c r="E839" t="s">
        <v>707</v>
      </c>
      <c r="F839">
        <v>2.5</v>
      </c>
      <c r="G839">
        <v>2007</v>
      </c>
      <c r="J839">
        <v>2500</v>
      </c>
    </row>
    <row r="840" spans="1:52" hidden="1" x14ac:dyDescent="0.25">
      <c r="A840" t="s">
        <v>17</v>
      </c>
      <c r="B840" t="s">
        <v>68</v>
      </c>
      <c r="C840" t="s">
        <v>279</v>
      </c>
      <c r="D840">
        <v>20978</v>
      </c>
      <c r="E840" t="s">
        <v>707</v>
      </c>
      <c r="F840">
        <v>2.5</v>
      </c>
      <c r="G840">
        <v>2007</v>
      </c>
      <c r="J840">
        <v>2500</v>
      </c>
    </row>
    <row r="841" spans="1:52" hidden="1" x14ac:dyDescent="0.25">
      <c r="A841" t="s">
        <v>17</v>
      </c>
      <c r="B841" t="s">
        <v>68</v>
      </c>
      <c r="C841" t="s">
        <v>280</v>
      </c>
      <c r="D841">
        <v>24966</v>
      </c>
      <c r="E841" t="s">
        <v>707</v>
      </c>
      <c r="F841">
        <v>2.5</v>
      </c>
      <c r="G841">
        <v>2007</v>
      </c>
      <c r="J841">
        <v>2500</v>
      </c>
    </row>
    <row r="842" spans="1:52" hidden="1" x14ac:dyDescent="0.25">
      <c r="A842" t="s">
        <v>17</v>
      </c>
      <c r="B842" t="s">
        <v>68</v>
      </c>
      <c r="C842" t="s">
        <v>281</v>
      </c>
      <c r="D842">
        <v>33933</v>
      </c>
      <c r="E842" t="s">
        <v>707</v>
      </c>
      <c r="F842">
        <v>2.5</v>
      </c>
      <c r="G842">
        <v>2007</v>
      </c>
      <c r="J842">
        <v>2500</v>
      </c>
    </row>
    <row r="843" spans="1:52" hidden="1" x14ac:dyDescent="0.25">
      <c r="A843" t="s">
        <v>17</v>
      </c>
      <c r="B843" t="s">
        <v>68</v>
      </c>
      <c r="C843" t="s">
        <v>282</v>
      </c>
      <c r="D843">
        <v>36896</v>
      </c>
      <c r="E843" t="s">
        <v>707</v>
      </c>
      <c r="F843">
        <v>2.5</v>
      </c>
      <c r="G843">
        <v>2007</v>
      </c>
      <c r="J843">
        <v>2500</v>
      </c>
    </row>
    <row r="844" spans="1:52" hidden="1" x14ac:dyDescent="0.25">
      <c r="A844" t="s">
        <v>17</v>
      </c>
      <c r="B844" t="s">
        <v>68</v>
      </c>
      <c r="C844" t="s">
        <v>283</v>
      </c>
      <c r="D844">
        <v>39360</v>
      </c>
      <c r="E844" t="s">
        <v>707</v>
      </c>
      <c r="F844">
        <v>2.5</v>
      </c>
      <c r="G844">
        <v>2007</v>
      </c>
      <c r="J844">
        <v>2500</v>
      </c>
    </row>
    <row r="845" spans="1:52" hidden="1" x14ac:dyDescent="0.25">
      <c r="A845" t="s">
        <v>17</v>
      </c>
      <c r="B845" t="s">
        <v>68</v>
      </c>
      <c r="C845" t="s">
        <v>277</v>
      </c>
      <c r="D845">
        <v>14469</v>
      </c>
      <c r="E845" t="s">
        <v>708</v>
      </c>
      <c r="F845">
        <v>12.5</v>
      </c>
      <c r="G845">
        <v>2008</v>
      </c>
      <c r="J845">
        <v>2500</v>
      </c>
    </row>
    <row r="846" spans="1:52" hidden="1" x14ac:dyDescent="0.25">
      <c r="A846" t="s">
        <v>17</v>
      </c>
      <c r="B846" t="s">
        <v>68</v>
      </c>
      <c r="C846" t="s">
        <v>278</v>
      </c>
      <c r="D846">
        <v>16179</v>
      </c>
      <c r="E846" t="s">
        <v>707</v>
      </c>
      <c r="F846">
        <v>2.5</v>
      </c>
      <c r="G846">
        <v>2008</v>
      </c>
      <c r="J846">
        <v>2500</v>
      </c>
    </row>
    <row r="847" spans="1:52" hidden="1" x14ac:dyDescent="0.25">
      <c r="A847" t="s">
        <v>17</v>
      </c>
      <c r="B847" t="s">
        <v>68</v>
      </c>
      <c r="C847" t="s">
        <v>279</v>
      </c>
      <c r="D847">
        <v>20978</v>
      </c>
      <c r="E847" t="s">
        <v>707</v>
      </c>
      <c r="F847">
        <v>2.5</v>
      </c>
      <c r="G847">
        <v>2008</v>
      </c>
      <c r="J847">
        <v>2500</v>
      </c>
    </row>
    <row r="848" spans="1:52" hidden="1" x14ac:dyDescent="0.25">
      <c r="A848" t="s">
        <v>17</v>
      </c>
      <c r="B848" t="s">
        <v>68</v>
      </c>
      <c r="C848" t="s">
        <v>281</v>
      </c>
      <c r="D848">
        <v>33933</v>
      </c>
      <c r="E848" t="s">
        <v>707</v>
      </c>
      <c r="F848">
        <v>2.5</v>
      </c>
      <c r="G848">
        <v>2008</v>
      </c>
      <c r="J848">
        <v>2500</v>
      </c>
    </row>
    <row r="849" spans="1:10" hidden="1" x14ac:dyDescent="0.25">
      <c r="A849" t="s">
        <v>17</v>
      </c>
      <c r="B849" t="s">
        <v>68</v>
      </c>
      <c r="C849" t="s">
        <v>282</v>
      </c>
      <c r="D849">
        <v>36896</v>
      </c>
      <c r="E849" t="s">
        <v>707</v>
      </c>
      <c r="F849">
        <v>2.5</v>
      </c>
      <c r="G849">
        <v>2008</v>
      </c>
      <c r="J849">
        <v>2500</v>
      </c>
    </row>
    <row r="850" spans="1:10" hidden="1" x14ac:dyDescent="0.25">
      <c r="A850" t="s">
        <v>17</v>
      </c>
      <c r="B850" t="s">
        <v>68</v>
      </c>
      <c r="C850" t="s">
        <v>283</v>
      </c>
      <c r="D850">
        <v>39360</v>
      </c>
      <c r="E850" t="s">
        <v>707</v>
      </c>
      <c r="F850">
        <v>2.5</v>
      </c>
      <c r="G850">
        <v>2008</v>
      </c>
      <c r="J850">
        <v>2500</v>
      </c>
    </row>
    <row r="851" spans="1:10" hidden="1" x14ac:dyDescent="0.25">
      <c r="A851" t="s">
        <v>17</v>
      </c>
      <c r="B851" t="s">
        <v>68</v>
      </c>
      <c r="C851" t="s">
        <v>277</v>
      </c>
      <c r="D851">
        <v>14469</v>
      </c>
      <c r="E851" t="s">
        <v>708</v>
      </c>
      <c r="F851">
        <v>10</v>
      </c>
      <c r="G851">
        <v>2009</v>
      </c>
    </row>
    <row r="852" spans="1:10" hidden="1" x14ac:dyDescent="0.25">
      <c r="A852" t="s">
        <v>17</v>
      </c>
      <c r="B852" t="s">
        <v>68</v>
      </c>
      <c r="C852" t="s">
        <v>278</v>
      </c>
      <c r="D852">
        <v>16179</v>
      </c>
      <c r="E852" t="s">
        <v>707</v>
      </c>
      <c r="F852">
        <v>0</v>
      </c>
      <c r="G852">
        <v>2009</v>
      </c>
    </row>
    <row r="853" spans="1:10" hidden="1" x14ac:dyDescent="0.25">
      <c r="A853" t="s">
        <v>17</v>
      </c>
      <c r="B853" t="s">
        <v>68</v>
      </c>
      <c r="C853" t="s">
        <v>279</v>
      </c>
      <c r="D853">
        <v>20978</v>
      </c>
      <c r="E853" t="s">
        <v>707</v>
      </c>
      <c r="F853">
        <v>0</v>
      </c>
      <c r="G853">
        <v>2009</v>
      </c>
    </row>
    <row r="854" spans="1:10" hidden="1" x14ac:dyDescent="0.25">
      <c r="A854" t="s">
        <v>17</v>
      </c>
      <c r="B854" t="s">
        <v>68</v>
      </c>
      <c r="C854" t="s">
        <v>281</v>
      </c>
      <c r="D854">
        <v>33933</v>
      </c>
      <c r="E854" t="s">
        <v>707</v>
      </c>
      <c r="F854">
        <v>0</v>
      </c>
      <c r="G854">
        <v>2009</v>
      </c>
    </row>
    <row r="855" spans="1:10" hidden="1" x14ac:dyDescent="0.25">
      <c r="A855" t="s">
        <v>17</v>
      </c>
      <c r="B855" t="s">
        <v>68</v>
      </c>
      <c r="C855" t="s">
        <v>282</v>
      </c>
      <c r="D855">
        <v>36896</v>
      </c>
      <c r="E855" t="s">
        <v>707</v>
      </c>
      <c r="F855">
        <v>0</v>
      </c>
      <c r="G855">
        <v>2009</v>
      </c>
    </row>
    <row r="856" spans="1:10" hidden="1" x14ac:dyDescent="0.25">
      <c r="A856" t="s">
        <v>17</v>
      </c>
      <c r="B856" t="s">
        <v>68</v>
      </c>
      <c r="C856" t="s">
        <v>283</v>
      </c>
      <c r="D856">
        <v>39360</v>
      </c>
      <c r="E856" t="s">
        <v>707</v>
      </c>
      <c r="F856">
        <v>0</v>
      </c>
      <c r="G856">
        <v>2009</v>
      </c>
    </row>
    <row r="857" spans="1:10" hidden="1" x14ac:dyDescent="0.25">
      <c r="A857" t="s">
        <v>17</v>
      </c>
      <c r="B857" t="s">
        <v>68</v>
      </c>
      <c r="C857" t="s">
        <v>277</v>
      </c>
      <c r="D857">
        <v>14469</v>
      </c>
      <c r="E857" t="s">
        <v>708</v>
      </c>
      <c r="F857">
        <v>10</v>
      </c>
      <c r="G857">
        <v>2010</v>
      </c>
      <c r="J857">
        <v>2500</v>
      </c>
    </row>
    <row r="858" spans="1:10" hidden="1" x14ac:dyDescent="0.25">
      <c r="A858" t="s">
        <v>17</v>
      </c>
      <c r="B858" t="s">
        <v>68</v>
      </c>
      <c r="C858" t="s">
        <v>278</v>
      </c>
      <c r="D858">
        <v>16179</v>
      </c>
      <c r="E858" t="s">
        <v>707</v>
      </c>
      <c r="F858">
        <v>2.5</v>
      </c>
      <c r="G858">
        <v>2010</v>
      </c>
      <c r="J858">
        <v>2500</v>
      </c>
    </row>
    <row r="859" spans="1:10" hidden="1" x14ac:dyDescent="0.25">
      <c r="A859" t="s">
        <v>17</v>
      </c>
      <c r="B859" t="s">
        <v>68</v>
      </c>
      <c r="C859" t="s">
        <v>279</v>
      </c>
      <c r="D859">
        <v>20978</v>
      </c>
      <c r="E859" t="s">
        <v>707</v>
      </c>
      <c r="F859">
        <v>2.5</v>
      </c>
      <c r="G859">
        <v>2010</v>
      </c>
      <c r="J859">
        <v>2500</v>
      </c>
    </row>
    <row r="860" spans="1:10" hidden="1" x14ac:dyDescent="0.25">
      <c r="A860" t="s">
        <v>17</v>
      </c>
      <c r="B860" t="s">
        <v>68</v>
      </c>
      <c r="C860" t="s">
        <v>281</v>
      </c>
      <c r="D860">
        <v>33933</v>
      </c>
      <c r="E860" t="s">
        <v>707</v>
      </c>
      <c r="F860">
        <v>2.5</v>
      </c>
      <c r="G860">
        <v>2010</v>
      </c>
      <c r="J860">
        <v>2500</v>
      </c>
    </row>
    <row r="861" spans="1:10" hidden="1" x14ac:dyDescent="0.25">
      <c r="A861" t="s">
        <v>17</v>
      </c>
      <c r="B861" t="s">
        <v>68</v>
      </c>
      <c r="C861" t="s">
        <v>282</v>
      </c>
      <c r="D861">
        <v>36896</v>
      </c>
      <c r="E861" t="s">
        <v>707</v>
      </c>
      <c r="F861">
        <v>2.5</v>
      </c>
      <c r="G861">
        <v>2010</v>
      </c>
      <c r="J861">
        <v>2500</v>
      </c>
    </row>
    <row r="862" spans="1:10" hidden="1" x14ac:dyDescent="0.25">
      <c r="A862" t="s">
        <v>17</v>
      </c>
      <c r="B862" t="s">
        <v>68</v>
      </c>
      <c r="C862" t="s">
        <v>277</v>
      </c>
      <c r="D862">
        <v>14469</v>
      </c>
      <c r="E862" t="s">
        <v>708</v>
      </c>
      <c r="F862">
        <v>18.457999999999998</v>
      </c>
      <c r="G862">
        <v>2011</v>
      </c>
      <c r="I862">
        <v>1</v>
      </c>
      <c r="J862">
        <v>3458</v>
      </c>
    </row>
    <row r="863" spans="1:10" hidden="1" x14ac:dyDescent="0.25">
      <c r="A863" t="s">
        <v>17</v>
      </c>
      <c r="B863" t="s">
        <v>68</v>
      </c>
      <c r="C863" t="s">
        <v>278</v>
      </c>
      <c r="D863">
        <v>16179</v>
      </c>
      <c r="E863" t="s">
        <v>707</v>
      </c>
      <c r="F863">
        <v>3.4580000000000002</v>
      </c>
      <c r="G863">
        <v>2011</v>
      </c>
      <c r="J863">
        <v>3458</v>
      </c>
    </row>
    <row r="864" spans="1:10" hidden="1" x14ac:dyDescent="0.25">
      <c r="A864" t="s">
        <v>17</v>
      </c>
      <c r="B864" t="s">
        <v>68</v>
      </c>
      <c r="C864" t="s">
        <v>279</v>
      </c>
      <c r="D864">
        <v>20978</v>
      </c>
      <c r="E864" t="s">
        <v>707</v>
      </c>
      <c r="F864">
        <v>3.4580000000000002</v>
      </c>
      <c r="G864">
        <v>2011</v>
      </c>
      <c r="J864">
        <v>3458</v>
      </c>
    </row>
    <row r="865" spans="1:28" hidden="1" x14ac:dyDescent="0.25">
      <c r="A865" t="s">
        <v>17</v>
      </c>
      <c r="B865" t="s">
        <v>68</v>
      </c>
      <c r="C865" t="s">
        <v>281</v>
      </c>
      <c r="D865">
        <v>33933</v>
      </c>
      <c r="E865" t="s">
        <v>707</v>
      </c>
      <c r="F865">
        <v>3.4580000000000002</v>
      </c>
      <c r="G865">
        <v>2011</v>
      </c>
      <c r="J865">
        <v>3458</v>
      </c>
    </row>
    <row r="866" spans="1:28" hidden="1" x14ac:dyDescent="0.25">
      <c r="A866" t="s">
        <v>17</v>
      </c>
      <c r="B866" t="s">
        <v>68</v>
      </c>
      <c r="C866" t="s">
        <v>282</v>
      </c>
      <c r="D866">
        <v>36896</v>
      </c>
      <c r="E866" t="s">
        <v>707</v>
      </c>
      <c r="F866">
        <v>3.4580000000000002</v>
      </c>
      <c r="G866">
        <v>2011</v>
      </c>
      <c r="J866">
        <v>3458</v>
      </c>
    </row>
    <row r="867" spans="1:28" hidden="1" x14ac:dyDescent="0.25">
      <c r="A867" t="s">
        <v>17</v>
      </c>
      <c r="B867" t="s">
        <v>68</v>
      </c>
      <c r="C867" t="s">
        <v>283</v>
      </c>
      <c r="D867">
        <v>39360</v>
      </c>
      <c r="E867" t="s">
        <v>707</v>
      </c>
      <c r="F867">
        <v>3.4580000000000002</v>
      </c>
      <c r="G867">
        <v>2011</v>
      </c>
      <c r="J867">
        <v>3458</v>
      </c>
    </row>
    <row r="868" spans="1:28" hidden="1" x14ac:dyDescent="0.25">
      <c r="A868" t="s">
        <v>17</v>
      </c>
      <c r="B868" t="s">
        <v>68</v>
      </c>
      <c r="C868" t="s">
        <v>284</v>
      </c>
      <c r="D868">
        <v>48507</v>
      </c>
      <c r="E868" t="s">
        <v>707</v>
      </c>
      <c r="F868">
        <v>3.4580000000000002</v>
      </c>
      <c r="G868">
        <v>2011</v>
      </c>
      <c r="J868">
        <v>3458</v>
      </c>
    </row>
    <row r="869" spans="1:28" hidden="1" x14ac:dyDescent="0.25">
      <c r="A869" t="s">
        <v>17</v>
      </c>
      <c r="B869" t="s">
        <v>68</v>
      </c>
      <c r="C869" t="s">
        <v>277</v>
      </c>
      <c r="D869">
        <v>14469</v>
      </c>
      <c r="E869" t="s">
        <v>708</v>
      </c>
      <c r="F869">
        <v>19.338000000000001</v>
      </c>
      <c r="G869">
        <v>2012</v>
      </c>
      <c r="I869">
        <v>1</v>
      </c>
      <c r="J869">
        <v>4338</v>
      </c>
    </row>
    <row r="870" spans="1:28" hidden="1" x14ac:dyDescent="0.25">
      <c r="A870" t="s">
        <v>17</v>
      </c>
      <c r="B870" t="s">
        <v>68</v>
      </c>
      <c r="C870" t="s">
        <v>278</v>
      </c>
      <c r="D870">
        <v>16179</v>
      </c>
      <c r="E870" t="s">
        <v>707</v>
      </c>
      <c r="F870">
        <v>4.3380000000000001</v>
      </c>
      <c r="G870">
        <v>2012</v>
      </c>
      <c r="J870">
        <v>4338</v>
      </c>
    </row>
    <row r="871" spans="1:28" hidden="1" x14ac:dyDescent="0.25">
      <c r="A871" t="s">
        <v>17</v>
      </c>
      <c r="B871" t="s">
        <v>68</v>
      </c>
      <c r="C871" t="s">
        <v>279</v>
      </c>
      <c r="D871">
        <v>20978</v>
      </c>
      <c r="E871" t="s">
        <v>707</v>
      </c>
      <c r="F871">
        <v>4.3380000000000001</v>
      </c>
      <c r="G871">
        <v>2012</v>
      </c>
      <c r="J871">
        <v>4338</v>
      </c>
    </row>
    <row r="872" spans="1:28" hidden="1" x14ac:dyDescent="0.25">
      <c r="A872" t="s">
        <v>17</v>
      </c>
      <c r="B872" t="s">
        <v>68</v>
      </c>
      <c r="C872" t="s">
        <v>281</v>
      </c>
      <c r="D872">
        <v>33933</v>
      </c>
      <c r="E872" t="s">
        <v>707</v>
      </c>
      <c r="F872">
        <v>4.3380000000000001</v>
      </c>
      <c r="G872">
        <v>2012</v>
      </c>
      <c r="J872">
        <v>4338</v>
      </c>
    </row>
    <row r="873" spans="1:28" hidden="1" x14ac:dyDescent="0.25">
      <c r="A873" t="s">
        <v>17</v>
      </c>
      <c r="B873" t="s">
        <v>68</v>
      </c>
      <c r="C873" t="s">
        <v>282</v>
      </c>
      <c r="D873">
        <v>36896</v>
      </c>
      <c r="E873" t="s">
        <v>707</v>
      </c>
      <c r="F873">
        <v>4.3380000000000001</v>
      </c>
      <c r="G873">
        <v>2012</v>
      </c>
      <c r="J873">
        <v>4338</v>
      </c>
    </row>
    <row r="874" spans="1:28" hidden="1" x14ac:dyDescent="0.25">
      <c r="A874" t="s">
        <v>17</v>
      </c>
      <c r="B874" t="s">
        <v>68</v>
      </c>
      <c r="C874" t="s">
        <v>283</v>
      </c>
      <c r="D874">
        <v>39360</v>
      </c>
      <c r="E874" t="s">
        <v>707</v>
      </c>
      <c r="F874">
        <v>4.3380000000000001</v>
      </c>
      <c r="G874">
        <v>2012</v>
      </c>
      <c r="J874">
        <v>4338</v>
      </c>
    </row>
    <row r="875" spans="1:28" hidden="1" x14ac:dyDescent="0.25">
      <c r="A875" t="s">
        <v>17</v>
      </c>
      <c r="B875" t="s">
        <v>68</v>
      </c>
      <c r="C875" t="s">
        <v>284</v>
      </c>
      <c r="D875">
        <v>48507</v>
      </c>
      <c r="E875" t="s">
        <v>707</v>
      </c>
      <c r="F875">
        <v>4.3380000000000001</v>
      </c>
      <c r="G875">
        <v>2012</v>
      </c>
      <c r="J875">
        <v>4338</v>
      </c>
    </row>
    <row r="876" spans="1:28" hidden="1" x14ac:dyDescent="0.25">
      <c r="A876" t="s">
        <v>17</v>
      </c>
      <c r="B876" t="s">
        <v>68</v>
      </c>
      <c r="C876" t="s">
        <v>277</v>
      </c>
      <c r="D876">
        <v>14469</v>
      </c>
      <c r="E876" t="s">
        <v>708</v>
      </c>
      <c r="F876">
        <v>31.965</v>
      </c>
      <c r="G876">
        <v>2013</v>
      </c>
      <c r="I876">
        <v>1</v>
      </c>
      <c r="J876">
        <v>4465</v>
      </c>
    </row>
    <row r="877" spans="1:28" hidden="1" x14ac:dyDescent="0.25">
      <c r="A877" t="s">
        <v>17</v>
      </c>
      <c r="B877" t="s">
        <v>68</v>
      </c>
      <c r="C877" t="s">
        <v>278</v>
      </c>
      <c r="D877">
        <v>16179</v>
      </c>
      <c r="E877" t="s">
        <v>707</v>
      </c>
      <c r="F877">
        <v>4.4649999999999999</v>
      </c>
      <c r="G877">
        <v>2013</v>
      </c>
      <c r="J877">
        <v>4465</v>
      </c>
    </row>
    <row r="878" spans="1:28" hidden="1" x14ac:dyDescent="0.25">
      <c r="A878" t="s">
        <v>17</v>
      </c>
      <c r="B878" t="s">
        <v>68</v>
      </c>
      <c r="C878" t="s">
        <v>281</v>
      </c>
      <c r="D878">
        <v>33933</v>
      </c>
      <c r="E878" t="s">
        <v>707</v>
      </c>
      <c r="F878">
        <v>4.4649999999999999</v>
      </c>
      <c r="G878">
        <v>2013</v>
      </c>
      <c r="J878">
        <v>4465</v>
      </c>
    </row>
    <row r="879" spans="1:28" hidden="1" x14ac:dyDescent="0.25">
      <c r="A879" t="s">
        <v>17</v>
      </c>
      <c r="B879" t="s">
        <v>68</v>
      </c>
      <c r="C879" t="s">
        <v>283</v>
      </c>
      <c r="D879">
        <v>39360</v>
      </c>
      <c r="E879" t="s">
        <v>707</v>
      </c>
      <c r="F879">
        <v>3.7</v>
      </c>
      <c r="G879">
        <v>2013</v>
      </c>
      <c r="J879">
        <v>3700</v>
      </c>
    </row>
    <row r="880" spans="1:28" hidden="1" x14ac:dyDescent="0.25">
      <c r="A880" t="s">
        <v>17</v>
      </c>
      <c r="B880" t="s">
        <v>68</v>
      </c>
      <c r="C880" t="s">
        <v>284</v>
      </c>
      <c r="D880">
        <v>48507</v>
      </c>
      <c r="E880" t="s">
        <v>707</v>
      </c>
      <c r="F880">
        <v>74.465000000000003</v>
      </c>
      <c r="G880">
        <v>2013</v>
      </c>
      <c r="J880">
        <v>4465</v>
      </c>
      <c r="AB880">
        <v>70000</v>
      </c>
    </row>
    <row r="881" spans="1:10" hidden="1" x14ac:dyDescent="0.25">
      <c r="A881" t="s">
        <v>17</v>
      </c>
      <c r="B881" t="s">
        <v>68</v>
      </c>
      <c r="C881" t="s">
        <v>285</v>
      </c>
      <c r="D881">
        <v>52139</v>
      </c>
      <c r="E881" t="s">
        <v>707</v>
      </c>
      <c r="F881">
        <v>4.4649999999999999</v>
      </c>
      <c r="G881">
        <v>2013</v>
      </c>
      <c r="J881">
        <v>4465</v>
      </c>
    </row>
    <row r="882" spans="1:10" hidden="1" x14ac:dyDescent="0.25">
      <c r="A882" t="s">
        <v>17</v>
      </c>
      <c r="B882" t="s">
        <v>68</v>
      </c>
      <c r="C882" t="s">
        <v>286</v>
      </c>
      <c r="D882">
        <v>52140</v>
      </c>
      <c r="E882" t="s">
        <v>707</v>
      </c>
      <c r="F882">
        <v>27.5</v>
      </c>
      <c r="G882">
        <v>2013</v>
      </c>
      <c r="I882">
        <v>1</v>
      </c>
      <c r="J882">
        <v>4465</v>
      </c>
    </row>
    <row r="883" spans="1:10" hidden="1" x14ac:dyDescent="0.25">
      <c r="A883" t="s">
        <v>17</v>
      </c>
      <c r="B883" t="s">
        <v>68</v>
      </c>
      <c r="C883" t="s">
        <v>287</v>
      </c>
      <c r="D883">
        <v>52141</v>
      </c>
      <c r="E883" t="s">
        <v>707</v>
      </c>
      <c r="F883">
        <v>4.4649999999999999</v>
      </c>
      <c r="G883">
        <v>2013</v>
      </c>
      <c r="J883">
        <v>4465</v>
      </c>
    </row>
    <row r="884" spans="1:10" hidden="1" x14ac:dyDescent="0.25">
      <c r="A884" t="s">
        <v>17</v>
      </c>
      <c r="B884" t="s">
        <v>68</v>
      </c>
      <c r="C884" t="s">
        <v>277</v>
      </c>
      <c r="D884">
        <v>14469</v>
      </c>
      <c r="E884" t="s">
        <v>708</v>
      </c>
      <c r="F884">
        <v>31.379000000000001</v>
      </c>
      <c r="G884">
        <v>2014</v>
      </c>
      <c r="I884">
        <v>1</v>
      </c>
      <c r="J884">
        <v>3879</v>
      </c>
    </row>
    <row r="885" spans="1:10" hidden="1" x14ac:dyDescent="0.25">
      <c r="A885" t="s">
        <v>17</v>
      </c>
      <c r="B885" t="s">
        <v>68</v>
      </c>
      <c r="C885" t="s">
        <v>278</v>
      </c>
      <c r="D885">
        <v>16179</v>
      </c>
      <c r="E885" t="s">
        <v>707</v>
      </c>
      <c r="F885">
        <v>3.879</v>
      </c>
      <c r="G885">
        <v>2014</v>
      </c>
      <c r="J885">
        <v>3879</v>
      </c>
    </row>
    <row r="886" spans="1:10" hidden="1" x14ac:dyDescent="0.25">
      <c r="A886" t="s">
        <v>17</v>
      </c>
      <c r="B886" t="s">
        <v>68</v>
      </c>
      <c r="C886" t="s">
        <v>281</v>
      </c>
      <c r="D886">
        <v>33933</v>
      </c>
      <c r="E886" t="s">
        <v>707</v>
      </c>
      <c r="F886">
        <v>10.754</v>
      </c>
      <c r="G886">
        <v>2014</v>
      </c>
      <c r="I886">
        <v>1</v>
      </c>
      <c r="J886">
        <v>3879</v>
      </c>
    </row>
    <row r="887" spans="1:10" hidden="1" x14ac:dyDescent="0.25">
      <c r="A887" t="s">
        <v>17</v>
      </c>
      <c r="B887" t="s">
        <v>68</v>
      </c>
      <c r="C887" t="s">
        <v>283</v>
      </c>
      <c r="D887">
        <v>39360</v>
      </c>
      <c r="E887" t="s">
        <v>707</v>
      </c>
      <c r="F887">
        <v>3.879</v>
      </c>
      <c r="G887">
        <v>2014</v>
      </c>
      <c r="J887">
        <v>3879</v>
      </c>
    </row>
    <row r="888" spans="1:10" hidden="1" x14ac:dyDescent="0.25">
      <c r="A888" t="s">
        <v>17</v>
      </c>
      <c r="B888" t="s">
        <v>68</v>
      </c>
      <c r="C888" t="s">
        <v>284</v>
      </c>
      <c r="D888">
        <v>48507</v>
      </c>
      <c r="E888" t="s">
        <v>707</v>
      </c>
      <c r="F888">
        <v>3.879</v>
      </c>
      <c r="G888">
        <v>2014</v>
      </c>
      <c r="J888">
        <v>3879</v>
      </c>
    </row>
    <row r="889" spans="1:10" hidden="1" x14ac:dyDescent="0.25">
      <c r="A889" t="s">
        <v>17</v>
      </c>
      <c r="B889" t="s">
        <v>68</v>
      </c>
      <c r="C889" t="s">
        <v>285</v>
      </c>
      <c r="D889">
        <v>52139</v>
      </c>
      <c r="E889" t="s">
        <v>707</v>
      </c>
      <c r="F889">
        <v>3.879</v>
      </c>
      <c r="G889">
        <v>2014</v>
      </c>
      <c r="J889">
        <v>3879</v>
      </c>
    </row>
    <row r="890" spans="1:10" hidden="1" x14ac:dyDescent="0.25">
      <c r="A890" t="s">
        <v>17</v>
      </c>
      <c r="B890" t="s">
        <v>68</v>
      </c>
      <c r="C890" t="s">
        <v>286</v>
      </c>
      <c r="D890">
        <v>52140</v>
      </c>
      <c r="E890" t="s">
        <v>707</v>
      </c>
      <c r="F890">
        <v>27.5</v>
      </c>
      <c r="G890">
        <v>2014</v>
      </c>
      <c r="I890">
        <v>1</v>
      </c>
      <c r="J890">
        <v>3879</v>
      </c>
    </row>
    <row r="891" spans="1:10" hidden="1" x14ac:dyDescent="0.25">
      <c r="A891" t="s">
        <v>17</v>
      </c>
      <c r="B891" t="s">
        <v>68</v>
      </c>
      <c r="C891" t="s">
        <v>287</v>
      </c>
      <c r="D891">
        <v>52141</v>
      </c>
      <c r="E891" t="s">
        <v>707</v>
      </c>
      <c r="F891">
        <v>3.879</v>
      </c>
      <c r="G891">
        <v>2014</v>
      </c>
      <c r="J891">
        <v>3879</v>
      </c>
    </row>
    <row r="892" spans="1:10" hidden="1" x14ac:dyDescent="0.25">
      <c r="A892" t="s">
        <v>17</v>
      </c>
      <c r="B892" t="s">
        <v>68</v>
      </c>
      <c r="C892" t="s">
        <v>288</v>
      </c>
      <c r="D892">
        <v>54241</v>
      </c>
      <c r="E892" t="s">
        <v>707</v>
      </c>
      <c r="F892">
        <v>3.879</v>
      </c>
      <c r="G892">
        <v>2014</v>
      </c>
      <c r="J892">
        <v>3879</v>
      </c>
    </row>
    <row r="893" spans="1:10" hidden="1" x14ac:dyDescent="0.25">
      <c r="A893" t="s">
        <v>17</v>
      </c>
      <c r="B893" t="s">
        <v>68</v>
      </c>
      <c r="C893" t="s">
        <v>277</v>
      </c>
      <c r="D893">
        <v>14469</v>
      </c>
      <c r="E893" t="s">
        <v>707</v>
      </c>
      <c r="F893">
        <v>318.12</v>
      </c>
      <c r="G893">
        <v>2015</v>
      </c>
      <c r="I893">
        <v>1</v>
      </c>
      <c r="J893">
        <v>3120</v>
      </c>
    </row>
    <row r="894" spans="1:10" hidden="1" x14ac:dyDescent="0.25">
      <c r="A894" t="s">
        <v>17</v>
      </c>
      <c r="B894" t="s">
        <v>68</v>
      </c>
      <c r="C894" t="s">
        <v>278</v>
      </c>
      <c r="D894">
        <v>16179</v>
      </c>
      <c r="E894" t="s">
        <v>707</v>
      </c>
      <c r="F894">
        <v>4.3789999999999996</v>
      </c>
      <c r="G894">
        <v>2015</v>
      </c>
      <c r="J894">
        <v>4379</v>
      </c>
    </row>
    <row r="895" spans="1:10" hidden="1" x14ac:dyDescent="0.25">
      <c r="A895" t="s">
        <v>17</v>
      </c>
      <c r="B895" t="s">
        <v>68</v>
      </c>
      <c r="C895" t="s">
        <v>281</v>
      </c>
      <c r="D895">
        <v>33933</v>
      </c>
      <c r="E895" t="s">
        <v>708</v>
      </c>
      <c r="F895">
        <v>31.879000000000001</v>
      </c>
      <c r="G895">
        <v>2015</v>
      </c>
      <c r="I895">
        <v>1</v>
      </c>
      <c r="J895">
        <v>4379</v>
      </c>
    </row>
    <row r="896" spans="1:10" hidden="1" x14ac:dyDescent="0.25">
      <c r="A896" t="s">
        <v>17</v>
      </c>
      <c r="B896" t="s">
        <v>68</v>
      </c>
      <c r="C896" t="s">
        <v>285</v>
      </c>
      <c r="D896">
        <v>52139</v>
      </c>
      <c r="E896" t="s">
        <v>707</v>
      </c>
      <c r="F896">
        <v>4.3789999999999996</v>
      </c>
      <c r="G896">
        <v>2015</v>
      </c>
      <c r="J896">
        <v>4379</v>
      </c>
    </row>
    <row r="897" spans="1:28" hidden="1" x14ac:dyDescent="0.25">
      <c r="A897" t="s">
        <v>17</v>
      </c>
      <c r="B897" t="s">
        <v>68</v>
      </c>
      <c r="C897" t="s">
        <v>286</v>
      </c>
      <c r="D897">
        <v>52140</v>
      </c>
      <c r="E897" t="s">
        <v>707</v>
      </c>
      <c r="F897">
        <v>27.5</v>
      </c>
      <c r="G897">
        <v>2015</v>
      </c>
      <c r="I897">
        <v>1</v>
      </c>
    </row>
    <row r="898" spans="1:28" hidden="1" x14ac:dyDescent="0.25">
      <c r="A898" t="s">
        <v>17</v>
      </c>
      <c r="B898" t="s">
        <v>68</v>
      </c>
      <c r="C898" t="s">
        <v>287</v>
      </c>
      <c r="D898">
        <v>52141</v>
      </c>
      <c r="E898" t="s">
        <v>707</v>
      </c>
      <c r="F898">
        <v>4.3789999999999996</v>
      </c>
      <c r="G898">
        <v>2015</v>
      </c>
      <c r="J898">
        <v>4379</v>
      </c>
    </row>
    <row r="899" spans="1:28" hidden="1" x14ac:dyDescent="0.25">
      <c r="A899" t="s">
        <v>17</v>
      </c>
      <c r="B899" t="s">
        <v>68</v>
      </c>
      <c r="C899" t="s">
        <v>288</v>
      </c>
      <c r="D899">
        <v>54241</v>
      </c>
      <c r="E899" t="s">
        <v>707</v>
      </c>
      <c r="F899">
        <v>4.3789999999999996</v>
      </c>
      <c r="G899">
        <v>2015</v>
      </c>
      <c r="J899">
        <v>4379</v>
      </c>
    </row>
    <row r="900" spans="1:28" hidden="1" x14ac:dyDescent="0.25">
      <c r="A900" t="s">
        <v>17</v>
      </c>
      <c r="B900" t="s">
        <v>68</v>
      </c>
      <c r="C900" t="s">
        <v>278</v>
      </c>
      <c r="D900">
        <v>16179</v>
      </c>
      <c r="E900" t="s">
        <v>708</v>
      </c>
      <c r="F900">
        <v>2.7330000000000001</v>
      </c>
      <c r="G900">
        <v>2016</v>
      </c>
      <c r="J900">
        <v>2733</v>
      </c>
    </row>
    <row r="901" spans="1:28" hidden="1" x14ac:dyDescent="0.25">
      <c r="A901" t="s">
        <v>17</v>
      </c>
      <c r="B901" t="s">
        <v>68</v>
      </c>
      <c r="C901" t="s">
        <v>281</v>
      </c>
      <c r="D901">
        <v>33933</v>
      </c>
      <c r="E901" t="s">
        <v>707</v>
      </c>
      <c r="F901">
        <v>11.9</v>
      </c>
      <c r="G901">
        <v>2016</v>
      </c>
      <c r="I901">
        <v>1</v>
      </c>
      <c r="J901">
        <v>2733</v>
      </c>
    </row>
    <row r="902" spans="1:28" hidden="1" x14ac:dyDescent="0.25">
      <c r="A902" t="s">
        <v>17</v>
      </c>
      <c r="B902" t="s">
        <v>68</v>
      </c>
      <c r="C902" t="s">
        <v>286</v>
      </c>
      <c r="D902">
        <v>52140</v>
      </c>
      <c r="E902" t="s">
        <v>707</v>
      </c>
      <c r="F902">
        <v>27.5</v>
      </c>
      <c r="G902">
        <v>2016</v>
      </c>
      <c r="I902">
        <v>1</v>
      </c>
    </row>
    <row r="903" spans="1:28" hidden="1" x14ac:dyDescent="0.25">
      <c r="A903" t="s">
        <v>17</v>
      </c>
      <c r="B903" t="s">
        <v>68</v>
      </c>
      <c r="C903" t="s">
        <v>287</v>
      </c>
      <c r="D903">
        <v>52141</v>
      </c>
      <c r="E903" t="s">
        <v>707</v>
      </c>
      <c r="F903">
        <v>2.7330000000000001</v>
      </c>
      <c r="G903">
        <v>2016</v>
      </c>
      <c r="J903">
        <v>2733</v>
      </c>
    </row>
    <row r="904" spans="1:28" hidden="1" x14ac:dyDescent="0.25">
      <c r="A904" t="s">
        <v>17</v>
      </c>
      <c r="B904" t="s">
        <v>68</v>
      </c>
      <c r="C904" t="s">
        <v>289</v>
      </c>
      <c r="D904">
        <v>54239</v>
      </c>
      <c r="E904" t="s">
        <v>707</v>
      </c>
      <c r="F904">
        <v>0</v>
      </c>
      <c r="G904">
        <v>2016</v>
      </c>
    </row>
    <row r="905" spans="1:28" hidden="1" x14ac:dyDescent="0.25">
      <c r="A905" t="s">
        <v>17</v>
      </c>
      <c r="B905" t="s">
        <v>68</v>
      </c>
      <c r="C905" t="s">
        <v>290</v>
      </c>
      <c r="D905">
        <v>54240</v>
      </c>
      <c r="E905" t="s">
        <v>707</v>
      </c>
      <c r="F905">
        <v>108.139</v>
      </c>
      <c r="G905">
        <v>2016</v>
      </c>
      <c r="AB905">
        <f>80000+28139</f>
        <v>108139</v>
      </c>
    </row>
    <row r="906" spans="1:28" hidden="1" x14ac:dyDescent="0.25">
      <c r="A906" t="s">
        <v>17</v>
      </c>
      <c r="B906" t="s">
        <v>68</v>
      </c>
      <c r="C906" t="s">
        <v>288</v>
      </c>
      <c r="D906">
        <v>54241</v>
      </c>
      <c r="E906" t="s">
        <v>707</v>
      </c>
      <c r="F906">
        <v>2.7330000000000001</v>
      </c>
      <c r="G906">
        <v>2016</v>
      </c>
      <c r="J906">
        <v>2733</v>
      </c>
    </row>
    <row r="907" spans="1:28" hidden="1" x14ac:dyDescent="0.25">
      <c r="A907" t="s">
        <v>17</v>
      </c>
      <c r="B907" t="s">
        <v>68</v>
      </c>
      <c r="C907" t="s">
        <v>278</v>
      </c>
      <c r="D907">
        <v>16179</v>
      </c>
      <c r="E907" t="s">
        <v>708</v>
      </c>
      <c r="F907">
        <v>2.83</v>
      </c>
      <c r="G907">
        <v>2017</v>
      </c>
      <c r="J907">
        <v>2830</v>
      </c>
    </row>
    <row r="908" spans="1:28" hidden="1" x14ac:dyDescent="0.25">
      <c r="A908" t="s">
        <v>17</v>
      </c>
      <c r="B908" t="s">
        <v>68</v>
      </c>
      <c r="C908" t="s">
        <v>287</v>
      </c>
      <c r="D908">
        <v>52141</v>
      </c>
      <c r="E908" t="s">
        <v>707</v>
      </c>
      <c r="F908">
        <v>2.83</v>
      </c>
      <c r="G908">
        <v>2017</v>
      </c>
      <c r="J908">
        <v>2830</v>
      </c>
    </row>
    <row r="909" spans="1:28" hidden="1" x14ac:dyDescent="0.25">
      <c r="A909" t="s">
        <v>17</v>
      </c>
      <c r="B909" t="s">
        <v>68</v>
      </c>
      <c r="C909" t="s">
        <v>289</v>
      </c>
      <c r="D909">
        <v>54239</v>
      </c>
      <c r="E909" t="s">
        <v>707</v>
      </c>
      <c r="F909">
        <v>0</v>
      </c>
      <c r="G909">
        <v>2017</v>
      </c>
    </row>
    <row r="910" spans="1:28" hidden="1" x14ac:dyDescent="0.25">
      <c r="A910" t="s">
        <v>17</v>
      </c>
      <c r="B910" t="s">
        <v>68</v>
      </c>
      <c r="C910" t="s">
        <v>290</v>
      </c>
      <c r="D910">
        <v>54240</v>
      </c>
      <c r="E910" t="s">
        <v>707</v>
      </c>
      <c r="F910">
        <v>5.351</v>
      </c>
      <c r="G910">
        <v>2017</v>
      </c>
      <c r="AB910">
        <v>5351</v>
      </c>
    </row>
    <row r="911" spans="1:28" hidden="1" x14ac:dyDescent="0.25">
      <c r="A911" t="s">
        <v>17</v>
      </c>
      <c r="B911" t="s">
        <v>68</v>
      </c>
      <c r="C911" t="s">
        <v>291</v>
      </c>
      <c r="D911">
        <v>57594</v>
      </c>
      <c r="E911" t="s">
        <v>707</v>
      </c>
      <c r="F911">
        <v>2.83</v>
      </c>
      <c r="G911">
        <v>2017</v>
      </c>
      <c r="J911">
        <v>2830</v>
      </c>
    </row>
    <row r="912" spans="1:28" hidden="1" x14ac:dyDescent="0.25">
      <c r="A912" t="s">
        <v>17</v>
      </c>
      <c r="B912" t="s">
        <v>68</v>
      </c>
      <c r="C912" t="s">
        <v>278</v>
      </c>
      <c r="D912">
        <v>16179</v>
      </c>
      <c r="E912" t="s">
        <v>708</v>
      </c>
      <c r="F912">
        <v>2.8439999999999999</v>
      </c>
      <c r="G912">
        <v>2018</v>
      </c>
      <c r="J912">
        <v>2844</v>
      </c>
    </row>
    <row r="913" spans="1:52" hidden="1" x14ac:dyDescent="0.25">
      <c r="A913" t="s">
        <v>17</v>
      </c>
      <c r="B913" t="s">
        <v>68</v>
      </c>
      <c r="C913" t="s">
        <v>286</v>
      </c>
      <c r="D913">
        <v>52140</v>
      </c>
      <c r="E913" t="s">
        <v>707</v>
      </c>
      <c r="F913">
        <v>0</v>
      </c>
      <c r="G913">
        <v>2018</v>
      </c>
    </row>
    <row r="914" spans="1:52" hidden="1" x14ac:dyDescent="0.25">
      <c r="A914" t="s">
        <v>17</v>
      </c>
      <c r="B914" t="s">
        <v>68</v>
      </c>
      <c r="C914" t="s">
        <v>287</v>
      </c>
      <c r="D914">
        <v>52141</v>
      </c>
      <c r="E914" t="s">
        <v>707</v>
      </c>
      <c r="F914">
        <v>2.8439999999999999</v>
      </c>
      <c r="G914">
        <v>2018</v>
      </c>
      <c r="J914">
        <v>2844</v>
      </c>
    </row>
    <row r="915" spans="1:52" hidden="1" x14ac:dyDescent="0.25">
      <c r="A915" t="s">
        <v>17</v>
      </c>
      <c r="B915" t="s">
        <v>68</v>
      </c>
      <c r="C915" t="s">
        <v>289</v>
      </c>
      <c r="D915">
        <v>54239</v>
      </c>
      <c r="E915" t="s">
        <v>707</v>
      </c>
      <c r="F915">
        <v>0</v>
      </c>
      <c r="G915">
        <v>2018</v>
      </c>
    </row>
    <row r="916" spans="1:52" hidden="1" x14ac:dyDescent="0.25">
      <c r="A916" t="s">
        <v>17</v>
      </c>
      <c r="B916" t="s">
        <v>68</v>
      </c>
      <c r="C916" t="s">
        <v>290</v>
      </c>
      <c r="D916">
        <v>54240</v>
      </c>
      <c r="E916" t="s">
        <v>707</v>
      </c>
      <c r="F916">
        <v>2.8439999999999999</v>
      </c>
      <c r="G916">
        <v>2018</v>
      </c>
      <c r="J916">
        <v>2844</v>
      </c>
    </row>
    <row r="917" spans="1:52" s="4" customFormat="1" hidden="1" x14ac:dyDescent="0.25">
      <c r="A917" s="4" t="s">
        <v>18</v>
      </c>
      <c r="B917" s="4" t="s">
        <v>69</v>
      </c>
      <c r="C917" s="4" t="s">
        <v>292</v>
      </c>
      <c r="D917" s="4">
        <v>7464</v>
      </c>
      <c r="E917" s="4" t="s">
        <v>708</v>
      </c>
      <c r="F917" s="4">
        <v>0</v>
      </c>
      <c r="G917" s="4">
        <v>2006</v>
      </c>
      <c r="AZ917" s="7"/>
    </row>
    <row r="918" spans="1:52" hidden="1" x14ac:dyDescent="0.25">
      <c r="A918" t="s">
        <v>18</v>
      </c>
      <c r="B918" t="s">
        <v>69</v>
      </c>
      <c r="C918" t="s">
        <v>293</v>
      </c>
      <c r="D918">
        <v>9279</v>
      </c>
      <c r="E918" t="s">
        <v>707</v>
      </c>
      <c r="F918">
        <v>0</v>
      </c>
      <c r="G918">
        <v>2006</v>
      </c>
    </row>
    <row r="919" spans="1:52" hidden="1" x14ac:dyDescent="0.25">
      <c r="A919" t="s">
        <v>18</v>
      </c>
      <c r="B919" t="s">
        <v>69</v>
      </c>
      <c r="C919" t="s">
        <v>294</v>
      </c>
      <c r="D919">
        <v>17809</v>
      </c>
      <c r="E919" t="s">
        <v>707</v>
      </c>
      <c r="F919">
        <v>0</v>
      </c>
      <c r="G919">
        <v>2006</v>
      </c>
    </row>
    <row r="920" spans="1:52" hidden="1" x14ac:dyDescent="0.25">
      <c r="A920" t="s">
        <v>18</v>
      </c>
      <c r="B920" t="s">
        <v>69</v>
      </c>
      <c r="C920" t="s">
        <v>295</v>
      </c>
      <c r="D920">
        <v>20369</v>
      </c>
      <c r="E920" t="s">
        <v>707</v>
      </c>
      <c r="F920">
        <v>0</v>
      </c>
      <c r="G920">
        <v>2006</v>
      </c>
    </row>
    <row r="921" spans="1:52" hidden="1" x14ac:dyDescent="0.25">
      <c r="A921" t="s">
        <v>18</v>
      </c>
      <c r="B921" t="s">
        <v>69</v>
      </c>
      <c r="C921" t="s">
        <v>296</v>
      </c>
      <c r="D921">
        <v>22942</v>
      </c>
      <c r="E921" t="s">
        <v>707</v>
      </c>
      <c r="F921">
        <v>0</v>
      </c>
      <c r="G921">
        <v>2006</v>
      </c>
    </row>
    <row r="922" spans="1:52" hidden="1" x14ac:dyDescent="0.25">
      <c r="A922" t="s">
        <v>18</v>
      </c>
      <c r="B922" t="s">
        <v>69</v>
      </c>
      <c r="C922" t="s">
        <v>292</v>
      </c>
      <c r="D922">
        <v>7464</v>
      </c>
      <c r="E922" t="s">
        <v>708</v>
      </c>
      <c r="F922">
        <v>28694.402999999998</v>
      </c>
      <c r="G922">
        <v>2007</v>
      </c>
      <c r="H922">
        <v>1</v>
      </c>
    </row>
    <row r="923" spans="1:52" hidden="1" x14ac:dyDescent="0.25">
      <c r="A923" t="s">
        <v>18</v>
      </c>
      <c r="B923" t="s">
        <v>69</v>
      </c>
      <c r="C923" t="s">
        <v>293</v>
      </c>
      <c r="D923">
        <v>9279</v>
      </c>
      <c r="E923" t="s">
        <v>707</v>
      </c>
      <c r="F923">
        <v>10.11</v>
      </c>
      <c r="G923">
        <v>2007</v>
      </c>
      <c r="L923">
        <v>2765</v>
      </c>
      <c r="M923">
        <f>3865+3480</f>
        <v>7345</v>
      </c>
    </row>
    <row r="924" spans="1:52" hidden="1" x14ac:dyDescent="0.25">
      <c r="A924" t="s">
        <v>18</v>
      </c>
      <c r="B924" t="s">
        <v>69</v>
      </c>
      <c r="C924" t="s">
        <v>294</v>
      </c>
      <c r="D924">
        <v>17809</v>
      </c>
      <c r="E924" t="s">
        <v>707</v>
      </c>
      <c r="F924">
        <v>1.417</v>
      </c>
      <c r="G924">
        <v>2007</v>
      </c>
      <c r="L924">
        <v>1417</v>
      </c>
    </row>
    <row r="925" spans="1:52" hidden="1" x14ac:dyDescent="0.25">
      <c r="A925" t="s">
        <v>18</v>
      </c>
      <c r="B925" t="s">
        <v>69</v>
      </c>
      <c r="C925" t="s">
        <v>295</v>
      </c>
      <c r="D925">
        <v>20369</v>
      </c>
      <c r="E925" t="s">
        <v>707</v>
      </c>
      <c r="F925">
        <v>2.2290000000000001</v>
      </c>
      <c r="G925">
        <v>2007</v>
      </c>
      <c r="L925">
        <v>2229</v>
      </c>
    </row>
    <row r="926" spans="1:52" hidden="1" x14ac:dyDescent="0.25">
      <c r="A926" t="s">
        <v>18</v>
      </c>
      <c r="B926" t="s">
        <v>69</v>
      </c>
      <c r="C926" t="s">
        <v>296</v>
      </c>
      <c r="D926">
        <v>22942</v>
      </c>
      <c r="E926" t="s">
        <v>707</v>
      </c>
      <c r="F926">
        <v>1.552</v>
      </c>
      <c r="G926">
        <v>2007</v>
      </c>
      <c r="L926">
        <v>1552</v>
      </c>
    </row>
    <row r="927" spans="1:52" hidden="1" x14ac:dyDescent="0.25">
      <c r="A927" t="s">
        <v>18</v>
      </c>
      <c r="B927" t="s">
        <v>69</v>
      </c>
      <c r="C927" t="s">
        <v>297</v>
      </c>
      <c r="D927">
        <v>25170</v>
      </c>
      <c r="E927" t="s">
        <v>707</v>
      </c>
      <c r="F927">
        <v>5.9260000000000002</v>
      </c>
      <c r="G927">
        <v>2007</v>
      </c>
      <c r="L927">
        <v>4596</v>
      </c>
      <c r="AY927">
        <v>1330</v>
      </c>
    </row>
    <row r="928" spans="1:52" hidden="1" x14ac:dyDescent="0.25">
      <c r="A928" t="s">
        <v>18</v>
      </c>
      <c r="B928" t="s">
        <v>69</v>
      </c>
      <c r="C928" t="s">
        <v>298</v>
      </c>
      <c r="D928">
        <v>35924</v>
      </c>
      <c r="E928" t="s">
        <v>707</v>
      </c>
      <c r="F928">
        <v>503.58699999999999</v>
      </c>
      <c r="G928">
        <v>2007</v>
      </c>
      <c r="H928">
        <v>1</v>
      </c>
    </row>
    <row r="929" spans="1:44" hidden="1" x14ac:dyDescent="0.25">
      <c r="A929" t="s">
        <v>18</v>
      </c>
      <c r="B929" t="s">
        <v>69</v>
      </c>
      <c r="C929" t="s">
        <v>293</v>
      </c>
      <c r="D929">
        <v>9279</v>
      </c>
      <c r="E929" t="s">
        <v>708</v>
      </c>
      <c r="F929">
        <v>17.268999999999998</v>
      </c>
      <c r="G929">
        <v>2008</v>
      </c>
      <c r="J929">
        <v>4731</v>
      </c>
      <c r="L929">
        <v>5293</v>
      </c>
      <c r="M929">
        <f>3380+3865</f>
        <v>7245</v>
      </c>
    </row>
    <row r="930" spans="1:44" hidden="1" x14ac:dyDescent="0.25">
      <c r="A930" t="s">
        <v>18</v>
      </c>
      <c r="B930" t="s">
        <v>69</v>
      </c>
      <c r="C930" t="s">
        <v>294</v>
      </c>
      <c r="D930">
        <v>17809</v>
      </c>
      <c r="E930" t="s">
        <v>707</v>
      </c>
      <c r="F930">
        <v>6.3879999999999999</v>
      </c>
      <c r="G930">
        <v>2008</v>
      </c>
      <c r="J930">
        <v>4154</v>
      </c>
      <c r="L930">
        <v>2234</v>
      </c>
    </row>
    <row r="931" spans="1:44" hidden="1" x14ac:dyDescent="0.25">
      <c r="A931" t="s">
        <v>18</v>
      </c>
      <c r="B931" t="s">
        <v>69</v>
      </c>
      <c r="C931" t="s">
        <v>295</v>
      </c>
      <c r="D931">
        <v>20369</v>
      </c>
      <c r="E931" t="s">
        <v>707</v>
      </c>
      <c r="F931">
        <v>5.7060000000000004</v>
      </c>
      <c r="G931">
        <v>2008</v>
      </c>
      <c r="J931">
        <v>3462</v>
      </c>
      <c r="L931">
        <v>2244</v>
      </c>
    </row>
    <row r="932" spans="1:44" hidden="1" x14ac:dyDescent="0.25">
      <c r="A932" t="s">
        <v>18</v>
      </c>
      <c r="B932" t="s">
        <v>69</v>
      </c>
      <c r="C932" t="s">
        <v>296</v>
      </c>
      <c r="D932">
        <v>22942</v>
      </c>
      <c r="E932" t="s">
        <v>707</v>
      </c>
      <c r="F932">
        <v>5.7590000000000003</v>
      </c>
      <c r="G932">
        <v>2008</v>
      </c>
      <c r="J932">
        <v>3231</v>
      </c>
      <c r="L932">
        <v>2528</v>
      </c>
    </row>
    <row r="933" spans="1:44" hidden="1" x14ac:dyDescent="0.25">
      <c r="A933" t="s">
        <v>18</v>
      </c>
      <c r="B933" t="s">
        <v>69</v>
      </c>
      <c r="C933" t="s">
        <v>297</v>
      </c>
      <c r="D933">
        <v>25170</v>
      </c>
      <c r="E933" t="s">
        <v>707</v>
      </c>
      <c r="F933">
        <v>6.5910000000000002</v>
      </c>
      <c r="G933">
        <v>2008</v>
      </c>
      <c r="J933">
        <v>1731</v>
      </c>
      <c r="L933">
        <v>4860</v>
      </c>
    </row>
    <row r="934" spans="1:44" hidden="1" x14ac:dyDescent="0.25">
      <c r="A934" t="s">
        <v>18</v>
      </c>
      <c r="B934" t="s">
        <v>69</v>
      </c>
      <c r="C934" t="s">
        <v>293</v>
      </c>
      <c r="D934">
        <v>9279</v>
      </c>
      <c r="E934" t="s">
        <v>708</v>
      </c>
      <c r="F934">
        <v>24.841999999999999</v>
      </c>
      <c r="G934">
        <v>2009</v>
      </c>
      <c r="J934">
        <v>11969</v>
      </c>
      <c r="L934">
        <v>6073</v>
      </c>
      <c r="M934">
        <f>3865+2935</f>
        <v>6800</v>
      </c>
    </row>
    <row r="935" spans="1:44" hidden="1" x14ac:dyDescent="0.25">
      <c r="A935" t="s">
        <v>18</v>
      </c>
      <c r="B935" t="s">
        <v>69</v>
      </c>
      <c r="C935" t="s">
        <v>294</v>
      </c>
      <c r="D935">
        <v>17809</v>
      </c>
      <c r="E935" t="s">
        <v>707</v>
      </c>
      <c r="F935">
        <v>14.974</v>
      </c>
      <c r="G935">
        <v>2009</v>
      </c>
      <c r="J935">
        <v>12546</v>
      </c>
      <c r="L935">
        <v>2428</v>
      </c>
    </row>
    <row r="936" spans="1:44" hidden="1" x14ac:dyDescent="0.25">
      <c r="A936" t="s">
        <v>18</v>
      </c>
      <c r="B936" t="s">
        <v>69</v>
      </c>
      <c r="C936" t="s">
        <v>296</v>
      </c>
      <c r="D936">
        <v>22942</v>
      </c>
      <c r="E936" t="s">
        <v>707</v>
      </c>
      <c r="F936">
        <v>16.033999999999999</v>
      </c>
      <c r="G936">
        <v>2009</v>
      </c>
      <c r="J936">
        <v>13469</v>
      </c>
      <c r="L936">
        <v>2564</v>
      </c>
    </row>
    <row r="937" spans="1:44" hidden="1" x14ac:dyDescent="0.25">
      <c r="A937" t="s">
        <v>18</v>
      </c>
      <c r="B937" t="s">
        <v>69</v>
      </c>
      <c r="C937" t="s">
        <v>297</v>
      </c>
      <c r="D937">
        <v>25170</v>
      </c>
      <c r="E937" t="s">
        <v>707</v>
      </c>
      <c r="F937">
        <v>5.1689999999999996</v>
      </c>
      <c r="G937">
        <v>2009</v>
      </c>
      <c r="J937">
        <v>5169</v>
      </c>
    </row>
    <row r="938" spans="1:44" hidden="1" x14ac:dyDescent="0.25">
      <c r="A938" t="s">
        <v>18</v>
      </c>
      <c r="B938" t="s">
        <v>69</v>
      </c>
      <c r="C938" t="s">
        <v>299</v>
      </c>
      <c r="D938">
        <v>38390</v>
      </c>
      <c r="E938" t="s">
        <v>707</v>
      </c>
      <c r="F938">
        <v>68.209999999999994</v>
      </c>
      <c r="G938">
        <v>2009</v>
      </c>
      <c r="J938">
        <v>7896</v>
      </c>
      <c r="L938">
        <v>623</v>
      </c>
      <c r="AE938">
        <f>59691-21181</f>
        <v>38510</v>
      </c>
      <c r="AR938">
        <v>21181</v>
      </c>
    </row>
    <row r="939" spans="1:44" hidden="1" x14ac:dyDescent="0.25">
      <c r="A939" t="s">
        <v>18</v>
      </c>
      <c r="B939" t="s">
        <v>69</v>
      </c>
      <c r="C939" t="s">
        <v>300</v>
      </c>
      <c r="D939">
        <v>38391</v>
      </c>
      <c r="E939" t="s">
        <v>707</v>
      </c>
      <c r="F939">
        <v>15.177</v>
      </c>
      <c r="G939">
        <v>2009</v>
      </c>
      <c r="J939">
        <v>11057</v>
      </c>
      <c r="L939">
        <v>4120</v>
      </c>
    </row>
    <row r="940" spans="1:44" hidden="1" x14ac:dyDescent="0.25">
      <c r="A940" t="s">
        <v>18</v>
      </c>
      <c r="B940" t="s">
        <v>69</v>
      </c>
      <c r="C940" t="s">
        <v>301</v>
      </c>
      <c r="D940">
        <v>44743</v>
      </c>
      <c r="E940" t="s">
        <v>707</v>
      </c>
      <c r="F940">
        <v>8.7200000000000006</v>
      </c>
      <c r="G940">
        <v>2009</v>
      </c>
      <c r="J940">
        <v>8048</v>
      </c>
      <c r="L940">
        <v>626</v>
      </c>
      <c r="M940">
        <f>2846+979</f>
        <v>3825</v>
      </c>
    </row>
    <row r="941" spans="1:44" hidden="1" x14ac:dyDescent="0.25">
      <c r="A941" t="s">
        <v>18</v>
      </c>
      <c r="B941" t="s">
        <v>69</v>
      </c>
      <c r="C941" t="s">
        <v>293</v>
      </c>
      <c r="D941">
        <v>9279</v>
      </c>
      <c r="E941" t="s">
        <v>708</v>
      </c>
      <c r="F941">
        <v>14.013</v>
      </c>
      <c r="G941">
        <v>2010</v>
      </c>
      <c r="L941">
        <v>7648</v>
      </c>
      <c r="M941">
        <f>3865+2500</f>
        <v>6365</v>
      </c>
    </row>
    <row r="942" spans="1:44" hidden="1" x14ac:dyDescent="0.25">
      <c r="A942" t="s">
        <v>18</v>
      </c>
      <c r="B942" t="s">
        <v>69</v>
      </c>
      <c r="C942" t="s">
        <v>294</v>
      </c>
      <c r="D942">
        <v>17809</v>
      </c>
      <c r="E942" t="s">
        <v>707</v>
      </c>
      <c r="F942">
        <v>8.1950000000000003</v>
      </c>
      <c r="G942">
        <v>2010</v>
      </c>
      <c r="L942">
        <v>2853</v>
      </c>
      <c r="M942">
        <f>2517+963</f>
        <v>3480</v>
      </c>
    </row>
    <row r="943" spans="1:44" hidden="1" x14ac:dyDescent="0.25">
      <c r="A943" t="s">
        <v>18</v>
      </c>
      <c r="B943" t="s">
        <v>69</v>
      </c>
      <c r="C943" t="s">
        <v>296</v>
      </c>
      <c r="D943">
        <v>22942</v>
      </c>
      <c r="E943" t="s">
        <v>707</v>
      </c>
      <c r="F943">
        <v>8.7219999999999995</v>
      </c>
      <c r="G943">
        <v>2010</v>
      </c>
      <c r="L943">
        <v>3326</v>
      </c>
      <c r="M943">
        <f>3071+963</f>
        <v>4034</v>
      </c>
    </row>
    <row r="944" spans="1:44" hidden="1" x14ac:dyDescent="0.25">
      <c r="A944" t="s">
        <v>18</v>
      </c>
      <c r="B944" t="s">
        <v>69</v>
      </c>
      <c r="C944" t="s">
        <v>299</v>
      </c>
      <c r="D944">
        <v>38390</v>
      </c>
      <c r="E944" t="s">
        <v>707</v>
      </c>
      <c r="F944">
        <v>51.892000000000003</v>
      </c>
      <c r="G944">
        <v>2010</v>
      </c>
      <c r="L944">
        <v>1003</v>
      </c>
      <c r="M944">
        <f>2842+2500</f>
        <v>5342</v>
      </c>
      <c r="AE944">
        <f>47409-16388</f>
        <v>31021</v>
      </c>
      <c r="AR944">
        <v>16388</v>
      </c>
    </row>
    <row r="945" spans="1:44" hidden="1" x14ac:dyDescent="0.25">
      <c r="A945" t="s">
        <v>18</v>
      </c>
      <c r="B945" t="s">
        <v>69</v>
      </c>
      <c r="C945" t="s">
        <v>302</v>
      </c>
      <c r="D945">
        <v>42945</v>
      </c>
      <c r="E945" t="s">
        <v>707</v>
      </c>
      <c r="F945">
        <v>6.3940000000000001</v>
      </c>
      <c r="G945">
        <v>2010</v>
      </c>
      <c r="L945">
        <v>2360</v>
      </c>
      <c r="M945">
        <f>2896+2500</f>
        <v>5396</v>
      </c>
    </row>
    <row r="946" spans="1:44" hidden="1" x14ac:dyDescent="0.25">
      <c r="A946" t="s">
        <v>18</v>
      </c>
      <c r="B946" t="s">
        <v>69</v>
      </c>
      <c r="C946" t="s">
        <v>301</v>
      </c>
      <c r="D946">
        <v>44743</v>
      </c>
      <c r="E946" t="s">
        <v>707</v>
      </c>
      <c r="F946">
        <v>5.26</v>
      </c>
      <c r="G946">
        <v>2010</v>
      </c>
      <c r="L946">
        <v>1451</v>
      </c>
      <c r="M946">
        <f>2846+963</f>
        <v>3809</v>
      </c>
    </row>
    <row r="947" spans="1:44" hidden="1" x14ac:dyDescent="0.25">
      <c r="A947" t="s">
        <v>18</v>
      </c>
      <c r="B947" t="s">
        <v>69</v>
      </c>
      <c r="C947" t="s">
        <v>293</v>
      </c>
      <c r="D947">
        <v>9279</v>
      </c>
      <c r="E947" t="s">
        <v>708</v>
      </c>
      <c r="F947">
        <v>19.887</v>
      </c>
      <c r="G947">
        <v>2011</v>
      </c>
      <c r="J947">
        <v>9601</v>
      </c>
      <c r="L947">
        <v>4021</v>
      </c>
      <c r="M947">
        <f>3865+2400</f>
        <v>6265</v>
      </c>
    </row>
    <row r="948" spans="1:44" hidden="1" x14ac:dyDescent="0.25">
      <c r="A948" t="s">
        <v>18</v>
      </c>
      <c r="B948" t="s">
        <v>69</v>
      </c>
      <c r="C948" t="s">
        <v>294</v>
      </c>
      <c r="D948">
        <v>17809</v>
      </c>
      <c r="E948" t="s">
        <v>707</v>
      </c>
      <c r="F948">
        <v>19.244</v>
      </c>
      <c r="G948">
        <v>2011</v>
      </c>
      <c r="J948">
        <v>5732</v>
      </c>
      <c r="L948">
        <v>8269</v>
      </c>
      <c r="M948">
        <f>2842+2400</f>
        <v>5242</v>
      </c>
    </row>
    <row r="949" spans="1:44" hidden="1" x14ac:dyDescent="0.25">
      <c r="A949" t="s">
        <v>18</v>
      </c>
      <c r="B949" t="s">
        <v>69</v>
      </c>
      <c r="C949" t="s">
        <v>296</v>
      </c>
      <c r="D949">
        <v>22942</v>
      </c>
      <c r="E949" t="s">
        <v>707</v>
      </c>
      <c r="F949">
        <v>12.925000000000001</v>
      </c>
      <c r="G949">
        <v>2011</v>
      </c>
      <c r="J949">
        <v>4458</v>
      </c>
      <c r="L949">
        <v>3171</v>
      </c>
      <c r="M949">
        <f>2896+2400</f>
        <v>5296</v>
      </c>
    </row>
    <row r="950" spans="1:44" hidden="1" x14ac:dyDescent="0.25">
      <c r="A950" t="s">
        <v>18</v>
      </c>
      <c r="B950" t="s">
        <v>69</v>
      </c>
      <c r="C950" t="s">
        <v>299</v>
      </c>
      <c r="D950">
        <v>38390</v>
      </c>
      <c r="E950" t="s">
        <v>707</v>
      </c>
      <c r="F950">
        <v>35.697000000000003</v>
      </c>
      <c r="G950">
        <v>2011</v>
      </c>
      <c r="J950">
        <v>2229</v>
      </c>
      <c r="M950">
        <f>5034+893</f>
        <v>5927</v>
      </c>
      <c r="AE950">
        <f>27541-11033</f>
        <v>16508</v>
      </c>
      <c r="AR950">
        <v>11033</v>
      </c>
    </row>
    <row r="951" spans="1:44" hidden="1" x14ac:dyDescent="0.25">
      <c r="A951" t="s">
        <v>18</v>
      </c>
      <c r="B951" t="s">
        <v>69</v>
      </c>
      <c r="C951" t="s">
        <v>302</v>
      </c>
      <c r="D951">
        <v>42945</v>
      </c>
      <c r="E951" t="s">
        <v>707</v>
      </c>
      <c r="F951">
        <v>15.175000000000001</v>
      </c>
      <c r="G951">
        <v>2011</v>
      </c>
      <c r="J951">
        <v>6831</v>
      </c>
      <c r="L951">
        <v>2508</v>
      </c>
      <c r="M951">
        <f>4944+893</f>
        <v>5837</v>
      </c>
    </row>
    <row r="952" spans="1:44" hidden="1" x14ac:dyDescent="0.25">
      <c r="A952" t="s">
        <v>18</v>
      </c>
      <c r="B952" t="s">
        <v>69</v>
      </c>
      <c r="C952" t="s">
        <v>301</v>
      </c>
      <c r="D952">
        <v>44743</v>
      </c>
      <c r="E952" t="s">
        <v>707</v>
      </c>
      <c r="F952">
        <v>10.256</v>
      </c>
      <c r="G952">
        <v>2011</v>
      </c>
      <c r="J952">
        <v>4523</v>
      </c>
      <c r="L952">
        <v>1995</v>
      </c>
      <c r="M952">
        <f>2846+893</f>
        <v>3739</v>
      </c>
    </row>
    <row r="953" spans="1:44" hidden="1" x14ac:dyDescent="0.25">
      <c r="A953" t="s">
        <v>18</v>
      </c>
      <c r="B953" t="s">
        <v>69</v>
      </c>
      <c r="C953" t="s">
        <v>293</v>
      </c>
      <c r="D953">
        <v>9279</v>
      </c>
      <c r="E953" t="s">
        <v>708</v>
      </c>
      <c r="F953">
        <v>15.965</v>
      </c>
      <c r="G953">
        <v>2012</v>
      </c>
      <c r="J953">
        <v>10000</v>
      </c>
      <c r="M953">
        <f>3865+2100</f>
        <v>5965</v>
      </c>
    </row>
    <row r="954" spans="1:44" hidden="1" x14ac:dyDescent="0.25">
      <c r="A954" t="s">
        <v>18</v>
      </c>
      <c r="B954" t="s">
        <v>69</v>
      </c>
      <c r="C954" t="s">
        <v>294</v>
      </c>
      <c r="D954">
        <v>17809</v>
      </c>
      <c r="E954" t="s">
        <v>707</v>
      </c>
      <c r="F954">
        <v>20.623000000000001</v>
      </c>
      <c r="G954">
        <v>2012</v>
      </c>
      <c r="J954">
        <v>6045</v>
      </c>
      <c r="L954">
        <v>9637</v>
      </c>
      <c r="M954">
        <f>2842+2100</f>
        <v>4942</v>
      </c>
    </row>
    <row r="955" spans="1:44" hidden="1" x14ac:dyDescent="0.25">
      <c r="A955" t="s">
        <v>18</v>
      </c>
      <c r="B955" t="s">
        <v>69</v>
      </c>
      <c r="C955" t="s">
        <v>299</v>
      </c>
      <c r="D955">
        <v>38390</v>
      </c>
      <c r="E955" t="s">
        <v>707</v>
      </c>
      <c r="F955">
        <v>27.943000000000001</v>
      </c>
      <c r="G955">
        <v>2012</v>
      </c>
      <c r="J955">
        <v>2761</v>
      </c>
      <c r="M955">
        <f>5034+793</f>
        <v>5827</v>
      </c>
      <c r="AE955">
        <f>28906-9553</f>
        <v>19353</v>
      </c>
      <c r="AR955">
        <v>9553</v>
      </c>
    </row>
    <row r="956" spans="1:44" hidden="1" x14ac:dyDescent="0.25">
      <c r="A956" t="s">
        <v>18</v>
      </c>
      <c r="B956" t="s">
        <v>69</v>
      </c>
      <c r="C956" t="s">
        <v>302</v>
      </c>
      <c r="D956">
        <v>42945</v>
      </c>
      <c r="E956" t="s">
        <v>707</v>
      </c>
      <c r="F956">
        <v>23.106999999999999</v>
      </c>
      <c r="G956">
        <v>2012</v>
      </c>
      <c r="J956">
        <v>9480</v>
      </c>
      <c r="L956">
        <v>7889</v>
      </c>
      <c r="M956">
        <f>4944+795</f>
        <v>5739</v>
      </c>
    </row>
    <row r="957" spans="1:44" hidden="1" x14ac:dyDescent="0.25">
      <c r="A957" t="s">
        <v>18</v>
      </c>
      <c r="B957" t="s">
        <v>69</v>
      </c>
      <c r="C957" t="s">
        <v>301</v>
      </c>
      <c r="D957">
        <v>44743</v>
      </c>
      <c r="E957" t="s">
        <v>707</v>
      </c>
      <c r="F957">
        <v>15.026</v>
      </c>
      <c r="G957">
        <v>2012</v>
      </c>
      <c r="J957">
        <v>4885</v>
      </c>
      <c r="L957">
        <v>6501</v>
      </c>
      <c r="M957">
        <f>2846+795</f>
        <v>3641</v>
      </c>
    </row>
    <row r="958" spans="1:44" hidden="1" x14ac:dyDescent="0.25">
      <c r="A958" t="s">
        <v>18</v>
      </c>
      <c r="B958" t="s">
        <v>69</v>
      </c>
      <c r="C958" t="s">
        <v>303</v>
      </c>
      <c r="D958">
        <v>46342</v>
      </c>
      <c r="E958" t="s">
        <v>707</v>
      </c>
      <c r="F958">
        <v>14.961</v>
      </c>
      <c r="G958">
        <v>2012</v>
      </c>
      <c r="J958">
        <v>4825</v>
      </c>
      <c r="L958">
        <v>5431</v>
      </c>
      <c r="M958">
        <f>3924+795</f>
        <v>4719</v>
      </c>
    </row>
    <row r="959" spans="1:44" hidden="1" x14ac:dyDescent="0.25">
      <c r="A959" t="s">
        <v>18</v>
      </c>
      <c r="B959" t="s">
        <v>69</v>
      </c>
      <c r="C959" t="s">
        <v>304</v>
      </c>
      <c r="D959">
        <v>46343</v>
      </c>
      <c r="E959" t="s">
        <v>707</v>
      </c>
      <c r="F959">
        <v>16.995999999999999</v>
      </c>
      <c r="G959">
        <v>2012</v>
      </c>
      <c r="J959">
        <v>8848</v>
      </c>
      <c r="L959">
        <v>4304</v>
      </c>
      <c r="M959">
        <f>3048+795</f>
        <v>3843</v>
      </c>
    </row>
    <row r="960" spans="1:44" hidden="1" x14ac:dyDescent="0.25">
      <c r="A960" t="s">
        <v>18</v>
      </c>
      <c r="B960" t="s">
        <v>69</v>
      </c>
      <c r="C960" t="s">
        <v>293</v>
      </c>
      <c r="D960">
        <v>9279</v>
      </c>
      <c r="E960" t="s">
        <v>708</v>
      </c>
      <c r="F960">
        <v>16.518000000000001</v>
      </c>
      <c r="G960">
        <v>2013</v>
      </c>
      <c r="J960">
        <v>10200</v>
      </c>
      <c r="M960">
        <f>3865+2453</f>
        <v>6318</v>
      </c>
    </row>
    <row r="961" spans="1:13" hidden="1" x14ac:dyDescent="0.25">
      <c r="A961" t="s">
        <v>18</v>
      </c>
      <c r="B961" t="s">
        <v>69</v>
      </c>
      <c r="C961" t="s">
        <v>299</v>
      </c>
      <c r="D961">
        <v>38390</v>
      </c>
      <c r="E961" t="s">
        <v>707</v>
      </c>
      <c r="F961">
        <v>8.2159999999999993</v>
      </c>
      <c r="G961">
        <v>2013</v>
      </c>
      <c r="J961">
        <v>2369</v>
      </c>
      <c r="M961">
        <f>5034+813</f>
        <v>5847</v>
      </c>
    </row>
    <row r="962" spans="1:13" hidden="1" x14ac:dyDescent="0.25">
      <c r="A962" t="s">
        <v>18</v>
      </c>
      <c r="B962" t="s">
        <v>69</v>
      </c>
      <c r="C962" t="s">
        <v>302</v>
      </c>
      <c r="D962">
        <v>42945</v>
      </c>
      <c r="E962" t="s">
        <v>707</v>
      </c>
      <c r="F962">
        <v>24.285</v>
      </c>
      <c r="G962">
        <v>2013</v>
      </c>
      <c r="J962">
        <v>10464</v>
      </c>
      <c r="L962">
        <v>8064</v>
      </c>
      <c r="M962">
        <f>4944+813</f>
        <v>5757</v>
      </c>
    </row>
    <row r="963" spans="1:13" hidden="1" x14ac:dyDescent="0.25">
      <c r="A963" t="s">
        <v>18</v>
      </c>
      <c r="B963" t="s">
        <v>69</v>
      </c>
      <c r="C963" t="s">
        <v>301</v>
      </c>
      <c r="D963">
        <v>44743</v>
      </c>
      <c r="E963" t="s">
        <v>707</v>
      </c>
      <c r="F963">
        <v>12.183</v>
      </c>
      <c r="G963">
        <v>2013</v>
      </c>
      <c r="J963">
        <v>5046</v>
      </c>
      <c r="L963">
        <v>3478</v>
      </c>
      <c r="M963">
        <f>2846+813</f>
        <v>3659</v>
      </c>
    </row>
    <row r="964" spans="1:13" hidden="1" x14ac:dyDescent="0.25">
      <c r="A964" t="s">
        <v>18</v>
      </c>
      <c r="B964" t="s">
        <v>69</v>
      </c>
      <c r="C964" t="s">
        <v>304</v>
      </c>
      <c r="D964">
        <v>46343</v>
      </c>
      <c r="E964" t="s">
        <v>707</v>
      </c>
      <c r="F964">
        <v>19.675999999999998</v>
      </c>
      <c r="G964">
        <v>2013</v>
      </c>
      <c r="J964">
        <v>10438</v>
      </c>
      <c r="L964">
        <v>4681</v>
      </c>
      <c r="M964">
        <f>3744+813</f>
        <v>4557</v>
      </c>
    </row>
    <row r="965" spans="1:13" hidden="1" x14ac:dyDescent="0.25">
      <c r="A965" t="s">
        <v>18</v>
      </c>
      <c r="B965" t="s">
        <v>69</v>
      </c>
      <c r="C965" t="s">
        <v>305</v>
      </c>
      <c r="D965">
        <v>47881</v>
      </c>
      <c r="E965" t="s">
        <v>707</v>
      </c>
      <c r="F965">
        <v>0.81299999999999994</v>
      </c>
      <c r="G965">
        <v>2013</v>
      </c>
      <c r="M965">
        <v>813</v>
      </c>
    </row>
    <row r="966" spans="1:13" hidden="1" x14ac:dyDescent="0.25">
      <c r="A966" t="s">
        <v>18</v>
      </c>
      <c r="B966" t="s">
        <v>69</v>
      </c>
      <c r="C966" t="s">
        <v>293</v>
      </c>
      <c r="D966">
        <v>9279</v>
      </c>
      <c r="E966" t="s">
        <v>708</v>
      </c>
      <c r="F966">
        <v>16.105</v>
      </c>
      <c r="G966">
        <v>2014</v>
      </c>
      <c r="J966">
        <v>10400</v>
      </c>
      <c r="M966">
        <f>3865+1840</f>
        <v>5705</v>
      </c>
    </row>
    <row r="967" spans="1:13" hidden="1" x14ac:dyDescent="0.25">
      <c r="A967" t="s">
        <v>18</v>
      </c>
      <c r="B967" t="s">
        <v>69</v>
      </c>
      <c r="C967" t="s">
        <v>299</v>
      </c>
      <c r="D967">
        <v>38390</v>
      </c>
      <c r="E967" t="s">
        <v>707</v>
      </c>
      <c r="F967">
        <v>8.1059999999999999</v>
      </c>
      <c r="G967">
        <v>2014</v>
      </c>
      <c r="J967">
        <v>2462</v>
      </c>
      <c r="M967">
        <f>5034+610</f>
        <v>5644</v>
      </c>
    </row>
    <row r="968" spans="1:13" hidden="1" x14ac:dyDescent="0.25">
      <c r="A968" t="s">
        <v>18</v>
      </c>
      <c r="B968" t="s">
        <v>69</v>
      </c>
      <c r="C968" t="s">
        <v>302</v>
      </c>
      <c r="D968">
        <v>42945</v>
      </c>
      <c r="E968" t="s">
        <v>707</v>
      </c>
      <c r="F968">
        <v>19.693000000000001</v>
      </c>
      <c r="G968">
        <v>2014</v>
      </c>
      <c r="J968">
        <v>10700</v>
      </c>
      <c r="L968">
        <v>3439</v>
      </c>
      <c r="M968">
        <f>4944+610</f>
        <v>5554</v>
      </c>
    </row>
    <row r="969" spans="1:13" hidden="1" x14ac:dyDescent="0.25">
      <c r="A969" t="s">
        <v>18</v>
      </c>
      <c r="B969" t="s">
        <v>69</v>
      </c>
      <c r="C969" t="s">
        <v>301</v>
      </c>
      <c r="D969">
        <v>44743</v>
      </c>
      <c r="E969" t="s">
        <v>707</v>
      </c>
      <c r="F969">
        <v>11.112</v>
      </c>
      <c r="G969">
        <v>2014</v>
      </c>
      <c r="J969">
        <v>4920</v>
      </c>
      <c r="L969">
        <v>2736</v>
      </c>
      <c r="M969">
        <f>2846+610</f>
        <v>3456</v>
      </c>
    </row>
    <row r="970" spans="1:13" hidden="1" x14ac:dyDescent="0.25">
      <c r="A970" t="s">
        <v>18</v>
      </c>
      <c r="B970" t="s">
        <v>69</v>
      </c>
      <c r="C970" t="s">
        <v>304</v>
      </c>
      <c r="D970">
        <v>46343</v>
      </c>
      <c r="E970" t="s">
        <v>707</v>
      </c>
      <c r="F970">
        <v>16.963000000000001</v>
      </c>
      <c r="G970">
        <v>2014</v>
      </c>
      <c r="J970">
        <v>10637</v>
      </c>
      <c r="L970">
        <v>1972</v>
      </c>
      <c r="M970">
        <f>3744+610</f>
        <v>4354</v>
      </c>
    </row>
    <row r="971" spans="1:13" hidden="1" x14ac:dyDescent="0.25">
      <c r="A971" t="s">
        <v>18</v>
      </c>
      <c r="B971" t="s">
        <v>69</v>
      </c>
      <c r="C971" t="s">
        <v>306</v>
      </c>
      <c r="D971">
        <v>53622</v>
      </c>
      <c r="E971" t="s">
        <v>707</v>
      </c>
      <c r="F971">
        <v>13.183999999999999</v>
      </c>
      <c r="G971">
        <v>2014</v>
      </c>
      <c r="J971">
        <v>7338</v>
      </c>
      <c r="M971">
        <v>5237</v>
      </c>
    </row>
    <row r="972" spans="1:13" hidden="1" x14ac:dyDescent="0.25">
      <c r="A972" t="s">
        <v>18</v>
      </c>
      <c r="B972" t="s">
        <v>69</v>
      </c>
      <c r="C972" t="s">
        <v>293</v>
      </c>
      <c r="D972">
        <v>9279</v>
      </c>
      <c r="E972" t="s">
        <v>708</v>
      </c>
      <c r="F972">
        <v>15.845000000000001</v>
      </c>
      <c r="G972">
        <v>2015</v>
      </c>
      <c r="J972">
        <v>10400</v>
      </c>
      <c r="M972">
        <v>5445</v>
      </c>
    </row>
    <row r="973" spans="1:13" hidden="1" x14ac:dyDescent="0.25">
      <c r="A973" t="s">
        <v>18</v>
      </c>
      <c r="B973" t="s">
        <v>69</v>
      </c>
      <c r="C973" t="s">
        <v>299</v>
      </c>
      <c r="D973">
        <v>38390</v>
      </c>
      <c r="E973" t="s">
        <v>707</v>
      </c>
      <c r="F973">
        <v>6.2619999999999996</v>
      </c>
      <c r="G973">
        <v>2015</v>
      </c>
      <c r="J973">
        <v>2462</v>
      </c>
      <c r="M973">
        <v>3800</v>
      </c>
    </row>
    <row r="974" spans="1:13" hidden="1" x14ac:dyDescent="0.25">
      <c r="A974" t="s">
        <v>18</v>
      </c>
      <c r="B974" t="s">
        <v>69</v>
      </c>
      <c r="C974" t="s">
        <v>302</v>
      </c>
      <c r="D974">
        <v>42945</v>
      </c>
      <c r="E974" t="s">
        <v>707</v>
      </c>
      <c r="F974">
        <v>19.004000000000001</v>
      </c>
      <c r="G974">
        <v>2015</v>
      </c>
      <c r="J974">
        <v>10400</v>
      </c>
      <c r="L974">
        <v>4625</v>
      </c>
      <c r="M974">
        <v>3979</v>
      </c>
    </row>
    <row r="975" spans="1:13" hidden="1" x14ac:dyDescent="0.25">
      <c r="A975" t="s">
        <v>18</v>
      </c>
      <c r="B975" t="s">
        <v>69</v>
      </c>
      <c r="C975" t="s">
        <v>301</v>
      </c>
      <c r="D975">
        <v>44743</v>
      </c>
      <c r="E975" t="s">
        <v>707</v>
      </c>
      <c r="F975">
        <v>11.711</v>
      </c>
      <c r="G975">
        <v>2015</v>
      </c>
      <c r="J975">
        <v>4920</v>
      </c>
      <c r="L975">
        <v>3644</v>
      </c>
      <c r="M975">
        <v>3147</v>
      </c>
    </row>
    <row r="976" spans="1:13" hidden="1" x14ac:dyDescent="0.25">
      <c r="A976" t="s">
        <v>18</v>
      </c>
      <c r="B976" t="s">
        <v>69</v>
      </c>
      <c r="C976" t="s">
        <v>304</v>
      </c>
      <c r="D976">
        <v>46343</v>
      </c>
      <c r="E976" t="s">
        <v>707</v>
      </c>
      <c r="F976">
        <v>15.617000000000001</v>
      </c>
      <c r="G976">
        <v>2015</v>
      </c>
      <c r="J976">
        <v>10400</v>
      </c>
      <c r="L976">
        <v>2674</v>
      </c>
      <c r="M976">
        <v>2543</v>
      </c>
    </row>
    <row r="977" spans="1:13" hidden="1" x14ac:dyDescent="0.25">
      <c r="A977" t="s">
        <v>18</v>
      </c>
      <c r="B977" t="s">
        <v>69</v>
      </c>
      <c r="C977" t="s">
        <v>306</v>
      </c>
      <c r="D977">
        <v>53622</v>
      </c>
      <c r="E977" t="s">
        <v>707</v>
      </c>
      <c r="F977">
        <v>11.53</v>
      </c>
      <c r="G977">
        <v>2015</v>
      </c>
      <c r="J977">
        <v>7162</v>
      </c>
      <c r="M977">
        <v>4368</v>
      </c>
    </row>
    <row r="978" spans="1:13" hidden="1" x14ac:dyDescent="0.25">
      <c r="A978" t="s">
        <v>18</v>
      </c>
      <c r="B978" t="s">
        <v>69</v>
      </c>
      <c r="C978" t="s">
        <v>293</v>
      </c>
      <c r="D978">
        <v>9279</v>
      </c>
      <c r="E978" t="s">
        <v>708</v>
      </c>
      <c r="F978">
        <v>16.045000000000002</v>
      </c>
      <c r="G978">
        <v>2016</v>
      </c>
      <c r="J978">
        <v>10600</v>
      </c>
      <c r="M978">
        <v>5445</v>
      </c>
    </row>
    <row r="979" spans="1:13" hidden="1" x14ac:dyDescent="0.25">
      <c r="A979" t="s">
        <v>18</v>
      </c>
      <c r="B979" t="s">
        <v>69</v>
      </c>
      <c r="C979" t="s">
        <v>299</v>
      </c>
      <c r="D979">
        <v>38390</v>
      </c>
      <c r="E979" t="s">
        <v>707</v>
      </c>
      <c r="F979">
        <v>6.2610000000000001</v>
      </c>
      <c r="G979">
        <v>2016</v>
      </c>
      <c r="J979">
        <v>2462</v>
      </c>
      <c r="M979">
        <v>3800</v>
      </c>
    </row>
    <row r="980" spans="1:13" hidden="1" x14ac:dyDescent="0.25">
      <c r="A980" t="s">
        <v>18</v>
      </c>
      <c r="B980" t="s">
        <v>69</v>
      </c>
      <c r="C980" t="s">
        <v>302</v>
      </c>
      <c r="D980">
        <v>42945</v>
      </c>
      <c r="E980" t="s">
        <v>707</v>
      </c>
      <c r="F980">
        <v>14.579000000000001</v>
      </c>
      <c r="G980">
        <v>2016</v>
      </c>
      <c r="J980">
        <v>10600</v>
      </c>
      <c r="M980">
        <v>3979</v>
      </c>
    </row>
    <row r="981" spans="1:13" hidden="1" x14ac:dyDescent="0.25">
      <c r="A981" t="s">
        <v>18</v>
      </c>
      <c r="B981" t="s">
        <v>69</v>
      </c>
      <c r="C981" t="s">
        <v>301</v>
      </c>
      <c r="D981">
        <v>44743</v>
      </c>
      <c r="E981" t="s">
        <v>707</v>
      </c>
      <c r="F981">
        <v>8.2989999999999995</v>
      </c>
      <c r="G981">
        <v>2016</v>
      </c>
      <c r="J981">
        <v>5153</v>
      </c>
      <c r="M981">
        <v>3147</v>
      </c>
    </row>
    <row r="982" spans="1:13" hidden="1" x14ac:dyDescent="0.25">
      <c r="A982" t="s">
        <v>18</v>
      </c>
      <c r="B982" t="s">
        <v>69</v>
      </c>
      <c r="C982" t="s">
        <v>306</v>
      </c>
      <c r="D982">
        <v>53622</v>
      </c>
      <c r="E982" t="s">
        <v>707</v>
      </c>
      <c r="F982">
        <v>11.798999999999999</v>
      </c>
      <c r="G982">
        <v>2016</v>
      </c>
      <c r="J982">
        <v>7431</v>
      </c>
      <c r="M982">
        <v>4368</v>
      </c>
    </row>
    <row r="983" spans="1:13" hidden="1" x14ac:dyDescent="0.25">
      <c r="A983" t="s">
        <v>18</v>
      </c>
      <c r="B983" t="s">
        <v>69</v>
      </c>
      <c r="C983" t="s">
        <v>293</v>
      </c>
      <c r="D983">
        <v>9279</v>
      </c>
      <c r="E983" t="s">
        <v>708</v>
      </c>
      <c r="F983">
        <v>16.045000000000002</v>
      </c>
      <c r="G983">
        <v>2017</v>
      </c>
      <c r="J983">
        <v>10800</v>
      </c>
      <c r="M983">
        <v>5445</v>
      </c>
    </row>
    <row r="984" spans="1:13" hidden="1" x14ac:dyDescent="0.25">
      <c r="A984" t="s">
        <v>18</v>
      </c>
      <c r="B984" t="s">
        <v>69</v>
      </c>
      <c r="C984" t="s">
        <v>299</v>
      </c>
      <c r="D984">
        <v>38390</v>
      </c>
      <c r="E984" t="s">
        <v>707</v>
      </c>
      <c r="F984">
        <v>6.4770000000000003</v>
      </c>
      <c r="G984">
        <v>2017</v>
      </c>
      <c r="J984">
        <v>2677</v>
      </c>
      <c r="M984">
        <v>3800</v>
      </c>
    </row>
    <row r="985" spans="1:13" hidden="1" x14ac:dyDescent="0.25">
      <c r="A985" t="s">
        <v>18</v>
      </c>
      <c r="B985" t="s">
        <v>69</v>
      </c>
      <c r="C985" t="s">
        <v>302</v>
      </c>
      <c r="D985">
        <v>42945</v>
      </c>
      <c r="E985" t="s">
        <v>707</v>
      </c>
      <c r="F985">
        <v>14.843</v>
      </c>
      <c r="G985">
        <v>2017</v>
      </c>
      <c r="J985">
        <v>10865</v>
      </c>
      <c r="M985">
        <v>3979</v>
      </c>
    </row>
    <row r="986" spans="1:13" hidden="1" x14ac:dyDescent="0.25">
      <c r="A986" t="s">
        <v>18</v>
      </c>
      <c r="B986" t="s">
        <v>69</v>
      </c>
      <c r="C986" t="s">
        <v>306</v>
      </c>
      <c r="D986">
        <v>53622</v>
      </c>
      <c r="E986" t="s">
        <v>707</v>
      </c>
      <c r="F986">
        <v>12.321999999999999</v>
      </c>
      <c r="G986">
        <v>2017</v>
      </c>
      <c r="J986">
        <v>7954</v>
      </c>
      <c r="M986">
        <v>4368</v>
      </c>
    </row>
    <row r="987" spans="1:13" hidden="1" x14ac:dyDescent="0.25">
      <c r="A987" t="s">
        <v>18</v>
      </c>
      <c r="B987" t="s">
        <v>69</v>
      </c>
      <c r="C987" t="s">
        <v>307</v>
      </c>
      <c r="D987">
        <v>55617</v>
      </c>
      <c r="E987" t="s">
        <v>707</v>
      </c>
      <c r="F987">
        <v>10.747999999999999</v>
      </c>
      <c r="G987">
        <v>2017</v>
      </c>
      <c r="J987">
        <v>10748</v>
      </c>
    </row>
    <row r="988" spans="1:13" hidden="1" x14ac:dyDescent="0.25">
      <c r="A988" t="s">
        <v>18</v>
      </c>
      <c r="B988" t="s">
        <v>69</v>
      </c>
      <c r="C988" t="s">
        <v>293</v>
      </c>
      <c r="D988">
        <v>9279</v>
      </c>
      <c r="E988" t="s">
        <v>708</v>
      </c>
      <c r="F988">
        <v>15.083</v>
      </c>
      <c r="G988">
        <v>2018</v>
      </c>
      <c r="J988">
        <v>11000</v>
      </c>
      <c r="M988">
        <v>4083</v>
      </c>
    </row>
    <row r="989" spans="1:13" hidden="1" x14ac:dyDescent="0.25">
      <c r="A989" t="s">
        <v>18</v>
      </c>
      <c r="B989" t="s">
        <v>69</v>
      </c>
      <c r="C989" t="s">
        <v>299</v>
      </c>
      <c r="D989">
        <v>38390</v>
      </c>
      <c r="E989" t="s">
        <v>707</v>
      </c>
      <c r="F989">
        <v>5.65</v>
      </c>
      <c r="G989">
        <v>2018</v>
      </c>
      <c r="J989">
        <v>2800</v>
      </c>
      <c r="M989">
        <v>2850</v>
      </c>
    </row>
    <row r="990" spans="1:13" hidden="1" x14ac:dyDescent="0.25">
      <c r="A990" t="s">
        <v>18</v>
      </c>
      <c r="B990" t="s">
        <v>69</v>
      </c>
      <c r="C990" t="s">
        <v>302</v>
      </c>
      <c r="D990">
        <v>42945</v>
      </c>
      <c r="E990" t="s">
        <v>707</v>
      </c>
      <c r="F990">
        <v>13.98</v>
      </c>
      <c r="G990">
        <v>2018</v>
      </c>
      <c r="J990">
        <v>10996</v>
      </c>
      <c r="M990">
        <v>2984</v>
      </c>
    </row>
    <row r="991" spans="1:13" hidden="1" x14ac:dyDescent="0.25">
      <c r="A991" t="s">
        <v>18</v>
      </c>
      <c r="B991" t="s">
        <v>69</v>
      </c>
      <c r="C991" t="s">
        <v>306</v>
      </c>
      <c r="D991">
        <v>53622</v>
      </c>
      <c r="E991" t="s">
        <v>707</v>
      </c>
      <c r="F991">
        <v>10.991</v>
      </c>
      <c r="G991">
        <v>2018</v>
      </c>
      <c r="J991">
        <v>7715</v>
      </c>
      <c r="M991">
        <v>3276</v>
      </c>
    </row>
    <row r="992" spans="1:13" hidden="1" x14ac:dyDescent="0.25">
      <c r="A992" t="s">
        <v>18</v>
      </c>
      <c r="B992" t="s">
        <v>69</v>
      </c>
      <c r="C992" t="s">
        <v>307</v>
      </c>
      <c r="D992">
        <v>55617</v>
      </c>
      <c r="E992" t="s">
        <v>707</v>
      </c>
      <c r="F992">
        <v>11.574999999999999</v>
      </c>
      <c r="G992">
        <v>2018</v>
      </c>
      <c r="J992">
        <v>11575</v>
      </c>
    </row>
    <row r="993" spans="1:52" s="4" customFormat="1" hidden="1" x14ac:dyDescent="0.25">
      <c r="A993" s="4" t="s">
        <v>19</v>
      </c>
      <c r="B993" s="4" t="s">
        <v>70</v>
      </c>
      <c r="C993" s="4" t="s">
        <v>308</v>
      </c>
      <c r="D993" s="4">
        <v>26142</v>
      </c>
      <c r="E993" s="4" t="s">
        <v>707</v>
      </c>
      <c r="F993" s="4">
        <v>13.393000000000001</v>
      </c>
      <c r="G993" s="4">
        <v>2006</v>
      </c>
      <c r="J993" s="4">
        <v>4356</v>
      </c>
      <c r="L993" s="4">
        <v>1018</v>
      </c>
      <c r="M993" s="4">
        <v>8019</v>
      </c>
      <c r="AZ993" s="7"/>
    </row>
    <row r="994" spans="1:52" hidden="1" x14ac:dyDescent="0.25">
      <c r="A994" t="s">
        <v>19</v>
      </c>
      <c r="B994" t="s">
        <v>70</v>
      </c>
      <c r="C994" t="s">
        <v>309</v>
      </c>
      <c r="D994">
        <v>29258</v>
      </c>
      <c r="E994" t="s">
        <v>707</v>
      </c>
      <c r="F994">
        <v>340.89499999999998</v>
      </c>
      <c r="G994">
        <v>2006</v>
      </c>
      <c r="J994">
        <v>3231</v>
      </c>
      <c r="L994">
        <v>876</v>
      </c>
      <c r="M994">
        <f>7570+9218</f>
        <v>16788</v>
      </c>
      <c r="AO994">
        <v>60000</v>
      </c>
      <c r="AX994">
        <v>260000</v>
      </c>
    </row>
    <row r="995" spans="1:52" hidden="1" x14ac:dyDescent="0.25">
      <c r="A995" t="s">
        <v>19</v>
      </c>
      <c r="B995" t="s">
        <v>70</v>
      </c>
      <c r="C995" t="s">
        <v>310</v>
      </c>
      <c r="D995">
        <v>29259</v>
      </c>
      <c r="E995" t="s">
        <v>707</v>
      </c>
      <c r="F995">
        <v>216.542</v>
      </c>
      <c r="G995">
        <v>2006</v>
      </c>
      <c r="J995">
        <v>6600</v>
      </c>
      <c r="L995">
        <v>1725</v>
      </c>
      <c r="M995">
        <v>15717</v>
      </c>
      <c r="AX995">
        <v>192500</v>
      </c>
    </row>
    <row r="996" spans="1:52" hidden="1" x14ac:dyDescent="0.25">
      <c r="A996" t="s">
        <v>19</v>
      </c>
      <c r="B996" t="s">
        <v>70</v>
      </c>
      <c r="C996" t="s">
        <v>311</v>
      </c>
      <c r="D996">
        <v>31294</v>
      </c>
      <c r="E996" t="s">
        <v>708</v>
      </c>
      <c r="F996">
        <v>312.06099999999998</v>
      </c>
      <c r="G996">
        <v>2006</v>
      </c>
      <c r="L996">
        <v>1726</v>
      </c>
      <c r="M996">
        <v>15717</v>
      </c>
      <c r="Q996">
        <v>3709</v>
      </c>
      <c r="X996">
        <v>23042</v>
      </c>
      <c r="AB996">
        <v>231899</v>
      </c>
      <c r="AP996">
        <v>35968</v>
      </c>
    </row>
    <row r="997" spans="1:52" hidden="1" x14ac:dyDescent="0.25">
      <c r="A997" t="s">
        <v>19</v>
      </c>
      <c r="B997" t="s">
        <v>70</v>
      </c>
      <c r="C997" t="s">
        <v>312</v>
      </c>
      <c r="D997">
        <v>33317</v>
      </c>
      <c r="E997" t="s">
        <v>707</v>
      </c>
      <c r="F997">
        <v>162.32400000000001</v>
      </c>
      <c r="G997">
        <v>2006</v>
      </c>
      <c r="L997">
        <v>283</v>
      </c>
      <c r="M997">
        <v>2743</v>
      </c>
      <c r="AB997">
        <v>147874</v>
      </c>
      <c r="AD997">
        <v>7200</v>
      </c>
      <c r="AP997">
        <v>4224</v>
      </c>
    </row>
    <row r="998" spans="1:52" hidden="1" x14ac:dyDescent="0.25">
      <c r="A998" t="s">
        <v>19</v>
      </c>
      <c r="B998" t="s">
        <v>70</v>
      </c>
      <c r="C998" t="s">
        <v>313</v>
      </c>
      <c r="D998">
        <v>33318</v>
      </c>
      <c r="E998" t="s">
        <v>707</v>
      </c>
      <c r="F998">
        <v>7.4969999999999999</v>
      </c>
      <c r="G998">
        <v>2006</v>
      </c>
      <c r="L998">
        <v>708</v>
      </c>
      <c r="M998">
        <v>6789</v>
      </c>
    </row>
    <row r="999" spans="1:52" hidden="1" x14ac:dyDescent="0.25">
      <c r="A999" t="s">
        <v>19</v>
      </c>
      <c r="B999" t="s">
        <v>70</v>
      </c>
      <c r="C999" t="s">
        <v>314</v>
      </c>
      <c r="D999">
        <v>33319</v>
      </c>
      <c r="E999" t="s">
        <v>707</v>
      </c>
      <c r="F999">
        <v>4.5010000000000003</v>
      </c>
      <c r="G999">
        <v>2006</v>
      </c>
      <c r="L999">
        <v>428</v>
      </c>
      <c r="M999">
        <v>4073</v>
      </c>
    </row>
    <row r="1000" spans="1:52" hidden="1" x14ac:dyDescent="0.25">
      <c r="A1000" t="s">
        <v>19</v>
      </c>
      <c r="B1000" t="s">
        <v>70</v>
      </c>
      <c r="C1000" t="s">
        <v>315</v>
      </c>
      <c r="D1000">
        <v>33320</v>
      </c>
      <c r="E1000" t="s">
        <v>707</v>
      </c>
      <c r="F1000">
        <v>351.75599999999997</v>
      </c>
      <c r="G1000">
        <v>2006</v>
      </c>
      <c r="L1000">
        <v>565</v>
      </c>
      <c r="M1000">
        <f>5812+4188</f>
        <v>10000</v>
      </c>
      <c r="AX1000">
        <v>341191</v>
      </c>
    </row>
    <row r="1001" spans="1:52" hidden="1" x14ac:dyDescent="0.25">
      <c r="A1001" t="s">
        <v>19</v>
      </c>
      <c r="B1001" t="s">
        <v>70</v>
      </c>
      <c r="C1001" t="s">
        <v>311</v>
      </c>
      <c r="D1001">
        <v>31294</v>
      </c>
      <c r="E1001" t="s">
        <v>708</v>
      </c>
      <c r="F1001">
        <v>126.014</v>
      </c>
      <c r="G1001">
        <v>2007</v>
      </c>
      <c r="L1001">
        <v>2050</v>
      </c>
      <c r="M1001">
        <v>15497</v>
      </c>
      <c r="X1001">
        <v>16646</v>
      </c>
      <c r="AB1001">
        <v>63338</v>
      </c>
      <c r="AR1001">
        <v>28483</v>
      </c>
    </row>
    <row r="1002" spans="1:52" hidden="1" x14ac:dyDescent="0.25">
      <c r="A1002" t="s">
        <v>19</v>
      </c>
      <c r="B1002" t="s">
        <v>70</v>
      </c>
      <c r="C1002" t="s">
        <v>312</v>
      </c>
      <c r="D1002">
        <v>33317</v>
      </c>
      <c r="E1002" t="s">
        <v>707</v>
      </c>
      <c r="F1002">
        <v>162.78700000000001</v>
      </c>
      <c r="G1002">
        <v>2007</v>
      </c>
      <c r="J1002">
        <v>6750</v>
      </c>
      <c r="L1002">
        <v>2050</v>
      </c>
      <c r="M1002">
        <v>15497</v>
      </c>
      <c r="AB1002">
        <v>41650</v>
      </c>
      <c r="AD1002">
        <v>84600</v>
      </c>
      <c r="AP1002">
        <v>11239</v>
      </c>
    </row>
    <row r="1003" spans="1:52" hidden="1" x14ac:dyDescent="0.25">
      <c r="A1003" t="s">
        <v>19</v>
      </c>
      <c r="B1003" t="s">
        <v>70</v>
      </c>
      <c r="C1003" t="s">
        <v>313</v>
      </c>
      <c r="D1003">
        <v>33318</v>
      </c>
      <c r="E1003" t="s">
        <v>707</v>
      </c>
      <c r="F1003">
        <v>23.105</v>
      </c>
      <c r="G1003">
        <v>2007</v>
      </c>
      <c r="J1003">
        <v>5642</v>
      </c>
      <c r="L1003">
        <v>1966</v>
      </c>
      <c r="M1003">
        <v>15497</v>
      </c>
    </row>
    <row r="1004" spans="1:52" hidden="1" x14ac:dyDescent="0.25">
      <c r="A1004" t="s">
        <v>19</v>
      </c>
      <c r="B1004" t="s">
        <v>70</v>
      </c>
      <c r="C1004" t="s">
        <v>314</v>
      </c>
      <c r="D1004">
        <v>33319</v>
      </c>
      <c r="E1004" t="s">
        <v>707</v>
      </c>
      <c r="F1004">
        <v>32.237000000000002</v>
      </c>
      <c r="G1004">
        <v>2007</v>
      </c>
      <c r="J1004">
        <v>5654</v>
      </c>
      <c r="L1004">
        <v>1814</v>
      </c>
      <c r="M1004">
        <v>15497</v>
      </c>
      <c r="X1004">
        <v>9272</v>
      </c>
    </row>
    <row r="1005" spans="1:52" hidden="1" x14ac:dyDescent="0.25">
      <c r="A1005" t="s">
        <v>19</v>
      </c>
      <c r="B1005" t="s">
        <v>70</v>
      </c>
      <c r="C1005" t="s">
        <v>316</v>
      </c>
      <c r="D1005">
        <v>34513</v>
      </c>
      <c r="E1005" t="s">
        <v>707</v>
      </c>
      <c r="F1005">
        <v>24.337</v>
      </c>
      <c r="G1005">
        <v>2007</v>
      </c>
      <c r="J1005">
        <v>6750</v>
      </c>
      <c r="L1005">
        <v>1890</v>
      </c>
      <c r="M1005">
        <v>13202</v>
      </c>
      <c r="AR1005">
        <v>2495</v>
      </c>
    </row>
    <row r="1006" spans="1:52" hidden="1" x14ac:dyDescent="0.25">
      <c r="A1006" t="s">
        <v>19</v>
      </c>
      <c r="B1006" t="s">
        <v>70</v>
      </c>
      <c r="C1006" t="s">
        <v>311</v>
      </c>
      <c r="D1006">
        <v>31294</v>
      </c>
      <c r="E1006" t="s">
        <v>708</v>
      </c>
      <c r="F1006">
        <v>68.027000000000001</v>
      </c>
      <c r="G1006">
        <v>2008</v>
      </c>
      <c r="L1006">
        <v>2050</v>
      </c>
      <c r="M1006">
        <v>17207</v>
      </c>
      <c r="X1006">
        <v>9681</v>
      </c>
      <c r="AB1006">
        <v>30751</v>
      </c>
      <c r="AR1006">
        <v>8338</v>
      </c>
    </row>
    <row r="1007" spans="1:52" hidden="1" x14ac:dyDescent="0.25">
      <c r="A1007" t="s">
        <v>19</v>
      </c>
      <c r="B1007" t="s">
        <v>70</v>
      </c>
      <c r="C1007" t="s">
        <v>312</v>
      </c>
      <c r="D1007">
        <v>33317</v>
      </c>
      <c r="E1007" t="s">
        <v>707</v>
      </c>
      <c r="F1007">
        <v>90.007000000000005</v>
      </c>
      <c r="G1007">
        <v>2008</v>
      </c>
      <c r="J1007">
        <v>7750</v>
      </c>
      <c r="L1007">
        <v>2050</v>
      </c>
      <c r="M1007">
        <v>17207</v>
      </c>
      <c r="AD1007">
        <v>63000</v>
      </c>
    </row>
    <row r="1008" spans="1:52" hidden="1" x14ac:dyDescent="0.25">
      <c r="A1008" t="s">
        <v>19</v>
      </c>
      <c r="B1008" t="s">
        <v>70</v>
      </c>
      <c r="C1008" t="s">
        <v>313</v>
      </c>
      <c r="D1008">
        <v>33318</v>
      </c>
      <c r="E1008" t="s">
        <v>707</v>
      </c>
      <c r="F1008">
        <v>39.65</v>
      </c>
      <c r="G1008">
        <v>2008</v>
      </c>
      <c r="J1008">
        <v>7750</v>
      </c>
      <c r="L1008">
        <v>1966</v>
      </c>
      <c r="M1008">
        <v>17207</v>
      </c>
      <c r="AR1008">
        <v>3366</v>
      </c>
    </row>
    <row r="1009" spans="1:52" hidden="1" x14ac:dyDescent="0.25">
      <c r="A1009" t="s">
        <v>19</v>
      </c>
      <c r="B1009" t="s">
        <v>70</v>
      </c>
      <c r="C1009" t="s">
        <v>314</v>
      </c>
      <c r="D1009">
        <v>33319</v>
      </c>
      <c r="E1009" t="s">
        <v>707</v>
      </c>
      <c r="F1009">
        <v>49.311999999999998</v>
      </c>
      <c r="G1009">
        <v>2008</v>
      </c>
      <c r="J1009">
        <v>7000</v>
      </c>
      <c r="L1009">
        <v>1814</v>
      </c>
      <c r="M1009">
        <v>17207</v>
      </c>
      <c r="X1009">
        <v>10396</v>
      </c>
      <c r="AR1009">
        <v>4610</v>
      </c>
    </row>
    <row r="1010" spans="1:52" hidden="1" x14ac:dyDescent="0.25">
      <c r="A1010" t="s">
        <v>19</v>
      </c>
      <c r="B1010" t="s">
        <v>70</v>
      </c>
      <c r="C1010" t="s">
        <v>316</v>
      </c>
      <c r="D1010">
        <v>34513</v>
      </c>
      <c r="E1010" t="s">
        <v>707</v>
      </c>
      <c r="F1010">
        <v>33.356000000000002</v>
      </c>
      <c r="G1010">
        <v>2008</v>
      </c>
      <c r="J1010">
        <v>5711</v>
      </c>
      <c r="L1010">
        <v>1890</v>
      </c>
      <c r="M1010">
        <v>9608</v>
      </c>
      <c r="AR1010">
        <v>5019</v>
      </c>
    </row>
    <row r="1011" spans="1:52" hidden="1" x14ac:dyDescent="0.25">
      <c r="A1011" t="s">
        <v>19</v>
      </c>
      <c r="B1011" t="s">
        <v>70</v>
      </c>
      <c r="C1011" t="s">
        <v>317</v>
      </c>
      <c r="D1011">
        <v>37572</v>
      </c>
      <c r="E1011" t="s">
        <v>707</v>
      </c>
      <c r="F1011">
        <v>10.318</v>
      </c>
      <c r="G1011">
        <v>2008</v>
      </c>
      <c r="J1011">
        <v>2423</v>
      </c>
      <c r="L1011">
        <v>1890</v>
      </c>
      <c r="M1011">
        <v>6005</v>
      </c>
    </row>
    <row r="1012" spans="1:52" s="4" customFormat="1" hidden="1" x14ac:dyDescent="0.25">
      <c r="A1012" s="4" t="s">
        <v>20</v>
      </c>
      <c r="B1012" s="4" t="s">
        <v>71</v>
      </c>
      <c r="C1012" s="4" t="s">
        <v>318</v>
      </c>
      <c r="D1012" s="4">
        <v>35945</v>
      </c>
      <c r="E1012" s="4" t="s">
        <v>708</v>
      </c>
      <c r="F1012" s="4">
        <v>48.186</v>
      </c>
      <c r="G1012" s="4">
        <v>2006</v>
      </c>
      <c r="J1012" s="4">
        <v>16078</v>
      </c>
      <c r="Q1012" s="4">
        <v>32108</v>
      </c>
      <c r="AZ1012" s="7"/>
    </row>
    <row r="1013" spans="1:52" hidden="1" x14ac:dyDescent="0.25">
      <c r="A1013" t="s">
        <v>20</v>
      </c>
      <c r="B1013" t="s">
        <v>71</v>
      </c>
      <c r="C1013" t="s">
        <v>319</v>
      </c>
      <c r="D1013">
        <v>35946</v>
      </c>
      <c r="E1013" t="s">
        <v>707</v>
      </c>
      <c r="F1013">
        <v>1.6759999999999999</v>
      </c>
      <c r="G1013">
        <v>2006</v>
      </c>
      <c r="J1013">
        <v>1676</v>
      </c>
    </row>
    <row r="1014" spans="1:52" hidden="1" x14ac:dyDescent="0.25">
      <c r="A1014" t="s">
        <v>20</v>
      </c>
      <c r="B1014" t="s">
        <v>71</v>
      </c>
      <c r="C1014" t="s">
        <v>320</v>
      </c>
      <c r="D1014">
        <v>35947</v>
      </c>
      <c r="E1014" t="s">
        <v>707</v>
      </c>
      <c r="F1014">
        <v>0.623</v>
      </c>
      <c r="G1014">
        <v>2006</v>
      </c>
      <c r="J1014">
        <v>623</v>
      </c>
    </row>
    <row r="1015" spans="1:52" hidden="1" x14ac:dyDescent="0.25">
      <c r="A1015" t="s">
        <v>20</v>
      </c>
      <c r="B1015" t="s">
        <v>71</v>
      </c>
      <c r="C1015" t="s">
        <v>321</v>
      </c>
      <c r="D1015">
        <v>35948</v>
      </c>
      <c r="E1015" t="s">
        <v>707</v>
      </c>
      <c r="F1015">
        <v>1.08</v>
      </c>
      <c r="G1015">
        <v>2006</v>
      </c>
      <c r="J1015">
        <v>1080</v>
      </c>
    </row>
    <row r="1016" spans="1:52" hidden="1" x14ac:dyDescent="0.25">
      <c r="A1016" t="s">
        <v>20</v>
      </c>
      <c r="B1016" t="s">
        <v>71</v>
      </c>
      <c r="C1016" t="s">
        <v>322</v>
      </c>
      <c r="D1016">
        <v>35949</v>
      </c>
      <c r="E1016" t="s">
        <v>707</v>
      </c>
      <c r="F1016">
        <v>0.54</v>
      </c>
      <c r="G1016">
        <v>2006</v>
      </c>
      <c r="J1016">
        <v>540</v>
      </c>
    </row>
    <row r="1017" spans="1:52" hidden="1" x14ac:dyDescent="0.25">
      <c r="A1017" t="s">
        <v>20</v>
      </c>
      <c r="B1017" t="s">
        <v>71</v>
      </c>
      <c r="C1017" t="s">
        <v>323</v>
      </c>
      <c r="D1017">
        <v>35950</v>
      </c>
      <c r="E1017" t="s">
        <v>707</v>
      </c>
      <c r="F1017">
        <v>2.2690000000000001</v>
      </c>
      <c r="G1017">
        <v>2006</v>
      </c>
      <c r="J1017">
        <v>2269</v>
      </c>
    </row>
    <row r="1018" spans="1:52" hidden="1" x14ac:dyDescent="0.25">
      <c r="A1018" t="s">
        <v>20</v>
      </c>
      <c r="B1018" t="s">
        <v>71</v>
      </c>
      <c r="C1018" t="s">
        <v>324</v>
      </c>
      <c r="D1018">
        <v>35951</v>
      </c>
      <c r="E1018" t="s">
        <v>707</v>
      </c>
      <c r="F1018">
        <v>3.7149999999999999</v>
      </c>
      <c r="G1018">
        <v>2006</v>
      </c>
      <c r="J1018">
        <v>3715</v>
      </c>
    </row>
    <row r="1019" spans="1:52" hidden="1" x14ac:dyDescent="0.25">
      <c r="A1019" t="s">
        <v>20</v>
      </c>
      <c r="B1019" t="s">
        <v>71</v>
      </c>
      <c r="C1019" t="s">
        <v>318</v>
      </c>
      <c r="D1019">
        <v>35945</v>
      </c>
      <c r="E1019" t="s">
        <v>708</v>
      </c>
      <c r="F1019">
        <v>48.640999999999998</v>
      </c>
      <c r="G1019">
        <v>2007</v>
      </c>
      <c r="J1019">
        <v>16711</v>
      </c>
      <c r="Q1019">
        <v>31930</v>
      </c>
    </row>
    <row r="1020" spans="1:52" hidden="1" x14ac:dyDescent="0.25">
      <c r="A1020" t="s">
        <v>20</v>
      </c>
      <c r="B1020" t="s">
        <v>71</v>
      </c>
      <c r="C1020" t="s">
        <v>319</v>
      </c>
      <c r="D1020">
        <v>35946</v>
      </c>
      <c r="E1020" t="s">
        <v>707</v>
      </c>
      <c r="F1020">
        <v>41.393000000000001</v>
      </c>
      <c r="G1020">
        <v>2007</v>
      </c>
      <c r="J1020">
        <f>11250+28325+1818</f>
        <v>41393</v>
      </c>
    </row>
    <row r="1021" spans="1:52" hidden="1" x14ac:dyDescent="0.25">
      <c r="A1021" t="s">
        <v>20</v>
      </c>
      <c r="B1021" t="s">
        <v>71</v>
      </c>
      <c r="C1021" t="s">
        <v>320</v>
      </c>
      <c r="D1021">
        <v>35947</v>
      </c>
      <c r="E1021" t="s">
        <v>707</v>
      </c>
      <c r="F1021">
        <v>37.671999999999997</v>
      </c>
      <c r="G1021">
        <v>2007</v>
      </c>
      <c r="J1021">
        <f>11250+11754+842</f>
        <v>23846</v>
      </c>
      <c r="Q1021">
        <v>13826</v>
      </c>
    </row>
    <row r="1022" spans="1:52" hidden="1" x14ac:dyDescent="0.25">
      <c r="A1022" t="s">
        <v>20</v>
      </c>
      <c r="B1022" t="s">
        <v>71</v>
      </c>
      <c r="C1022" t="s">
        <v>321</v>
      </c>
      <c r="D1022">
        <v>35948</v>
      </c>
      <c r="E1022" t="s">
        <v>707</v>
      </c>
      <c r="F1022">
        <v>25.16</v>
      </c>
      <c r="G1022">
        <v>2007</v>
      </c>
      <c r="J1022">
        <f>11250+12758+1152</f>
        <v>25160</v>
      </c>
    </row>
    <row r="1023" spans="1:52" hidden="1" x14ac:dyDescent="0.25">
      <c r="A1023" t="s">
        <v>20</v>
      </c>
      <c r="B1023" t="s">
        <v>71</v>
      </c>
      <c r="C1023" t="s">
        <v>322</v>
      </c>
      <c r="D1023">
        <v>35949</v>
      </c>
      <c r="E1023" t="s">
        <v>707</v>
      </c>
      <c r="F1023">
        <v>18.959</v>
      </c>
      <c r="G1023">
        <v>2007</v>
      </c>
      <c r="J1023">
        <f>11250+7075+634</f>
        <v>18959</v>
      </c>
    </row>
    <row r="1024" spans="1:52" hidden="1" x14ac:dyDescent="0.25">
      <c r="A1024" t="s">
        <v>20</v>
      </c>
      <c r="B1024" t="s">
        <v>71</v>
      </c>
      <c r="C1024" t="s">
        <v>758</v>
      </c>
      <c r="D1024">
        <v>35951</v>
      </c>
      <c r="E1024" t="s">
        <v>707</v>
      </c>
      <c r="F1024">
        <v>3.9039999999999999</v>
      </c>
      <c r="G1024">
        <v>2007</v>
      </c>
      <c r="J1024">
        <v>3904</v>
      </c>
    </row>
    <row r="1025" spans="1:17" hidden="1" x14ac:dyDescent="0.25">
      <c r="A1025" t="s">
        <v>20</v>
      </c>
      <c r="B1025" t="s">
        <v>71</v>
      </c>
      <c r="C1025" t="s">
        <v>318</v>
      </c>
      <c r="D1025">
        <v>35945</v>
      </c>
      <c r="E1025" t="s">
        <v>708</v>
      </c>
      <c r="F1025">
        <v>48.557000000000002</v>
      </c>
      <c r="G1025">
        <v>2008</v>
      </c>
      <c r="J1025">
        <f>17265</f>
        <v>17265</v>
      </c>
      <c r="Q1025">
        <v>31292</v>
      </c>
    </row>
    <row r="1026" spans="1:17" hidden="1" x14ac:dyDescent="0.25">
      <c r="A1026" t="s">
        <v>20</v>
      </c>
      <c r="B1026" t="s">
        <v>71</v>
      </c>
      <c r="C1026" t="s">
        <v>319</v>
      </c>
      <c r="D1026">
        <v>35946</v>
      </c>
      <c r="E1026" t="s">
        <v>707</v>
      </c>
      <c r="F1026">
        <v>44.295999999999999</v>
      </c>
      <c r="G1026">
        <v>2008</v>
      </c>
      <c r="J1026">
        <f>1883+11500+30913</f>
        <v>44296</v>
      </c>
    </row>
    <row r="1027" spans="1:17" hidden="1" x14ac:dyDescent="0.25">
      <c r="A1027" t="s">
        <v>20</v>
      </c>
      <c r="B1027" t="s">
        <v>71</v>
      </c>
      <c r="C1027" t="s">
        <v>320</v>
      </c>
      <c r="D1027">
        <v>35947</v>
      </c>
      <c r="E1027" t="s">
        <v>707</v>
      </c>
      <c r="F1027">
        <v>63.491999999999997</v>
      </c>
      <c r="G1027">
        <v>2008</v>
      </c>
      <c r="J1027">
        <f>1161+11500+27800</f>
        <v>40461</v>
      </c>
      <c r="Q1027">
        <v>23031</v>
      </c>
    </row>
    <row r="1028" spans="1:17" hidden="1" x14ac:dyDescent="0.25">
      <c r="A1028" t="s">
        <v>20</v>
      </c>
      <c r="B1028" t="s">
        <v>71</v>
      </c>
      <c r="C1028" t="s">
        <v>321</v>
      </c>
      <c r="D1028">
        <v>35948</v>
      </c>
      <c r="E1028" t="s">
        <v>707</v>
      </c>
      <c r="F1028">
        <v>30.097999999999999</v>
      </c>
      <c r="G1028">
        <v>2008</v>
      </c>
      <c r="J1028">
        <f>1860+11500+16738</f>
        <v>30098</v>
      </c>
    </row>
    <row r="1029" spans="1:17" hidden="1" x14ac:dyDescent="0.25">
      <c r="A1029" t="s">
        <v>20</v>
      </c>
      <c r="B1029" t="s">
        <v>71</v>
      </c>
      <c r="C1029" t="s">
        <v>324</v>
      </c>
      <c r="D1029">
        <v>35951</v>
      </c>
      <c r="E1029" t="s">
        <v>707</v>
      </c>
      <c r="F1029">
        <v>4.1180000000000003</v>
      </c>
      <c r="G1029">
        <v>2008</v>
      </c>
      <c r="J1029">
        <v>4118</v>
      </c>
    </row>
    <row r="1030" spans="1:17" hidden="1" x14ac:dyDescent="0.25">
      <c r="A1030" t="s">
        <v>20</v>
      </c>
      <c r="B1030" t="s">
        <v>71</v>
      </c>
      <c r="C1030" t="s">
        <v>318</v>
      </c>
      <c r="D1030">
        <v>35945</v>
      </c>
      <c r="E1030" t="s">
        <v>707</v>
      </c>
      <c r="F1030">
        <v>34.652000000000001</v>
      </c>
      <c r="G1030">
        <v>2009</v>
      </c>
      <c r="J1030">
        <f>34652-11020</f>
        <v>23632</v>
      </c>
      <c r="Q1030">
        <v>11020</v>
      </c>
    </row>
    <row r="1031" spans="1:17" hidden="1" x14ac:dyDescent="0.25">
      <c r="A1031" t="s">
        <v>20</v>
      </c>
      <c r="B1031" t="s">
        <v>71</v>
      </c>
      <c r="C1031" t="s">
        <v>319</v>
      </c>
      <c r="D1031">
        <v>35946</v>
      </c>
      <c r="E1031" t="s">
        <v>707</v>
      </c>
      <c r="F1031">
        <v>45.75</v>
      </c>
      <c r="G1031">
        <v>2009</v>
      </c>
      <c r="J1031">
        <f>2926+12250+30574</f>
        <v>45750</v>
      </c>
    </row>
    <row r="1032" spans="1:17" hidden="1" x14ac:dyDescent="0.25">
      <c r="A1032" t="s">
        <v>20</v>
      </c>
      <c r="B1032" t="s">
        <v>71</v>
      </c>
      <c r="C1032" t="s">
        <v>320</v>
      </c>
      <c r="D1032">
        <v>35947</v>
      </c>
      <c r="E1032" t="s">
        <v>708</v>
      </c>
      <c r="F1032">
        <v>78.146000000000001</v>
      </c>
      <c r="G1032">
        <v>2009</v>
      </c>
      <c r="J1032">
        <f>1580+12250+38792</f>
        <v>52622</v>
      </c>
    </row>
    <row r="1033" spans="1:17" hidden="1" x14ac:dyDescent="0.25">
      <c r="A1033" t="s">
        <v>20</v>
      </c>
      <c r="B1033" t="s">
        <v>71</v>
      </c>
      <c r="C1033" t="s">
        <v>321</v>
      </c>
      <c r="D1033">
        <v>35948</v>
      </c>
      <c r="E1033" t="s">
        <v>707</v>
      </c>
      <c r="F1033">
        <v>31.443000000000001</v>
      </c>
      <c r="G1033">
        <v>2009</v>
      </c>
      <c r="J1033">
        <f>1913+12250+17280</f>
        <v>31443</v>
      </c>
    </row>
    <row r="1034" spans="1:17" hidden="1" x14ac:dyDescent="0.25">
      <c r="A1034" t="s">
        <v>20</v>
      </c>
      <c r="B1034" t="s">
        <v>71</v>
      </c>
      <c r="C1034" t="s">
        <v>322</v>
      </c>
      <c r="D1034">
        <v>35949</v>
      </c>
      <c r="E1034" t="s">
        <v>707</v>
      </c>
      <c r="F1034">
        <v>30.835000000000001</v>
      </c>
      <c r="G1034">
        <v>2009</v>
      </c>
      <c r="J1034">
        <v>30385</v>
      </c>
    </row>
    <row r="1035" spans="1:17" hidden="1" x14ac:dyDescent="0.25">
      <c r="A1035" t="s">
        <v>20</v>
      </c>
      <c r="B1035" t="s">
        <v>71</v>
      </c>
      <c r="C1035" t="s">
        <v>324</v>
      </c>
      <c r="D1035">
        <v>35951</v>
      </c>
      <c r="E1035" t="s">
        <v>707</v>
      </c>
      <c r="F1035">
        <v>4.1740000000000004</v>
      </c>
      <c r="G1035">
        <v>2009</v>
      </c>
      <c r="J1035">
        <v>4174</v>
      </c>
    </row>
    <row r="1036" spans="1:17" hidden="1" x14ac:dyDescent="0.25">
      <c r="A1036" t="s">
        <v>20</v>
      </c>
      <c r="B1036" t="s">
        <v>71</v>
      </c>
      <c r="C1036" t="s">
        <v>325</v>
      </c>
      <c r="D1036">
        <v>42552</v>
      </c>
      <c r="E1036" t="s">
        <v>707</v>
      </c>
      <c r="F1036">
        <v>13.747</v>
      </c>
      <c r="G1036">
        <v>2009</v>
      </c>
      <c r="J1036">
        <v>13747</v>
      </c>
    </row>
    <row r="1037" spans="1:17" hidden="1" x14ac:dyDescent="0.25">
      <c r="A1037" t="s">
        <v>20</v>
      </c>
      <c r="B1037" t="s">
        <v>71</v>
      </c>
      <c r="C1037" t="s">
        <v>318</v>
      </c>
      <c r="D1037">
        <v>35945</v>
      </c>
      <c r="E1037" t="s">
        <v>707</v>
      </c>
      <c r="F1037">
        <v>23.925999999999998</v>
      </c>
      <c r="G1037">
        <v>2010</v>
      </c>
      <c r="J1037">
        <f>17526</f>
        <v>17526</v>
      </c>
      <c r="Q1037">
        <v>6400</v>
      </c>
    </row>
    <row r="1038" spans="1:17" hidden="1" x14ac:dyDescent="0.25">
      <c r="A1038" t="s">
        <v>20</v>
      </c>
      <c r="B1038" t="s">
        <v>71</v>
      </c>
      <c r="C1038" t="s">
        <v>319</v>
      </c>
      <c r="D1038">
        <v>35946</v>
      </c>
      <c r="E1038" t="s">
        <v>707</v>
      </c>
      <c r="F1038">
        <v>31.757999999999999</v>
      </c>
      <c r="G1038">
        <v>2010</v>
      </c>
      <c r="J1038">
        <v>31758</v>
      </c>
    </row>
    <row r="1039" spans="1:17" hidden="1" x14ac:dyDescent="0.25">
      <c r="A1039" t="s">
        <v>20</v>
      </c>
      <c r="B1039" t="s">
        <v>71</v>
      </c>
      <c r="C1039" t="s">
        <v>320</v>
      </c>
      <c r="D1039">
        <v>35947</v>
      </c>
      <c r="E1039" t="s">
        <v>708</v>
      </c>
      <c r="F1039">
        <v>67.125</v>
      </c>
      <c r="G1039">
        <v>2010</v>
      </c>
      <c r="J1039">
        <f>67125-21073</f>
        <v>46052</v>
      </c>
      <c r="Q1039">
        <v>21073</v>
      </c>
    </row>
    <row r="1040" spans="1:17" hidden="1" x14ac:dyDescent="0.25">
      <c r="A1040" t="s">
        <v>20</v>
      </c>
      <c r="B1040" t="s">
        <v>71</v>
      </c>
      <c r="C1040" t="s">
        <v>321</v>
      </c>
      <c r="D1040">
        <v>35948</v>
      </c>
      <c r="E1040" t="s">
        <v>707</v>
      </c>
      <c r="F1040">
        <v>21.57</v>
      </c>
      <c r="G1040">
        <v>2010</v>
      </c>
      <c r="J1040">
        <v>38213</v>
      </c>
    </row>
    <row r="1041" spans="1:17" hidden="1" x14ac:dyDescent="0.25">
      <c r="A1041" t="s">
        <v>20</v>
      </c>
      <c r="B1041" t="s">
        <v>71</v>
      </c>
      <c r="C1041" t="s">
        <v>322</v>
      </c>
      <c r="D1041">
        <v>35949</v>
      </c>
      <c r="E1041" t="s">
        <v>707</v>
      </c>
      <c r="F1041">
        <v>20.376000000000001</v>
      </c>
      <c r="G1041">
        <v>2010</v>
      </c>
      <c r="J1041">
        <v>20376</v>
      </c>
    </row>
    <row r="1042" spans="1:17" hidden="1" x14ac:dyDescent="0.25">
      <c r="A1042" t="s">
        <v>20</v>
      </c>
      <c r="B1042" t="s">
        <v>71</v>
      </c>
      <c r="C1042" t="s">
        <v>324</v>
      </c>
      <c r="D1042">
        <v>35951</v>
      </c>
      <c r="E1042" t="s">
        <v>707</v>
      </c>
      <c r="F1042">
        <v>6.6369999999999996</v>
      </c>
      <c r="G1042">
        <v>2010</v>
      </c>
      <c r="J1042">
        <v>6637</v>
      </c>
    </row>
    <row r="1043" spans="1:17" hidden="1" x14ac:dyDescent="0.25">
      <c r="A1043" t="s">
        <v>20</v>
      </c>
      <c r="B1043" t="s">
        <v>71</v>
      </c>
      <c r="C1043" t="s">
        <v>325</v>
      </c>
      <c r="D1043">
        <v>42552</v>
      </c>
      <c r="E1043" t="s">
        <v>707</v>
      </c>
      <c r="F1043">
        <v>14.364000000000001</v>
      </c>
      <c r="G1043">
        <v>2010</v>
      </c>
      <c r="J1043">
        <v>14364</v>
      </c>
    </row>
    <row r="1044" spans="1:17" hidden="1" x14ac:dyDescent="0.25">
      <c r="A1044" t="s">
        <v>20</v>
      </c>
      <c r="B1044" t="s">
        <v>71</v>
      </c>
      <c r="C1044" t="s">
        <v>319</v>
      </c>
      <c r="D1044">
        <v>35946</v>
      </c>
      <c r="E1044" t="s">
        <v>707</v>
      </c>
      <c r="F1044">
        <v>60.945</v>
      </c>
      <c r="G1044">
        <v>2011</v>
      </c>
      <c r="J1044">
        <v>60945</v>
      </c>
    </row>
    <row r="1045" spans="1:17" hidden="1" x14ac:dyDescent="0.25">
      <c r="A1045" t="s">
        <v>20</v>
      </c>
      <c r="B1045" t="s">
        <v>71</v>
      </c>
      <c r="C1045" t="s">
        <v>320</v>
      </c>
      <c r="D1045">
        <v>35947</v>
      </c>
      <c r="E1045" t="s">
        <v>708</v>
      </c>
      <c r="F1045">
        <v>116.30800000000001</v>
      </c>
      <c r="G1045">
        <v>2011</v>
      </c>
      <c r="J1045">
        <f>116308-21625</f>
        <v>94683</v>
      </c>
    </row>
    <row r="1046" spans="1:17" hidden="1" x14ac:dyDescent="0.25">
      <c r="A1046" t="s">
        <v>20</v>
      </c>
      <c r="B1046" t="s">
        <v>71</v>
      </c>
      <c r="C1046" t="s">
        <v>321</v>
      </c>
      <c r="D1046">
        <v>35948</v>
      </c>
      <c r="E1046" t="s">
        <v>707</v>
      </c>
      <c r="F1046">
        <v>38.213000000000001</v>
      </c>
      <c r="G1046">
        <v>2011</v>
      </c>
      <c r="J1046">
        <v>38213</v>
      </c>
    </row>
    <row r="1047" spans="1:17" hidden="1" x14ac:dyDescent="0.25">
      <c r="A1047" t="s">
        <v>20</v>
      </c>
      <c r="B1047" t="s">
        <v>71</v>
      </c>
      <c r="C1047" t="s">
        <v>322</v>
      </c>
      <c r="D1047">
        <v>35949</v>
      </c>
      <c r="E1047" t="s">
        <v>707</v>
      </c>
      <c r="F1047">
        <v>36.338999999999999</v>
      </c>
      <c r="G1047">
        <v>2011</v>
      </c>
      <c r="J1047">
        <v>36339</v>
      </c>
    </row>
    <row r="1048" spans="1:17" hidden="1" x14ac:dyDescent="0.25">
      <c r="A1048" t="s">
        <v>20</v>
      </c>
      <c r="B1048" t="s">
        <v>71</v>
      </c>
      <c r="C1048" t="s">
        <v>324</v>
      </c>
      <c r="D1048">
        <v>35951</v>
      </c>
      <c r="E1048" t="s">
        <v>707</v>
      </c>
      <c r="F1048">
        <v>6.8170000000000002</v>
      </c>
      <c r="G1048">
        <v>2011</v>
      </c>
      <c r="J1048">
        <v>6817</v>
      </c>
    </row>
    <row r="1049" spans="1:17" hidden="1" x14ac:dyDescent="0.25">
      <c r="A1049" t="s">
        <v>20</v>
      </c>
      <c r="B1049" t="s">
        <v>71</v>
      </c>
      <c r="C1049" t="s">
        <v>325</v>
      </c>
      <c r="D1049">
        <v>42552</v>
      </c>
      <c r="E1049" t="s">
        <v>707</v>
      </c>
      <c r="F1049">
        <v>14.481</v>
      </c>
      <c r="G1049">
        <v>2011</v>
      </c>
      <c r="J1049">
        <v>14481</v>
      </c>
    </row>
    <row r="1050" spans="1:17" hidden="1" x14ac:dyDescent="0.25">
      <c r="A1050" t="s">
        <v>20</v>
      </c>
      <c r="B1050" t="s">
        <v>71</v>
      </c>
      <c r="C1050" t="s">
        <v>319</v>
      </c>
      <c r="D1050">
        <v>35946</v>
      </c>
      <c r="E1050" t="s">
        <v>707</v>
      </c>
      <c r="F1050">
        <v>50.082999999999998</v>
      </c>
      <c r="G1050">
        <v>2012</v>
      </c>
      <c r="J1050">
        <v>50083</v>
      </c>
    </row>
    <row r="1051" spans="1:17" hidden="1" x14ac:dyDescent="0.25">
      <c r="A1051" t="s">
        <v>20</v>
      </c>
      <c r="B1051" t="s">
        <v>71</v>
      </c>
      <c r="C1051" t="s">
        <v>320</v>
      </c>
      <c r="D1051">
        <v>35947</v>
      </c>
      <c r="E1051" t="s">
        <v>708</v>
      </c>
      <c r="F1051">
        <v>107.321</v>
      </c>
      <c r="G1051">
        <v>2012</v>
      </c>
      <c r="J1051">
        <f>107321-20399</f>
        <v>86922</v>
      </c>
      <c r="Q1051">
        <v>20399</v>
      </c>
    </row>
    <row r="1052" spans="1:17" hidden="1" x14ac:dyDescent="0.25">
      <c r="A1052" t="s">
        <v>20</v>
      </c>
      <c r="B1052" t="s">
        <v>71</v>
      </c>
      <c r="C1052" t="s">
        <v>321</v>
      </c>
      <c r="D1052">
        <v>35948</v>
      </c>
      <c r="E1052" t="s">
        <v>707</v>
      </c>
      <c r="F1052">
        <v>36.756</v>
      </c>
      <c r="G1052">
        <v>2012</v>
      </c>
      <c r="J1052">
        <v>36756</v>
      </c>
    </row>
    <row r="1053" spans="1:17" hidden="1" x14ac:dyDescent="0.25">
      <c r="A1053" t="s">
        <v>20</v>
      </c>
      <c r="B1053" t="s">
        <v>71</v>
      </c>
      <c r="C1053" t="s">
        <v>322</v>
      </c>
      <c r="D1053">
        <v>35949</v>
      </c>
      <c r="E1053" t="s">
        <v>707</v>
      </c>
      <c r="F1053">
        <v>25.495000000000001</v>
      </c>
      <c r="G1053">
        <v>2012</v>
      </c>
      <c r="J1053">
        <v>25495</v>
      </c>
    </row>
    <row r="1054" spans="1:17" hidden="1" x14ac:dyDescent="0.25">
      <c r="A1054" t="s">
        <v>20</v>
      </c>
      <c r="B1054" t="s">
        <v>71</v>
      </c>
      <c r="C1054" t="s">
        <v>324</v>
      </c>
      <c r="D1054">
        <v>35951</v>
      </c>
      <c r="E1054" t="s">
        <v>707</v>
      </c>
      <c r="F1054">
        <v>9.0289999999999999</v>
      </c>
      <c r="G1054">
        <v>2012</v>
      </c>
      <c r="J1054">
        <v>7028</v>
      </c>
    </row>
    <row r="1055" spans="1:17" hidden="1" x14ac:dyDescent="0.25">
      <c r="A1055" t="s">
        <v>20</v>
      </c>
      <c r="B1055" t="s">
        <v>71</v>
      </c>
      <c r="C1055" t="s">
        <v>325</v>
      </c>
      <c r="D1055">
        <v>42552</v>
      </c>
      <c r="E1055" t="s">
        <v>707</v>
      </c>
      <c r="F1055">
        <v>16.824999999999999</v>
      </c>
      <c r="G1055">
        <v>2012</v>
      </c>
      <c r="J1055">
        <v>16605</v>
      </c>
    </row>
    <row r="1056" spans="1:17" hidden="1" x14ac:dyDescent="0.25">
      <c r="A1056" t="s">
        <v>20</v>
      </c>
      <c r="B1056" t="s">
        <v>71</v>
      </c>
      <c r="C1056" t="s">
        <v>319</v>
      </c>
      <c r="D1056">
        <v>35946</v>
      </c>
      <c r="E1056" t="s">
        <v>707</v>
      </c>
      <c r="F1056">
        <v>56.646999999999998</v>
      </c>
      <c r="G1056">
        <v>2013</v>
      </c>
      <c r="J1056">
        <v>56647</v>
      </c>
    </row>
    <row r="1057" spans="1:17" hidden="1" x14ac:dyDescent="0.25">
      <c r="A1057" t="s">
        <v>20</v>
      </c>
      <c r="B1057" t="s">
        <v>71</v>
      </c>
      <c r="C1057" t="s">
        <v>320</v>
      </c>
      <c r="D1057">
        <v>35947</v>
      </c>
      <c r="E1057" t="s">
        <v>708</v>
      </c>
      <c r="F1057">
        <v>122.387</v>
      </c>
      <c r="G1057">
        <v>2013</v>
      </c>
      <c r="J1057">
        <f>122387-20731</f>
        <v>101656</v>
      </c>
      <c r="Q1057">
        <v>20731</v>
      </c>
    </row>
    <row r="1058" spans="1:17" hidden="1" x14ac:dyDescent="0.25">
      <c r="A1058" t="s">
        <v>20</v>
      </c>
      <c r="B1058" t="s">
        <v>71</v>
      </c>
      <c r="C1058" t="s">
        <v>321</v>
      </c>
      <c r="D1058">
        <v>35948</v>
      </c>
      <c r="E1058" t="s">
        <v>707</v>
      </c>
      <c r="F1058">
        <v>31.265000000000001</v>
      </c>
      <c r="G1058">
        <v>2013</v>
      </c>
      <c r="J1058">
        <v>31265</v>
      </c>
    </row>
    <row r="1059" spans="1:17" hidden="1" x14ac:dyDescent="0.25">
      <c r="A1059" t="s">
        <v>20</v>
      </c>
      <c r="B1059" t="s">
        <v>71</v>
      </c>
      <c r="C1059" t="s">
        <v>322</v>
      </c>
      <c r="D1059">
        <v>35949</v>
      </c>
      <c r="E1059" t="s">
        <v>707</v>
      </c>
      <c r="F1059">
        <v>26.702000000000002</v>
      </c>
      <c r="G1059">
        <v>2013</v>
      </c>
      <c r="J1059">
        <v>26702</v>
      </c>
    </row>
    <row r="1060" spans="1:17" hidden="1" x14ac:dyDescent="0.25">
      <c r="A1060" t="s">
        <v>20</v>
      </c>
      <c r="B1060" t="s">
        <v>71</v>
      </c>
      <c r="C1060" t="s">
        <v>324</v>
      </c>
      <c r="D1060">
        <v>35951</v>
      </c>
      <c r="E1060" t="s">
        <v>707</v>
      </c>
      <c r="F1060">
        <v>7.2919999999999998</v>
      </c>
      <c r="G1060">
        <v>2013</v>
      </c>
      <c r="J1060">
        <v>7292</v>
      </c>
    </row>
    <row r="1061" spans="1:17" hidden="1" x14ac:dyDescent="0.25">
      <c r="A1061" t="s">
        <v>20</v>
      </c>
      <c r="B1061" t="s">
        <v>71</v>
      </c>
      <c r="C1061" t="s">
        <v>325</v>
      </c>
      <c r="D1061">
        <v>42552</v>
      </c>
      <c r="E1061" t="s">
        <v>707</v>
      </c>
      <c r="F1061">
        <v>17.25</v>
      </c>
      <c r="G1061">
        <v>2013</v>
      </c>
      <c r="J1061">
        <v>17250</v>
      </c>
    </row>
    <row r="1062" spans="1:17" hidden="1" x14ac:dyDescent="0.25">
      <c r="A1062" t="s">
        <v>20</v>
      </c>
      <c r="B1062" t="s">
        <v>71</v>
      </c>
      <c r="C1062" t="s">
        <v>319</v>
      </c>
      <c r="D1062">
        <v>35946</v>
      </c>
      <c r="E1062" t="s">
        <v>707</v>
      </c>
      <c r="F1062">
        <v>57.378</v>
      </c>
      <c r="G1062">
        <v>2014</v>
      </c>
      <c r="J1062">
        <v>57378</v>
      </c>
    </row>
    <row r="1063" spans="1:17" hidden="1" x14ac:dyDescent="0.25">
      <c r="A1063" t="s">
        <v>20</v>
      </c>
      <c r="B1063" t="s">
        <v>71</v>
      </c>
      <c r="C1063" t="s">
        <v>320</v>
      </c>
      <c r="D1063">
        <v>35947</v>
      </c>
      <c r="E1063" t="s">
        <v>708</v>
      </c>
      <c r="F1063">
        <v>117.815</v>
      </c>
      <c r="G1063">
        <v>2014</v>
      </c>
      <c r="J1063">
        <f>117815-20880</f>
        <v>96935</v>
      </c>
    </row>
    <row r="1064" spans="1:17" hidden="1" x14ac:dyDescent="0.25">
      <c r="A1064" t="s">
        <v>20</v>
      </c>
      <c r="B1064" t="s">
        <v>71</v>
      </c>
      <c r="C1064" t="s">
        <v>321</v>
      </c>
      <c r="D1064">
        <v>35948</v>
      </c>
      <c r="E1064" t="s">
        <v>707</v>
      </c>
      <c r="F1064">
        <v>32.762999999999998</v>
      </c>
      <c r="G1064">
        <v>2014</v>
      </c>
      <c r="J1064">
        <v>32763</v>
      </c>
    </row>
    <row r="1065" spans="1:17" hidden="1" x14ac:dyDescent="0.25">
      <c r="A1065" t="s">
        <v>20</v>
      </c>
      <c r="B1065" t="s">
        <v>71</v>
      </c>
      <c r="C1065" t="s">
        <v>322</v>
      </c>
      <c r="D1065">
        <v>35949</v>
      </c>
      <c r="E1065" t="s">
        <v>707</v>
      </c>
      <c r="F1065">
        <v>30.64</v>
      </c>
      <c r="G1065">
        <v>2014</v>
      </c>
      <c r="J1065">
        <v>30640</v>
      </c>
    </row>
    <row r="1066" spans="1:17" hidden="1" x14ac:dyDescent="0.25">
      <c r="A1066" t="s">
        <v>20</v>
      </c>
      <c r="B1066" t="s">
        <v>71</v>
      </c>
      <c r="C1066" t="s">
        <v>325</v>
      </c>
      <c r="D1066">
        <v>42552</v>
      </c>
      <c r="E1066" t="s">
        <v>707</v>
      </c>
      <c r="F1066">
        <v>17.643999999999998</v>
      </c>
      <c r="G1066">
        <v>2014</v>
      </c>
      <c r="J1066">
        <v>17644</v>
      </c>
    </row>
    <row r="1067" spans="1:17" hidden="1" x14ac:dyDescent="0.25">
      <c r="A1067" t="s">
        <v>20</v>
      </c>
      <c r="B1067" t="s">
        <v>71</v>
      </c>
      <c r="C1067" t="s">
        <v>319</v>
      </c>
      <c r="D1067">
        <v>35946</v>
      </c>
      <c r="E1067" t="s">
        <v>707</v>
      </c>
      <c r="F1067">
        <v>65.997</v>
      </c>
      <c r="G1067">
        <v>2015</v>
      </c>
      <c r="J1067">
        <v>65997</v>
      </c>
    </row>
    <row r="1068" spans="1:17" hidden="1" x14ac:dyDescent="0.25">
      <c r="A1068" t="s">
        <v>20</v>
      </c>
      <c r="B1068" t="s">
        <v>71</v>
      </c>
      <c r="C1068" t="s">
        <v>320</v>
      </c>
      <c r="D1068">
        <v>35947</v>
      </c>
      <c r="E1068" t="s">
        <v>708</v>
      </c>
      <c r="F1068">
        <v>152.99100000000001</v>
      </c>
      <c r="G1068">
        <v>2015</v>
      </c>
      <c r="J1068">
        <f>152991-20981</f>
        <v>132010</v>
      </c>
      <c r="Q1068">
        <v>20981</v>
      </c>
    </row>
    <row r="1069" spans="1:17" hidden="1" x14ac:dyDescent="0.25">
      <c r="A1069" t="s">
        <v>20</v>
      </c>
      <c r="B1069" t="s">
        <v>71</v>
      </c>
      <c r="C1069" t="s">
        <v>321</v>
      </c>
      <c r="D1069">
        <v>35948</v>
      </c>
      <c r="E1069" t="s">
        <v>707</v>
      </c>
      <c r="F1069">
        <v>53.642000000000003</v>
      </c>
      <c r="G1069">
        <v>2015</v>
      </c>
      <c r="J1069">
        <v>53642</v>
      </c>
    </row>
    <row r="1070" spans="1:17" hidden="1" x14ac:dyDescent="0.25">
      <c r="A1070" t="s">
        <v>20</v>
      </c>
      <c r="B1070" t="s">
        <v>71</v>
      </c>
      <c r="C1070" t="s">
        <v>322</v>
      </c>
      <c r="D1070">
        <v>35949</v>
      </c>
      <c r="E1070" t="s">
        <v>707</v>
      </c>
      <c r="F1070">
        <v>43.567</v>
      </c>
      <c r="G1070">
        <v>2015</v>
      </c>
      <c r="J1070">
        <v>43567</v>
      </c>
    </row>
    <row r="1071" spans="1:17" hidden="1" x14ac:dyDescent="0.25">
      <c r="A1071" t="s">
        <v>20</v>
      </c>
      <c r="B1071" t="s">
        <v>71</v>
      </c>
      <c r="C1071" t="s">
        <v>325</v>
      </c>
      <c r="D1071">
        <v>42552</v>
      </c>
      <c r="E1071" t="s">
        <v>707</v>
      </c>
      <c r="F1071">
        <v>40.258000000000003</v>
      </c>
      <c r="G1071">
        <v>2015</v>
      </c>
      <c r="J1071">
        <v>40258</v>
      </c>
    </row>
    <row r="1072" spans="1:17" hidden="1" x14ac:dyDescent="0.25">
      <c r="A1072" t="s">
        <v>20</v>
      </c>
      <c r="B1072" t="s">
        <v>71</v>
      </c>
      <c r="C1072" t="s">
        <v>326</v>
      </c>
      <c r="D1072">
        <v>52646</v>
      </c>
      <c r="E1072" t="s">
        <v>707</v>
      </c>
      <c r="F1072">
        <v>24.757999999999999</v>
      </c>
      <c r="G1072">
        <v>2015</v>
      </c>
      <c r="J1072">
        <v>24758</v>
      </c>
    </row>
    <row r="1073" spans="1:30" hidden="1" x14ac:dyDescent="0.25">
      <c r="A1073" t="s">
        <v>20</v>
      </c>
      <c r="B1073" t="s">
        <v>71</v>
      </c>
      <c r="C1073" t="s">
        <v>327</v>
      </c>
      <c r="D1073">
        <v>52647</v>
      </c>
      <c r="E1073" t="s">
        <v>707</v>
      </c>
      <c r="F1073">
        <v>26.28</v>
      </c>
      <c r="G1073">
        <v>2015</v>
      </c>
      <c r="J1073">
        <v>4791</v>
      </c>
      <c r="AC1073">
        <v>11461</v>
      </c>
      <c r="AD1073">
        <v>10028</v>
      </c>
    </row>
    <row r="1074" spans="1:30" hidden="1" x14ac:dyDescent="0.25">
      <c r="A1074" t="s">
        <v>20</v>
      </c>
      <c r="B1074" t="s">
        <v>71</v>
      </c>
      <c r="C1074" t="s">
        <v>320</v>
      </c>
      <c r="D1074">
        <v>35947</v>
      </c>
      <c r="E1074" t="s">
        <v>708</v>
      </c>
      <c r="F1074">
        <v>125.94499999999999</v>
      </c>
      <c r="G1074">
        <v>2016</v>
      </c>
      <c r="J1074">
        <f>125945-18400</f>
        <v>107545</v>
      </c>
      <c r="Q1074">
        <v>18400</v>
      </c>
    </row>
    <row r="1075" spans="1:30" hidden="1" x14ac:dyDescent="0.25">
      <c r="A1075" t="s">
        <v>20</v>
      </c>
      <c r="B1075" t="s">
        <v>71</v>
      </c>
      <c r="C1075" t="s">
        <v>321</v>
      </c>
      <c r="D1075">
        <v>35948</v>
      </c>
      <c r="E1075" t="s">
        <v>707</v>
      </c>
      <c r="F1075">
        <v>49.901000000000003</v>
      </c>
      <c r="G1075">
        <v>2016</v>
      </c>
      <c r="J1075">
        <v>49901</v>
      </c>
    </row>
    <row r="1076" spans="1:30" hidden="1" x14ac:dyDescent="0.25">
      <c r="A1076" t="s">
        <v>20</v>
      </c>
      <c r="B1076" t="s">
        <v>71</v>
      </c>
      <c r="C1076" t="s">
        <v>322</v>
      </c>
      <c r="D1076">
        <v>35949</v>
      </c>
      <c r="E1076" t="s">
        <v>707</v>
      </c>
      <c r="F1076">
        <v>40.426000000000002</v>
      </c>
      <c r="G1076">
        <v>2016</v>
      </c>
      <c r="J1076">
        <v>40426</v>
      </c>
    </row>
    <row r="1077" spans="1:30" hidden="1" x14ac:dyDescent="0.25">
      <c r="A1077" t="s">
        <v>20</v>
      </c>
      <c r="B1077" t="s">
        <v>71</v>
      </c>
      <c r="C1077" t="s">
        <v>325</v>
      </c>
      <c r="D1077">
        <v>42552</v>
      </c>
      <c r="E1077" t="s">
        <v>707</v>
      </c>
      <c r="F1077">
        <v>35.795000000000002</v>
      </c>
      <c r="G1077">
        <v>2016</v>
      </c>
      <c r="J1077">
        <v>35795</v>
      </c>
    </row>
    <row r="1078" spans="1:30" hidden="1" x14ac:dyDescent="0.25">
      <c r="A1078" t="s">
        <v>20</v>
      </c>
      <c r="B1078" t="s">
        <v>71</v>
      </c>
      <c r="C1078" t="s">
        <v>326</v>
      </c>
      <c r="D1078">
        <v>52646</v>
      </c>
      <c r="E1078" t="s">
        <v>707</v>
      </c>
      <c r="F1078">
        <v>30.317</v>
      </c>
      <c r="G1078">
        <v>2016</v>
      </c>
      <c r="J1078">
        <v>30317</v>
      </c>
    </row>
    <row r="1079" spans="1:30" hidden="1" x14ac:dyDescent="0.25">
      <c r="A1079" t="s">
        <v>20</v>
      </c>
      <c r="B1079" t="s">
        <v>71</v>
      </c>
      <c r="C1079" t="s">
        <v>320</v>
      </c>
      <c r="D1079">
        <v>35947</v>
      </c>
      <c r="E1079" t="s">
        <v>708</v>
      </c>
      <c r="F1079">
        <v>148.46899999999999</v>
      </c>
      <c r="G1079">
        <v>2017</v>
      </c>
      <c r="J1079">
        <f>148469-20283</f>
        <v>128186</v>
      </c>
      <c r="Q1079">
        <v>20283</v>
      </c>
    </row>
    <row r="1080" spans="1:30" hidden="1" x14ac:dyDescent="0.25">
      <c r="A1080" t="s">
        <v>20</v>
      </c>
      <c r="B1080" t="s">
        <v>71</v>
      </c>
      <c r="C1080" t="s">
        <v>321</v>
      </c>
      <c r="D1080">
        <v>35948</v>
      </c>
      <c r="E1080" t="s">
        <v>707</v>
      </c>
      <c r="F1080">
        <v>52.927999999999997</v>
      </c>
      <c r="G1080">
        <v>2017</v>
      </c>
      <c r="J1080">
        <v>52928</v>
      </c>
    </row>
    <row r="1081" spans="1:30" hidden="1" x14ac:dyDescent="0.25">
      <c r="A1081" t="s">
        <v>20</v>
      </c>
      <c r="B1081" t="s">
        <v>71</v>
      </c>
      <c r="C1081" t="s">
        <v>326</v>
      </c>
      <c r="D1081">
        <v>52646</v>
      </c>
      <c r="E1081" t="s">
        <v>707</v>
      </c>
      <c r="F1081">
        <v>38.866</v>
      </c>
      <c r="G1081">
        <v>2017</v>
      </c>
      <c r="J1081">
        <v>38866</v>
      </c>
    </row>
    <row r="1082" spans="1:30" hidden="1" x14ac:dyDescent="0.25">
      <c r="A1082" t="s">
        <v>20</v>
      </c>
      <c r="B1082" t="s">
        <v>71</v>
      </c>
      <c r="C1082" t="s">
        <v>328</v>
      </c>
      <c r="D1082">
        <v>60012</v>
      </c>
      <c r="E1082" t="s">
        <v>707</v>
      </c>
      <c r="F1082">
        <v>39.343000000000004</v>
      </c>
      <c r="G1082">
        <v>2017</v>
      </c>
      <c r="J1082">
        <v>39343</v>
      </c>
    </row>
    <row r="1083" spans="1:30" hidden="1" x14ac:dyDescent="0.25">
      <c r="A1083" t="s">
        <v>20</v>
      </c>
      <c r="B1083" t="s">
        <v>71</v>
      </c>
      <c r="C1083" t="s">
        <v>329</v>
      </c>
      <c r="D1083">
        <v>60013</v>
      </c>
      <c r="E1083" t="s">
        <v>707</v>
      </c>
      <c r="F1083">
        <v>223.60900000000001</v>
      </c>
      <c r="G1083">
        <v>2017</v>
      </c>
      <c r="J1083">
        <f>223609-189957</f>
        <v>33652</v>
      </c>
      <c r="AB1083">
        <v>189957</v>
      </c>
    </row>
    <row r="1084" spans="1:30" hidden="1" x14ac:dyDescent="0.25">
      <c r="A1084" t="s">
        <v>20</v>
      </c>
      <c r="B1084" t="s">
        <v>71</v>
      </c>
      <c r="C1084" t="s">
        <v>320</v>
      </c>
      <c r="D1084">
        <v>35947</v>
      </c>
      <c r="E1084" t="s">
        <v>708</v>
      </c>
      <c r="F1084">
        <v>169.11</v>
      </c>
      <c r="G1084">
        <v>2018</v>
      </c>
      <c r="J1084">
        <f>169110-20044</f>
        <v>149066</v>
      </c>
    </row>
    <row r="1085" spans="1:30" hidden="1" x14ac:dyDescent="0.25">
      <c r="A1085" t="s">
        <v>20</v>
      </c>
      <c r="B1085" t="s">
        <v>71</v>
      </c>
      <c r="C1085" t="s">
        <v>321</v>
      </c>
      <c r="D1085">
        <v>35948</v>
      </c>
      <c r="E1085" t="s">
        <v>707</v>
      </c>
      <c r="F1085">
        <v>69.254999999999995</v>
      </c>
      <c r="G1085">
        <v>2018</v>
      </c>
      <c r="J1085">
        <v>69255</v>
      </c>
    </row>
    <row r="1086" spans="1:30" hidden="1" x14ac:dyDescent="0.25">
      <c r="A1086" t="s">
        <v>20</v>
      </c>
      <c r="B1086" t="s">
        <v>71</v>
      </c>
      <c r="C1086" t="s">
        <v>326</v>
      </c>
      <c r="D1086">
        <v>52646</v>
      </c>
      <c r="E1086" t="s">
        <v>707</v>
      </c>
      <c r="F1086">
        <v>46.817999999999998</v>
      </c>
      <c r="G1086">
        <v>2018</v>
      </c>
      <c r="J1086">
        <v>46818</v>
      </c>
    </row>
    <row r="1087" spans="1:30" hidden="1" x14ac:dyDescent="0.25">
      <c r="A1087" t="s">
        <v>20</v>
      </c>
      <c r="B1087" t="s">
        <v>71</v>
      </c>
      <c r="C1087" t="s">
        <v>328</v>
      </c>
      <c r="D1087">
        <v>60012</v>
      </c>
      <c r="E1087" t="s">
        <v>707</v>
      </c>
      <c r="F1087">
        <v>50.040999999999997</v>
      </c>
      <c r="G1087">
        <v>2018</v>
      </c>
      <c r="J1087">
        <v>50041</v>
      </c>
    </row>
    <row r="1088" spans="1:30" hidden="1" x14ac:dyDescent="0.25">
      <c r="A1088" t="s">
        <v>20</v>
      </c>
      <c r="B1088" t="s">
        <v>71</v>
      </c>
      <c r="C1088" t="s">
        <v>330</v>
      </c>
      <c r="D1088">
        <v>61719</v>
      </c>
      <c r="E1088" t="s">
        <v>707</v>
      </c>
      <c r="F1088">
        <v>0</v>
      </c>
      <c r="G1088">
        <v>2018</v>
      </c>
    </row>
    <row r="1089" spans="1:51" hidden="1" x14ac:dyDescent="0.25">
      <c r="A1089" t="s">
        <v>21</v>
      </c>
      <c r="B1089" t="s">
        <v>72</v>
      </c>
      <c r="C1089" t="s">
        <v>331</v>
      </c>
      <c r="D1089">
        <v>44975</v>
      </c>
      <c r="E1089" t="s">
        <v>708</v>
      </c>
      <c r="F1089">
        <v>41.259</v>
      </c>
      <c r="G1089">
        <v>2007</v>
      </c>
      <c r="J1089">
        <v>7750</v>
      </c>
      <c r="L1089">
        <v>756</v>
      </c>
      <c r="M1089">
        <f>1760+2199</f>
        <v>3959</v>
      </c>
      <c r="N1089">
        <v>10618</v>
      </c>
      <c r="Q1089">
        <v>10000</v>
      </c>
      <c r="AR1089">
        <v>7716</v>
      </c>
      <c r="AY1089">
        <v>460</v>
      </c>
    </row>
    <row r="1090" spans="1:51" hidden="1" x14ac:dyDescent="0.25">
      <c r="A1090" t="s">
        <v>21</v>
      </c>
      <c r="B1090" t="s">
        <v>72</v>
      </c>
      <c r="C1090" t="s">
        <v>332</v>
      </c>
      <c r="D1090">
        <v>44976</v>
      </c>
      <c r="E1090" t="s">
        <v>707</v>
      </c>
      <c r="F1090">
        <v>22.225000000000001</v>
      </c>
      <c r="G1090">
        <v>2007</v>
      </c>
      <c r="J1090">
        <v>7750</v>
      </c>
      <c r="L1090">
        <v>756</v>
      </c>
      <c r="M1090">
        <f>1990+2366</f>
        <v>4356</v>
      </c>
      <c r="N1090">
        <v>701</v>
      </c>
      <c r="Q1090">
        <v>6000</v>
      </c>
      <c r="AH1090">
        <v>1117</v>
      </c>
      <c r="AR1090">
        <v>1545</v>
      </c>
    </row>
    <row r="1091" spans="1:51" hidden="1" x14ac:dyDescent="0.25">
      <c r="A1091" t="s">
        <v>21</v>
      </c>
      <c r="B1091" t="s">
        <v>72</v>
      </c>
      <c r="C1091" t="s">
        <v>333</v>
      </c>
      <c r="D1091">
        <v>44977</v>
      </c>
      <c r="E1091" t="s">
        <v>707</v>
      </c>
      <c r="F1091">
        <v>26.495999999999999</v>
      </c>
      <c r="G1091">
        <v>2007</v>
      </c>
      <c r="J1091">
        <v>7750</v>
      </c>
      <c r="L1091">
        <v>756</v>
      </c>
      <c r="M1091">
        <f>1804+2366</f>
        <v>4170</v>
      </c>
      <c r="N1091">
        <v>3841</v>
      </c>
      <c r="Q1091">
        <v>6000</v>
      </c>
      <c r="AR1091">
        <v>3519</v>
      </c>
      <c r="AY1091">
        <v>460</v>
      </c>
    </row>
    <row r="1092" spans="1:51" hidden="1" x14ac:dyDescent="0.25">
      <c r="A1092" t="s">
        <v>21</v>
      </c>
      <c r="B1092" t="s">
        <v>72</v>
      </c>
      <c r="C1092" t="s">
        <v>334</v>
      </c>
      <c r="D1092">
        <v>44978</v>
      </c>
      <c r="E1092" t="s">
        <v>707</v>
      </c>
      <c r="F1092">
        <v>23.093</v>
      </c>
      <c r="G1092">
        <v>2007</v>
      </c>
      <c r="J1092">
        <v>5170</v>
      </c>
      <c r="L1092">
        <v>756</v>
      </c>
      <c r="M1092">
        <f>1992+2366</f>
        <v>4358</v>
      </c>
      <c r="N1092">
        <v>1229</v>
      </c>
      <c r="Q1092">
        <v>6000</v>
      </c>
      <c r="AH1092">
        <v>3678</v>
      </c>
      <c r="AR1092">
        <v>1902</v>
      </c>
    </row>
    <row r="1093" spans="1:51" hidden="1" x14ac:dyDescent="0.25">
      <c r="A1093" t="s">
        <v>21</v>
      </c>
      <c r="B1093" t="s">
        <v>72</v>
      </c>
      <c r="C1093" t="s">
        <v>335</v>
      </c>
      <c r="D1093">
        <v>44980</v>
      </c>
      <c r="E1093" t="s">
        <v>707</v>
      </c>
      <c r="F1093">
        <v>26.039000000000001</v>
      </c>
      <c r="G1093">
        <v>2007</v>
      </c>
      <c r="J1093">
        <v>7750</v>
      </c>
      <c r="L1093">
        <v>756</v>
      </c>
      <c r="M1093">
        <f>1399+2366</f>
        <v>3765</v>
      </c>
      <c r="N1093">
        <v>693</v>
      </c>
      <c r="Q1093">
        <v>6000</v>
      </c>
      <c r="AH1093">
        <v>5874</v>
      </c>
      <c r="AR1093">
        <v>1201</v>
      </c>
    </row>
    <row r="1094" spans="1:51" hidden="1" x14ac:dyDescent="0.25">
      <c r="A1094" t="s">
        <v>21</v>
      </c>
      <c r="B1094" t="s">
        <v>72</v>
      </c>
      <c r="C1094" t="s">
        <v>331</v>
      </c>
      <c r="D1094">
        <v>44975</v>
      </c>
      <c r="E1094" t="s">
        <v>708</v>
      </c>
      <c r="F1094">
        <v>68.004999999999995</v>
      </c>
      <c r="G1094">
        <v>2008</v>
      </c>
      <c r="J1094">
        <v>7750</v>
      </c>
      <c r="L1094">
        <v>756</v>
      </c>
      <c r="M1094">
        <f>1760+2652</f>
        <v>4412</v>
      </c>
      <c r="N1094">
        <v>26682</v>
      </c>
      <c r="Q1094">
        <v>10000</v>
      </c>
      <c r="AR1094">
        <v>17730</v>
      </c>
      <c r="AY1094">
        <v>675</v>
      </c>
    </row>
    <row r="1095" spans="1:51" hidden="1" x14ac:dyDescent="0.25">
      <c r="A1095" t="s">
        <v>21</v>
      </c>
      <c r="B1095" t="s">
        <v>72</v>
      </c>
      <c r="C1095" t="s">
        <v>332</v>
      </c>
      <c r="D1095">
        <v>44976</v>
      </c>
      <c r="E1095" t="s">
        <v>707</v>
      </c>
      <c r="F1095">
        <v>22.324999999999999</v>
      </c>
      <c r="G1095">
        <v>2008</v>
      </c>
      <c r="J1095">
        <v>7750</v>
      </c>
      <c r="L1095">
        <v>756</v>
      </c>
      <c r="M1095">
        <f>1990+2989</f>
        <v>4979</v>
      </c>
      <c r="N1095">
        <v>663</v>
      </c>
      <c r="Q1095">
        <v>6000</v>
      </c>
      <c r="AH1095">
        <v>655</v>
      </c>
      <c r="AR1095">
        <v>1522</v>
      </c>
    </row>
    <row r="1096" spans="1:51" hidden="1" x14ac:dyDescent="0.25">
      <c r="A1096" t="s">
        <v>21</v>
      </c>
      <c r="B1096" t="s">
        <v>72</v>
      </c>
      <c r="C1096" t="s">
        <v>333</v>
      </c>
      <c r="D1096">
        <v>44977</v>
      </c>
      <c r="E1096" t="s">
        <v>707</v>
      </c>
      <c r="F1096">
        <v>151.72</v>
      </c>
      <c r="G1096">
        <v>2008</v>
      </c>
      <c r="J1096">
        <v>7750</v>
      </c>
      <c r="L1096">
        <v>756</v>
      </c>
      <c r="M1096">
        <f>1804+2989</f>
        <v>4793</v>
      </c>
      <c r="N1096">
        <v>6613</v>
      </c>
      <c r="Q1096">
        <v>6000</v>
      </c>
      <c r="AB1096">
        <f>74428-675</f>
        <v>73753</v>
      </c>
      <c r="AR1096">
        <v>51380</v>
      </c>
      <c r="AY1096">
        <v>675</v>
      </c>
    </row>
    <row r="1097" spans="1:51" hidden="1" x14ac:dyDescent="0.25">
      <c r="A1097" t="s">
        <v>21</v>
      </c>
      <c r="B1097" t="s">
        <v>72</v>
      </c>
      <c r="C1097" t="s">
        <v>334</v>
      </c>
      <c r="D1097">
        <v>44978</v>
      </c>
      <c r="E1097" t="s">
        <v>707</v>
      </c>
      <c r="F1097">
        <v>19.97</v>
      </c>
      <c r="G1097">
        <v>2008</v>
      </c>
      <c r="J1097">
        <v>5178</v>
      </c>
      <c r="L1097">
        <v>756</v>
      </c>
      <c r="M1097">
        <f>1992+2989</f>
        <v>4981</v>
      </c>
      <c r="Q1097">
        <v>6000</v>
      </c>
      <c r="AH1097">
        <v>1879</v>
      </c>
      <c r="AR1097">
        <v>1176</v>
      </c>
    </row>
    <row r="1098" spans="1:51" hidden="1" x14ac:dyDescent="0.25">
      <c r="A1098" t="s">
        <v>21</v>
      </c>
      <c r="B1098" t="s">
        <v>72</v>
      </c>
      <c r="C1098" t="s">
        <v>335</v>
      </c>
      <c r="D1098">
        <v>44980</v>
      </c>
      <c r="E1098" t="s">
        <v>707</v>
      </c>
      <c r="F1098">
        <v>24.274000000000001</v>
      </c>
      <c r="G1098">
        <v>2008</v>
      </c>
      <c r="J1098">
        <v>7095</v>
      </c>
      <c r="L1098">
        <v>756</v>
      </c>
      <c r="M1098">
        <f>1399+2989</f>
        <v>4388</v>
      </c>
      <c r="Q1098">
        <v>6000</v>
      </c>
      <c r="AH1098">
        <v>5232</v>
      </c>
      <c r="AR1098">
        <v>803</v>
      </c>
    </row>
    <row r="1099" spans="1:51" hidden="1" x14ac:dyDescent="0.25">
      <c r="A1099" t="s">
        <v>21</v>
      </c>
      <c r="B1099" t="s">
        <v>72</v>
      </c>
      <c r="C1099" t="s">
        <v>331</v>
      </c>
      <c r="D1099">
        <v>44975</v>
      </c>
      <c r="E1099" t="s">
        <v>707</v>
      </c>
      <c r="F1099">
        <v>4.1609999999999996</v>
      </c>
      <c r="G1099">
        <v>2009</v>
      </c>
      <c r="J1099">
        <v>1230</v>
      </c>
      <c r="L1099">
        <v>128</v>
      </c>
      <c r="M1099">
        <f>115+613</f>
        <v>728</v>
      </c>
      <c r="Q1099">
        <v>1923</v>
      </c>
    </row>
    <row r="1100" spans="1:51" hidden="1" x14ac:dyDescent="0.25">
      <c r="A1100" t="s">
        <v>21</v>
      </c>
      <c r="B1100" t="s">
        <v>72</v>
      </c>
      <c r="C1100" t="s">
        <v>332</v>
      </c>
      <c r="D1100">
        <v>44976</v>
      </c>
      <c r="E1100" t="s">
        <v>707</v>
      </c>
      <c r="F1100">
        <v>130.114</v>
      </c>
      <c r="G1100">
        <v>2009</v>
      </c>
      <c r="J1100">
        <v>2134</v>
      </c>
      <c r="L1100">
        <v>479</v>
      </c>
      <c r="M1100">
        <f>375+981</f>
        <v>1356</v>
      </c>
      <c r="Q1100">
        <v>2077</v>
      </c>
      <c r="AH1100">
        <v>559</v>
      </c>
      <c r="AR1100">
        <v>3132</v>
      </c>
      <c r="AX1100">
        <v>120377</v>
      </c>
      <c r="AY1100">
        <v>152</v>
      </c>
    </row>
    <row r="1101" spans="1:51" hidden="1" x14ac:dyDescent="0.25">
      <c r="A1101" t="s">
        <v>21</v>
      </c>
      <c r="B1101" t="s">
        <v>72</v>
      </c>
      <c r="C1101" t="s">
        <v>333</v>
      </c>
      <c r="D1101">
        <v>44977</v>
      </c>
      <c r="E1101" t="s">
        <v>708</v>
      </c>
      <c r="F1101">
        <v>181.70599999999999</v>
      </c>
      <c r="G1101">
        <v>2009</v>
      </c>
      <c r="J1101">
        <v>2746</v>
      </c>
      <c r="L1101">
        <v>346</v>
      </c>
      <c r="M1101">
        <f>260+981</f>
        <v>1241</v>
      </c>
      <c r="Q1101">
        <v>2077</v>
      </c>
      <c r="AB1101">
        <f>228-152</f>
        <v>76</v>
      </c>
      <c r="AR1101">
        <v>2929</v>
      </c>
      <c r="AX1101">
        <v>172139</v>
      </c>
      <c r="AY1101">
        <v>152</v>
      </c>
    </row>
    <row r="1102" spans="1:51" hidden="1" x14ac:dyDescent="0.25">
      <c r="A1102" t="s">
        <v>21</v>
      </c>
      <c r="B1102" t="s">
        <v>72</v>
      </c>
      <c r="C1102" t="s">
        <v>334</v>
      </c>
      <c r="D1102">
        <v>44978</v>
      </c>
      <c r="E1102" t="s">
        <v>707</v>
      </c>
      <c r="F1102">
        <v>13.177</v>
      </c>
      <c r="G1102">
        <v>2009</v>
      </c>
      <c r="J1102">
        <v>2264</v>
      </c>
      <c r="L1102">
        <v>768</v>
      </c>
      <c r="M1102">
        <f>693+981</f>
        <v>1674</v>
      </c>
      <c r="Q1102">
        <v>2077</v>
      </c>
      <c r="AH1102">
        <v>3226</v>
      </c>
      <c r="AR1102">
        <v>3168</v>
      </c>
    </row>
    <row r="1103" spans="1:51" hidden="1" x14ac:dyDescent="0.25">
      <c r="A1103" t="s">
        <v>21</v>
      </c>
      <c r="B1103" t="s">
        <v>72</v>
      </c>
      <c r="C1103" t="s">
        <v>336</v>
      </c>
      <c r="D1103">
        <v>44979</v>
      </c>
      <c r="E1103" t="s">
        <v>707</v>
      </c>
      <c r="F1103">
        <v>333.24099999999999</v>
      </c>
      <c r="G1103">
        <v>2009</v>
      </c>
      <c r="AO1103">
        <v>333241</v>
      </c>
    </row>
    <row r="1104" spans="1:51" hidden="1" x14ac:dyDescent="0.25">
      <c r="A1104" t="s">
        <v>21</v>
      </c>
      <c r="B1104" t="s">
        <v>72</v>
      </c>
      <c r="C1104" t="s">
        <v>335</v>
      </c>
      <c r="D1104">
        <v>44980</v>
      </c>
      <c r="E1104" t="s">
        <v>707</v>
      </c>
      <c r="F1104">
        <v>14.298999999999999</v>
      </c>
      <c r="G1104">
        <v>2009</v>
      </c>
      <c r="J1104">
        <v>2362</v>
      </c>
      <c r="L1104">
        <v>768</v>
      </c>
      <c r="M1104">
        <f>693+981</f>
        <v>1674</v>
      </c>
      <c r="Q1104">
        <v>2077</v>
      </c>
      <c r="AH1104">
        <v>5216</v>
      </c>
      <c r="AR1104">
        <v>2202</v>
      </c>
    </row>
    <row r="1105" spans="1:41" hidden="1" x14ac:dyDescent="0.25">
      <c r="A1105" t="s">
        <v>21</v>
      </c>
      <c r="B1105" t="s">
        <v>72</v>
      </c>
      <c r="C1105" t="s">
        <v>337</v>
      </c>
      <c r="D1105">
        <v>44981</v>
      </c>
      <c r="E1105" t="s">
        <v>707</v>
      </c>
      <c r="F1105">
        <v>3.8980000000000001</v>
      </c>
      <c r="G1105">
        <v>2009</v>
      </c>
      <c r="L1105">
        <v>512</v>
      </c>
      <c r="M1105">
        <v>462</v>
      </c>
      <c r="AH1105">
        <v>2924</v>
      </c>
    </row>
    <row r="1106" spans="1:41" hidden="1" x14ac:dyDescent="0.25">
      <c r="A1106" t="s">
        <v>21</v>
      </c>
      <c r="B1106" t="s">
        <v>72</v>
      </c>
      <c r="C1106" t="s">
        <v>338</v>
      </c>
      <c r="D1106">
        <v>44982</v>
      </c>
      <c r="E1106" t="s">
        <v>707</v>
      </c>
      <c r="F1106">
        <v>3.55</v>
      </c>
      <c r="G1106">
        <v>2009</v>
      </c>
      <c r="L1106">
        <v>448</v>
      </c>
      <c r="M1106">
        <v>404</v>
      </c>
      <c r="AH1106">
        <v>2698</v>
      </c>
    </row>
    <row r="1107" spans="1:41" hidden="1" x14ac:dyDescent="0.25">
      <c r="A1107" t="s">
        <v>21</v>
      </c>
      <c r="B1107" t="s">
        <v>72</v>
      </c>
      <c r="C1107" t="s">
        <v>334</v>
      </c>
      <c r="D1107">
        <v>44978</v>
      </c>
      <c r="E1107" t="s">
        <v>707</v>
      </c>
      <c r="F1107">
        <v>7.4690000000000003</v>
      </c>
      <c r="G1107">
        <v>2010</v>
      </c>
      <c r="J1107">
        <v>1875</v>
      </c>
      <c r="L1107">
        <v>2376</v>
      </c>
      <c r="AH1107">
        <v>3218</v>
      </c>
    </row>
    <row r="1108" spans="1:41" hidden="1" x14ac:dyDescent="0.25">
      <c r="A1108" t="s">
        <v>21</v>
      </c>
      <c r="B1108" t="s">
        <v>72</v>
      </c>
      <c r="C1108" t="s">
        <v>336</v>
      </c>
      <c r="D1108">
        <v>44979</v>
      </c>
      <c r="E1108" t="s">
        <v>708</v>
      </c>
      <c r="F1108">
        <v>456.10899999999998</v>
      </c>
      <c r="G1108">
        <v>2010</v>
      </c>
      <c r="AO1108">
        <v>456109</v>
      </c>
    </row>
    <row r="1109" spans="1:41" hidden="1" x14ac:dyDescent="0.25">
      <c r="A1109" t="s">
        <v>21</v>
      </c>
      <c r="B1109" t="s">
        <v>72</v>
      </c>
      <c r="C1109" t="s">
        <v>335</v>
      </c>
      <c r="D1109">
        <v>44980</v>
      </c>
      <c r="E1109" t="s">
        <v>707</v>
      </c>
      <c r="F1109">
        <v>8.3149999999999995</v>
      </c>
      <c r="G1109">
        <v>2010</v>
      </c>
      <c r="J1109">
        <v>3025</v>
      </c>
      <c r="L1109">
        <v>1548</v>
      </c>
      <c r="AH1109">
        <v>3742</v>
      </c>
    </row>
    <row r="1110" spans="1:41" hidden="1" x14ac:dyDescent="0.25">
      <c r="A1110" t="s">
        <v>21</v>
      </c>
      <c r="B1110" t="s">
        <v>72</v>
      </c>
      <c r="C1110" t="s">
        <v>337</v>
      </c>
      <c r="D1110">
        <v>44981</v>
      </c>
      <c r="E1110" t="s">
        <v>707</v>
      </c>
      <c r="F1110">
        <v>7.2619999999999996</v>
      </c>
      <c r="G1110">
        <v>2010</v>
      </c>
      <c r="J1110">
        <v>2980</v>
      </c>
      <c r="L1110">
        <v>540</v>
      </c>
      <c r="AH1110">
        <v>3742</v>
      </c>
    </row>
    <row r="1111" spans="1:41" hidden="1" x14ac:dyDescent="0.25">
      <c r="A1111" t="s">
        <v>21</v>
      </c>
      <c r="B1111" t="s">
        <v>72</v>
      </c>
      <c r="C1111" t="s">
        <v>338</v>
      </c>
      <c r="D1111">
        <v>44982</v>
      </c>
      <c r="E1111" t="s">
        <v>707</v>
      </c>
      <c r="F1111">
        <v>6.8250000000000002</v>
      </c>
      <c r="G1111">
        <v>2010</v>
      </c>
      <c r="J1111">
        <v>2723</v>
      </c>
      <c r="L1111">
        <v>360</v>
      </c>
      <c r="AH1111">
        <v>3742</v>
      </c>
    </row>
    <row r="1112" spans="1:41" hidden="1" x14ac:dyDescent="0.25">
      <c r="A1112" t="s">
        <v>21</v>
      </c>
      <c r="B1112" t="s">
        <v>72</v>
      </c>
      <c r="C1112" t="s">
        <v>339</v>
      </c>
      <c r="D1112">
        <v>45427</v>
      </c>
      <c r="E1112" t="s">
        <v>707</v>
      </c>
      <c r="F1112">
        <v>0</v>
      </c>
      <c r="G1112">
        <v>2010</v>
      </c>
    </row>
    <row r="1113" spans="1:41" hidden="1" x14ac:dyDescent="0.25">
      <c r="A1113" t="s">
        <v>21</v>
      </c>
      <c r="B1113" t="s">
        <v>72</v>
      </c>
      <c r="C1113" t="s">
        <v>334</v>
      </c>
      <c r="D1113">
        <v>44978</v>
      </c>
      <c r="E1113" t="s">
        <v>707</v>
      </c>
      <c r="F1113">
        <v>11.846</v>
      </c>
      <c r="G1113">
        <v>2011</v>
      </c>
      <c r="J1113">
        <v>5723</v>
      </c>
      <c r="L1113">
        <v>2376</v>
      </c>
      <c r="AH1113">
        <v>3747</v>
      </c>
    </row>
    <row r="1114" spans="1:41" hidden="1" x14ac:dyDescent="0.25">
      <c r="A1114" t="s">
        <v>21</v>
      </c>
      <c r="B1114" t="s">
        <v>72</v>
      </c>
      <c r="C1114" t="s">
        <v>336</v>
      </c>
      <c r="D1114">
        <v>44979</v>
      </c>
      <c r="E1114" t="s">
        <v>708</v>
      </c>
      <c r="F1114">
        <v>500</v>
      </c>
      <c r="G1114">
        <v>2011</v>
      </c>
      <c r="AO1114">
        <v>500000</v>
      </c>
    </row>
    <row r="1115" spans="1:41" hidden="1" x14ac:dyDescent="0.25">
      <c r="A1115" t="s">
        <v>21</v>
      </c>
      <c r="B1115" t="s">
        <v>72</v>
      </c>
      <c r="C1115" t="s">
        <v>335</v>
      </c>
      <c r="D1115">
        <v>44980</v>
      </c>
      <c r="E1115" t="s">
        <v>707</v>
      </c>
      <c r="F1115">
        <v>13.545</v>
      </c>
      <c r="G1115">
        <v>2011</v>
      </c>
      <c r="J1115">
        <v>8250</v>
      </c>
      <c r="L1115">
        <v>1548</v>
      </c>
      <c r="AH1115">
        <v>3747</v>
      </c>
    </row>
    <row r="1116" spans="1:41" hidden="1" x14ac:dyDescent="0.25">
      <c r="A1116" t="s">
        <v>21</v>
      </c>
      <c r="B1116" t="s">
        <v>72</v>
      </c>
      <c r="C1116" t="s">
        <v>337</v>
      </c>
      <c r="D1116">
        <v>44981</v>
      </c>
      <c r="E1116" t="s">
        <v>707</v>
      </c>
      <c r="F1116">
        <v>12.537000000000001</v>
      </c>
      <c r="G1116">
        <v>2011</v>
      </c>
      <c r="J1116">
        <v>8250</v>
      </c>
      <c r="L1116">
        <v>540</v>
      </c>
      <c r="AH1116">
        <v>3747</v>
      </c>
    </row>
    <row r="1117" spans="1:41" hidden="1" x14ac:dyDescent="0.25">
      <c r="A1117" t="s">
        <v>21</v>
      </c>
      <c r="B1117" t="s">
        <v>72</v>
      </c>
      <c r="C1117" t="s">
        <v>338</v>
      </c>
      <c r="D1117">
        <v>44982</v>
      </c>
      <c r="E1117" t="s">
        <v>707</v>
      </c>
      <c r="F1117">
        <v>12.135</v>
      </c>
      <c r="G1117">
        <v>2011</v>
      </c>
      <c r="J1117">
        <v>8028</v>
      </c>
      <c r="L1117">
        <v>360</v>
      </c>
      <c r="AH1117">
        <v>3747</v>
      </c>
    </row>
    <row r="1118" spans="1:41" hidden="1" x14ac:dyDescent="0.25">
      <c r="A1118" t="s">
        <v>21</v>
      </c>
      <c r="B1118" t="s">
        <v>72</v>
      </c>
      <c r="C1118" t="s">
        <v>339</v>
      </c>
      <c r="D1118">
        <v>45427</v>
      </c>
      <c r="E1118" t="s">
        <v>707</v>
      </c>
      <c r="F1118">
        <v>9.2309999999999999</v>
      </c>
      <c r="G1118">
        <v>2011</v>
      </c>
      <c r="J1118">
        <v>4985</v>
      </c>
      <c r="L1118">
        <v>499</v>
      </c>
      <c r="AH1118">
        <v>3747</v>
      </c>
    </row>
    <row r="1119" spans="1:41" hidden="1" x14ac:dyDescent="0.25">
      <c r="A1119" t="s">
        <v>21</v>
      </c>
      <c r="B1119" t="s">
        <v>72</v>
      </c>
      <c r="C1119" t="s">
        <v>334</v>
      </c>
      <c r="D1119">
        <v>44978</v>
      </c>
      <c r="E1119" t="s">
        <v>707</v>
      </c>
      <c r="F1119">
        <v>8.218</v>
      </c>
      <c r="G1119">
        <v>2012</v>
      </c>
      <c r="J1119">
        <v>5695</v>
      </c>
      <c r="L1119">
        <v>2376</v>
      </c>
      <c r="AH1119">
        <v>3750</v>
      </c>
    </row>
    <row r="1120" spans="1:41" hidden="1" x14ac:dyDescent="0.25">
      <c r="A1120" t="s">
        <v>21</v>
      </c>
      <c r="B1120" t="s">
        <v>72</v>
      </c>
      <c r="C1120" t="s">
        <v>336</v>
      </c>
      <c r="D1120">
        <v>44979</v>
      </c>
      <c r="E1120" t="s">
        <v>708</v>
      </c>
      <c r="F1120">
        <v>500</v>
      </c>
      <c r="G1120">
        <v>2012</v>
      </c>
      <c r="AO1120">
        <v>500000</v>
      </c>
    </row>
    <row r="1121" spans="1:41" hidden="1" x14ac:dyDescent="0.25">
      <c r="A1121" t="s">
        <v>21</v>
      </c>
      <c r="B1121" t="s">
        <v>72</v>
      </c>
      <c r="C1121" t="s">
        <v>335</v>
      </c>
      <c r="D1121">
        <v>44980</v>
      </c>
      <c r="E1121" t="s">
        <v>707</v>
      </c>
      <c r="F1121">
        <v>11.125999999999999</v>
      </c>
      <c r="G1121">
        <v>2012</v>
      </c>
      <c r="J1121">
        <v>8250</v>
      </c>
      <c r="L1121">
        <v>1548</v>
      </c>
      <c r="AH1121">
        <v>3750</v>
      </c>
    </row>
    <row r="1122" spans="1:41" hidden="1" x14ac:dyDescent="0.25">
      <c r="A1122" t="s">
        <v>21</v>
      </c>
      <c r="B1122" t="s">
        <v>72</v>
      </c>
      <c r="C1122" t="s">
        <v>337</v>
      </c>
      <c r="D1122">
        <v>44981</v>
      </c>
      <c r="E1122" t="s">
        <v>707</v>
      </c>
      <c r="F1122">
        <v>9.2899999999999991</v>
      </c>
      <c r="G1122">
        <v>2012</v>
      </c>
      <c r="J1122">
        <v>8500</v>
      </c>
      <c r="L1122">
        <v>540</v>
      </c>
      <c r="AH1122">
        <v>3750</v>
      </c>
    </row>
    <row r="1123" spans="1:41" hidden="1" x14ac:dyDescent="0.25">
      <c r="A1123" t="s">
        <v>21</v>
      </c>
      <c r="B1123" t="s">
        <v>72</v>
      </c>
      <c r="C1123" t="s">
        <v>338</v>
      </c>
      <c r="D1123">
        <v>44982</v>
      </c>
      <c r="E1123" t="s">
        <v>707</v>
      </c>
      <c r="F1123">
        <v>9.11</v>
      </c>
      <c r="G1123">
        <v>2012</v>
      </c>
      <c r="J1123">
        <v>8500</v>
      </c>
      <c r="L1123">
        <v>360</v>
      </c>
      <c r="AH1123">
        <v>3750</v>
      </c>
    </row>
    <row r="1124" spans="1:41" hidden="1" x14ac:dyDescent="0.25">
      <c r="A1124" t="s">
        <v>21</v>
      </c>
      <c r="B1124" t="s">
        <v>72</v>
      </c>
      <c r="C1124" t="s">
        <v>339</v>
      </c>
      <c r="D1124">
        <v>45427</v>
      </c>
      <c r="E1124" t="s">
        <v>707</v>
      </c>
      <c r="F1124">
        <v>6.4530000000000003</v>
      </c>
      <c r="G1124">
        <v>2012</v>
      </c>
      <c r="J1124">
        <v>5178</v>
      </c>
      <c r="L1124">
        <v>540</v>
      </c>
      <c r="AH1124">
        <v>3750</v>
      </c>
    </row>
    <row r="1125" spans="1:41" hidden="1" x14ac:dyDescent="0.25">
      <c r="A1125" t="s">
        <v>21</v>
      </c>
      <c r="B1125" t="s">
        <v>72</v>
      </c>
      <c r="C1125" t="s">
        <v>334</v>
      </c>
      <c r="D1125">
        <v>44978</v>
      </c>
      <c r="E1125" t="s">
        <v>707</v>
      </c>
      <c r="F1125">
        <v>8.218</v>
      </c>
      <c r="G1125">
        <v>2013</v>
      </c>
      <c r="J1125">
        <v>5842</v>
      </c>
      <c r="L1125">
        <v>2376</v>
      </c>
      <c r="AH1125">
        <v>3750</v>
      </c>
    </row>
    <row r="1126" spans="1:41" hidden="1" x14ac:dyDescent="0.25">
      <c r="A1126" t="s">
        <v>21</v>
      </c>
      <c r="B1126" t="s">
        <v>72</v>
      </c>
      <c r="C1126" t="s">
        <v>336</v>
      </c>
      <c r="D1126">
        <v>44979</v>
      </c>
      <c r="E1126" t="s">
        <v>708</v>
      </c>
      <c r="F1126">
        <v>500</v>
      </c>
      <c r="G1126">
        <v>2013</v>
      </c>
      <c r="AO1126">
        <v>500000</v>
      </c>
    </row>
    <row r="1127" spans="1:41" hidden="1" x14ac:dyDescent="0.25">
      <c r="A1127" t="s">
        <v>21</v>
      </c>
      <c r="B1127" t="s">
        <v>72</v>
      </c>
      <c r="C1127" t="s">
        <v>335</v>
      </c>
      <c r="D1127">
        <v>44980</v>
      </c>
      <c r="E1127" t="s">
        <v>707</v>
      </c>
      <c r="F1127">
        <v>11.125999999999999</v>
      </c>
      <c r="G1127">
        <v>2013</v>
      </c>
      <c r="J1127">
        <v>8750</v>
      </c>
      <c r="L1127">
        <v>2376</v>
      </c>
      <c r="AH1127">
        <v>3750</v>
      </c>
    </row>
    <row r="1128" spans="1:41" hidden="1" x14ac:dyDescent="0.25">
      <c r="A1128" t="s">
        <v>21</v>
      </c>
      <c r="B1128" t="s">
        <v>72</v>
      </c>
      <c r="C1128" t="s">
        <v>337</v>
      </c>
      <c r="D1128">
        <v>44981</v>
      </c>
      <c r="E1128" t="s">
        <v>707</v>
      </c>
      <c r="F1128">
        <v>9.2899999999999991</v>
      </c>
      <c r="G1128">
        <v>2013</v>
      </c>
      <c r="J1128">
        <v>8750</v>
      </c>
      <c r="L1128">
        <v>540</v>
      </c>
      <c r="AH1128">
        <v>3750</v>
      </c>
    </row>
    <row r="1129" spans="1:41" hidden="1" x14ac:dyDescent="0.25">
      <c r="A1129" t="s">
        <v>21</v>
      </c>
      <c r="B1129" t="s">
        <v>72</v>
      </c>
      <c r="C1129" t="s">
        <v>338</v>
      </c>
      <c r="D1129">
        <v>44982</v>
      </c>
      <c r="E1129" t="s">
        <v>707</v>
      </c>
      <c r="F1129">
        <v>9.11</v>
      </c>
      <c r="G1129">
        <v>2013</v>
      </c>
      <c r="J1129">
        <v>8750</v>
      </c>
      <c r="L1129">
        <v>360</v>
      </c>
      <c r="AH1129">
        <v>3750</v>
      </c>
    </row>
    <row r="1130" spans="1:41" hidden="1" x14ac:dyDescent="0.25">
      <c r="A1130" t="s">
        <v>21</v>
      </c>
      <c r="B1130" t="s">
        <v>72</v>
      </c>
      <c r="C1130" t="s">
        <v>339</v>
      </c>
      <c r="D1130">
        <v>45427</v>
      </c>
      <c r="E1130" t="s">
        <v>707</v>
      </c>
      <c r="F1130">
        <v>6.4530000000000003</v>
      </c>
      <c r="G1130">
        <v>2013</v>
      </c>
      <c r="J1130">
        <v>5913</v>
      </c>
      <c r="L1130">
        <v>540</v>
      </c>
      <c r="AH1130">
        <v>3750</v>
      </c>
    </row>
    <row r="1131" spans="1:41" hidden="1" x14ac:dyDescent="0.25">
      <c r="A1131" t="s">
        <v>21</v>
      </c>
      <c r="B1131" t="s">
        <v>72</v>
      </c>
      <c r="C1131" t="s">
        <v>334</v>
      </c>
      <c r="D1131">
        <v>44978</v>
      </c>
      <c r="E1131" t="s">
        <v>707</v>
      </c>
      <c r="F1131">
        <v>12.874000000000001</v>
      </c>
      <c r="G1131">
        <v>2014</v>
      </c>
      <c r="H1131">
        <v>1</v>
      </c>
    </row>
    <row r="1132" spans="1:41" hidden="1" x14ac:dyDescent="0.25">
      <c r="A1132" t="s">
        <v>21</v>
      </c>
      <c r="B1132" t="s">
        <v>72</v>
      </c>
      <c r="C1132" t="s">
        <v>336</v>
      </c>
      <c r="D1132">
        <v>44979</v>
      </c>
      <c r="E1132" t="s">
        <v>708</v>
      </c>
      <c r="F1132">
        <v>3.7210000000000001</v>
      </c>
      <c r="G1132">
        <v>2014</v>
      </c>
      <c r="H1132">
        <v>1</v>
      </c>
    </row>
    <row r="1133" spans="1:41" hidden="1" x14ac:dyDescent="0.25">
      <c r="A1133" t="s">
        <v>21</v>
      </c>
      <c r="B1133" t="s">
        <v>72</v>
      </c>
      <c r="C1133" t="s">
        <v>335</v>
      </c>
      <c r="D1133">
        <v>44980</v>
      </c>
      <c r="E1133" t="s">
        <v>707</v>
      </c>
      <c r="F1133">
        <v>10.811999999999999</v>
      </c>
      <c r="G1133">
        <v>2014</v>
      </c>
      <c r="H1133">
        <v>1</v>
      </c>
    </row>
    <row r="1134" spans="1:41" hidden="1" x14ac:dyDescent="0.25">
      <c r="A1134" t="s">
        <v>21</v>
      </c>
      <c r="B1134" t="s">
        <v>72</v>
      </c>
      <c r="C1134" t="s">
        <v>337</v>
      </c>
      <c r="D1134">
        <v>44981</v>
      </c>
      <c r="E1134" t="s">
        <v>707</v>
      </c>
      <c r="F1134">
        <v>10.769</v>
      </c>
      <c r="G1134">
        <v>2014</v>
      </c>
      <c r="H1134">
        <v>1</v>
      </c>
    </row>
    <row r="1135" spans="1:41" hidden="1" x14ac:dyDescent="0.25">
      <c r="A1135" t="s">
        <v>21</v>
      </c>
      <c r="B1135" t="s">
        <v>72</v>
      </c>
      <c r="C1135" t="s">
        <v>338</v>
      </c>
      <c r="D1135">
        <v>44982</v>
      </c>
      <c r="E1135" t="s">
        <v>707</v>
      </c>
      <c r="F1135">
        <v>9.0069999999999997</v>
      </c>
      <c r="G1135">
        <v>2014</v>
      </c>
      <c r="H1135">
        <v>1</v>
      </c>
    </row>
    <row r="1136" spans="1:41" hidden="1" x14ac:dyDescent="0.25">
      <c r="A1136" t="s">
        <v>21</v>
      </c>
      <c r="B1136" t="s">
        <v>72</v>
      </c>
      <c r="C1136" t="s">
        <v>339</v>
      </c>
      <c r="D1136">
        <v>45427</v>
      </c>
      <c r="E1136" t="s">
        <v>707</v>
      </c>
      <c r="F1136">
        <v>4.6680000000000001</v>
      </c>
      <c r="G1136">
        <v>2014</v>
      </c>
      <c r="H1136">
        <v>1</v>
      </c>
    </row>
    <row r="1137" spans="1:41" hidden="1" x14ac:dyDescent="0.25">
      <c r="A1137" t="s">
        <v>21</v>
      </c>
      <c r="B1137" t="s">
        <v>72</v>
      </c>
      <c r="C1137" t="s">
        <v>336</v>
      </c>
      <c r="D1137">
        <v>44979</v>
      </c>
      <c r="E1137" t="s">
        <v>708</v>
      </c>
      <c r="F1137">
        <v>3.2109999999999999</v>
      </c>
      <c r="G1137">
        <v>2015</v>
      </c>
      <c r="J1137">
        <v>2650</v>
      </c>
      <c r="L1137">
        <v>561</v>
      </c>
    </row>
    <row r="1138" spans="1:41" hidden="1" x14ac:dyDescent="0.25">
      <c r="A1138" t="s">
        <v>21</v>
      </c>
      <c r="B1138" t="s">
        <v>72</v>
      </c>
      <c r="C1138" t="s">
        <v>337</v>
      </c>
      <c r="D1138">
        <v>44981</v>
      </c>
      <c r="E1138" t="s">
        <v>707</v>
      </c>
      <c r="F1138">
        <v>8.81</v>
      </c>
      <c r="G1138">
        <v>2015</v>
      </c>
      <c r="J1138">
        <v>7950</v>
      </c>
      <c r="L1138">
        <v>860</v>
      </c>
    </row>
    <row r="1139" spans="1:41" hidden="1" x14ac:dyDescent="0.25">
      <c r="A1139" t="s">
        <v>21</v>
      </c>
      <c r="B1139" t="s">
        <v>72</v>
      </c>
      <c r="C1139" t="s">
        <v>338</v>
      </c>
      <c r="D1139">
        <v>44982</v>
      </c>
      <c r="E1139" t="s">
        <v>707</v>
      </c>
      <c r="F1139">
        <v>175.05</v>
      </c>
      <c r="G1139">
        <v>2015</v>
      </c>
      <c r="J1139">
        <v>7950</v>
      </c>
      <c r="L1139">
        <v>395</v>
      </c>
      <c r="AM1139">
        <v>6288</v>
      </c>
      <c r="AO1139">
        <v>160417</v>
      </c>
    </row>
    <row r="1140" spans="1:41" hidden="1" x14ac:dyDescent="0.25">
      <c r="A1140" t="s">
        <v>21</v>
      </c>
      <c r="B1140" t="s">
        <v>72</v>
      </c>
      <c r="C1140" t="s">
        <v>339</v>
      </c>
      <c r="D1140">
        <v>45427</v>
      </c>
      <c r="E1140" t="s">
        <v>707</v>
      </c>
      <c r="F1140">
        <v>8.5109999999999992</v>
      </c>
      <c r="G1140">
        <v>2015</v>
      </c>
      <c r="J1140">
        <v>7950</v>
      </c>
      <c r="L1140">
        <v>561</v>
      </c>
    </row>
    <row r="1141" spans="1:41" hidden="1" x14ac:dyDescent="0.25">
      <c r="A1141" t="s">
        <v>21</v>
      </c>
      <c r="B1141" t="s">
        <v>72</v>
      </c>
      <c r="C1141" t="s">
        <v>340</v>
      </c>
      <c r="D1141">
        <v>53204</v>
      </c>
      <c r="E1141" t="s">
        <v>707</v>
      </c>
      <c r="F1141">
        <v>30.283999999999999</v>
      </c>
      <c r="G1141">
        <v>2015</v>
      </c>
      <c r="L1141">
        <v>249</v>
      </c>
      <c r="AB1141">
        <v>30035</v>
      </c>
    </row>
    <row r="1142" spans="1:41" hidden="1" x14ac:dyDescent="0.25">
      <c r="A1142" t="s">
        <v>21</v>
      </c>
      <c r="B1142" t="s">
        <v>72</v>
      </c>
      <c r="C1142" t="s">
        <v>341</v>
      </c>
      <c r="D1142">
        <v>53205</v>
      </c>
      <c r="E1142" t="s">
        <v>707</v>
      </c>
      <c r="F1142">
        <v>8.9250000000000007</v>
      </c>
      <c r="G1142">
        <v>2015</v>
      </c>
      <c r="J1142">
        <v>7615</v>
      </c>
      <c r="L1142">
        <v>1310</v>
      </c>
    </row>
    <row r="1143" spans="1:41" hidden="1" x14ac:dyDescent="0.25">
      <c r="A1143" t="s">
        <v>21</v>
      </c>
      <c r="B1143" t="s">
        <v>72</v>
      </c>
      <c r="C1143" t="s">
        <v>342</v>
      </c>
      <c r="D1143">
        <v>53206</v>
      </c>
      <c r="E1143" t="s">
        <v>707</v>
      </c>
      <c r="F1143">
        <v>20.786000000000001</v>
      </c>
      <c r="G1143">
        <v>2015</v>
      </c>
      <c r="J1143">
        <v>4846</v>
      </c>
      <c r="L1143">
        <v>573</v>
      </c>
      <c r="AB1143">
        <v>15367</v>
      </c>
    </row>
    <row r="1144" spans="1:41" hidden="1" x14ac:dyDescent="0.25">
      <c r="A1144" t="s">
        <v>21</v>
      </c>
      <c r="B1144" t="s">
        <v>72</v>
      </c>
      <c r="C1144" t="s">
        <v>343</v>
      </c>
      <c r="D1144">
        <v>53207</v>
      </c>
      <c r="E1144" t="s">
        <v>707</v>
      </c>
      <c r="F1144">
        <v>0.104</v>
      </c>
      <c r="G1144">
        <v>2015</v>
      </c>
      <c r="L1144">
        <v>104</v>
      </c>
    </row>
    <row r="1145" spans="1:41" hidden="1" x14ac:dyDescent="0.25">
      <c r="A1145" t="s">
        <v>21</v>
      </c>
      <c r="B1145" t="s">
        <v>72</v>
      </c>
      <c r="C1145" t="s">
        <v>336</v>
      </c>
      <c r="D1145">
        <v>44979</v>
      </c>
      <c r="E1145" t="s">
        <v>708</v>
      </c>
      <c r="F1145">
        <v>4.923</v>
      </c>
      <c r="G1145">
        <v>2016</v>
      </c>
      <c r="J1145">
        <v>345</v>
      </c>
      <c r="L1145">
        <v>828</v>
      </c>
      <c r="AH1145">
        <v>3750</v>
      </c>
    </row>
    <row r="1146" spans="1:41" hidden="1" x14ac:dyDescent="0.25">
      <c r="A1146" t="s">
        <v>21</v>
      </c>
      <c r="B1146" t="s">
        <v>72</v>
      </c>
      <c r="C1146" t="s">
        <v>337</v>
      </c>
      <c r="D1146">
        <v>44981</v>
      </c>
      <c r="E1146" t="s">
        <v>707</v>
      </c>
      <c r="F1146">
        <v>11.88</v>
      </c>
      <c r="G1146">
        <v>2016</v>
      </c>
      <c r="J1146">
        <v>7157</v>
      </c>
      <c r="L1146">
        <v>828</v>
      </c>
      <c r="AH1146">
        <v>3750</v>
      </c>
    </row>
    <row r="1147" spans="1:41" hidden="1" x14ac:dyDescent="0.25">
      <c r="A1147" t="s">
        <v>21</v>
      </c>
      <c r="B1147" t="s">
        <v>72</v>
      </c>
      <c r="C1147" t="s">
        <v>339</v>
      </c>
      <c r="D1147">
        <v>45427</v>
      </c>
      <c r="E1147" t="s">
        <v>707</v>
      </c>
      <c r="F1147">
        <v>12.528</v>
      </c>
      <c r="G1147">
        <v>2016</v>
      </c>
      <c r="J1147">
        <v>7950</v>
      </c>
      <c r="L1147">
        <v>828</v>
      </c>
      <c r="AH1147">
        <v>3750</v>
      </c>
    </row>
    <row r="1148" spans="1:41" hidden="1" x14ac:dyDescent="0.25">
      <c r="A1148" t="s">
        <v>21</v>
      </c>
      <c r="B1148" t="s">
        <v>72</v>
      </c>
      <c r="C1148" t="s">
        <v>341</v>
      </c>
      <c r="D1148">
        <v>53205</v>
      </c>
      <c r="E1148" t="s">
        <v>707</v>
      </c>
      <c r="F1148">
        <v>11.532999999999999</v>
      </c>
      <c r="G1148">
        <v>2016</v>
      </c>
      <c r="J1148">
        <v>7950</v>
      </c>
      <c r="L1148">
        <v>1548</v>
      </c>
      <c r="AH1148">
        <v>1995</v>
      </c>
    </row>
    <row r="1149" spans="1:41" hidden="1" x14ac:dyDescent="0.25">
      <c r="A1149" t="s">
        <v>21</v>
      </c>
      <c r="B1149" t="s">
        <v>72</v>
      </c>
      <c r="C1149" t="s">
        <v>342</v>
      </c>
      <c r="D1149">
        <v>53206</v>
      </c>
      <c r="E1149" t="s">
        <v>707</v>
      </c>
      <c r="F1149">
        <v>10.813000000000001</v>
      </c>
      <c r="G1149">
        <v>2016</v>
      </c>
      <c r="J1149">
        <v>7950</v>
      </c>
      <c r="L1149">
        <v>828</v>
      </c>
      <c r="AH1149">
        <v>1995</v>
      </c>
    </row>
    <row r="1150" spans="1:41" hidden="1" x14ac:dyDescent="0.25">
      <c r="A1150" t="s">
        <v>21</v>
      </c>
      <c r="B1150" t="s">
        <v>72</v>
      </c>
      <c r="C1150" t="s">
        <v>343</v>
      </c>
      <c r="D1150">
        <v>53207</v>
      </c>
      <c r="E1150" t="s">
        <v>707</v>
      </c>
      <c r="F1150">
        <v>8.2590000000000003</v>
      </c>
      <c r="G1150">
        <v>2016</v>
      </c>
      <c r="J1150">
        <v>7431</v>
      </c>
      <c r="L1150">
        <v>828</v>
      </c>
    </row>
    <row r="1151" spans="1:41" hidden="1" x14ac:dyDescent="0.25">
      <c r="A1151" t="s">
        <v>21</v>
      </c>
      <c r="B1151" t="s">
        <v>72</v>
      </c>
      <c r="C1151" t="s">
        <v>336</v>
      </c>
      <c r="D1151">
        <v>44979</v>
      </c>
      <c r="E1151" t="s">
        <v>708</v>
      </c>
      <c r="F1151">
        <v>0.94499999999999995</v>
      </c>
      <c r="G1151">
        <v>2017</v>
      </c>
      <c r="L1151">
        <v>945</v>
      </c>
    </row>
    <row r="1152" spans="1:41" hidden="1" x14ac:dyDescent="0.25">
      <c r="A1152" t="s">
        <v>21</v>
      </c>
      <c r="B1152" t="s">
        <v>72</v>
      </c>
      <c r="C1152" t="s">
        <v>337</v>
      </c>
      <c r="D1152">
        <v>44981</v>
      </c>
      <c r="E1152" t="s">
        <v>707</v>
      </c>
      <c r="F1152">
        <v>12.586</v>
      </c>
      <c r="G1152">
        <v>2017</v>
      </c>
      <c r="J1152">
        <v>7891</v>
      </c>
      <c r="L1152">
        <v>945</v>
      </c>
      <c r="AH1152">
        <v>3750</v>
      </c>
    </row>
    <row r="1153" spans="1:52" hidden="1" x14ac:dyDescent="0.25">
      <c r="A1153" t="s">
        <v>21</v>
      </c>
      <c r="B1153" t="s">
        <v>72</v>
      </c>
      <c r="C1153" t="s">
        <v>339</v>
      </c>
      <c r="D1153">
        <v>45427</v>
      </c>
      <c r="E1153" t="s">
        <v>707</v>
      </c>
      <c r="F1153">
        <v>11.974</v>
      </c>
      <c r="G1153">
        <v>2017</v>
      </c>
      <c r="J1153">
        <v>7279</v>
      </c>
      <c r="L1153">
        <v>945</v>
      </c>
      <c r="AH1153">
        <v>3750</v>
      </c>
    </row>
    <row r="1154" spans="1:52" hidden="1" x14ac:dyDescent="0.25">
      <c r="A1154" t="s">
        <v>21</v>
      </c>
      <c r="B1154" t="s">
        <v>72</v>
      </c>
      <c r="C1154" t="s">
        <v>341</v>
      </c>
      <c r="D1154">
        <v>53205</v>
      </c>
      <c r="E1154" t="s">
        <v>707</v>
      </c>
      <c r="F1154">
        <v>13.616</v>
      </c>
      <c r="G1154">
        <v>2017</v>
      </c>
      <c r="J1154">
        <v>8100</v>
      </c>
      <c r="L1154">
        <v>1766</v>
      </c>
      <c r="AH1154">
        <v>3750</v>
      </c>
    </row>
    <row r="1155" spans="1:52" hidden="1" x14ac:dyDescent="0.25">
      <c r="A1155" t="s">
        <v>21</v>
      </c>
      <c r="B1155" t="s">
        <v>72</v>
      </c>
      <c r="C1155" t="s">
        <v>342</v>
      </c>
      <c r="D1155">
        <v>53206</v>
      </c>
      <c r="E1155" t="s">
        <v>707</v>
      </c>
      <c r="F1155">
        <v>12.791</v>
      </c>
      <c r="G1155">
        <v>2017</v>
      </c>
      <c r="J1155">
        <v>8096</v>
      </c>
      <c r="L1155">
        <v>945</v>
      </c>
      <c r="AH1155">
        <v>3750</v>
      </c>
    </row>
    <row r="1156" spans="1:52" hidden="1" x14ac:dyDescent="0.25">
      <c r="A1156" t="s">
        <v>21</v>
      </c>
      <c r="B1156" t="s">
        <v>72</v>
      </c>
      <c r="C1156" t="s">
        <v>343</v>
      </c>
      <c r="D1156">
        <v>53207</v>
      </c>
      <c r="E1156" t="s">
        <v>707</v>
      </c>
      <c r="F1156">
        <v>12.403</v>
      </c>
      <c r="G1156">
        <v>2017</v>
      </c>
      <c r="J1156">
        <v>7708</v>
      </c>
      <c r="L1156">
        <v>945</v>
      </c>
      <c r="AH1156">
        <v>3750</v>
      </c>
    </row>
    <row r="1157" spans="1:52" hidden="1" x14ac:dyDescent="0.25">
      <c r="A1157" t="s">
        <v>21</v>
      </c>
      <c r="B1157" t="s">
        <v>72</v>
      </c>
      <c r="C1157" t="s">
        <v>336</v>
      </c>
      <c r="D1157">
        <v>44979</v>
      </c>
      <c r="E1157" t="s">
        <v>708</v>
      </c>
      <c r="F1157">
        <v>3531.7660000000001</v>
      </c>
      <c r="G1157">
        <v>2018</v>
      </c>
      <c r="L1157">
        <v>966</v>
      </c>
      <c r="AX1157">
        <v>3530800</v>
      </c>
    </row>
    <row r="1158" spans="1:52" hidden="1" x14ac:dyDescent="0.25">
      <c r="A1158" t="s">
        <v>21</v>
      </c>
      <c r="B1158" t="s">
        <v>72</v>
      </c>
      <c r="C1158" t="s">
        <v>337</v>
      </c>
      <c r="D1158">
        <v>44981</v>
      </c>
      <c r="E1158" t="s">
        <v>707</v>
      </c>
      <c r="F1158">
        <v>9.0809999999999995</v>
      </c>
      <c r="G1158">
        <v>2018</v>
      </c>
      <c r="J1158">
        <v>8115</v>
      </c>
      <c r="L1158">
        <v>966</v>
      </c>
    </row>
    <row r="1159" spans="1:52" hidden="1" x14ac:dyDescent="0.25">
      <c r="A1159" t="s">
        <v>21</v>
      </c>
      <c r="B1159" t="s">
        <v>72</v>
      </c>
      <c r="C1159" t="s">
        <v>339</v>
      </c>
      <c r="D1159">
        <v>45427</v>
      </c>
      <c r="E1159" t="s">
        <v>707</v>
      </c>
      <c r="F1159">
        <v>1304.4659999999999</v>
      </c>
      <c r="G1159">
        <v>2018</v>
      </c>
      <c r="J1159">
        <v>8250</v>
      </c>
      <c r="L1159">
        <v>966</v>
      </c>
      <c r="AX1159">
        <v>1295250</v>
      </c>
    </row>
    <row r="1160" spans="1:52" hidden="1" x14ac:dyDescent="0.25">
      <c r="A1160" t="s">
        <v>21</v>
      </c>
      <c r="B1160" t="s">
        <v>72</v>
      </c>
      <c r="C1160" t="s">
        <v>342</v>
      </c>
      <c r="D1160">
        <v>53206</v>
      </c>
      <c r="E1160" t="s">
        <v>707</v>
      </c>
      <c r="F1160">
        <v>8.9160000000000004</v>
      </c>
      <c r="G1160">
        <v>2018</v>
      </c>
      <c r="J1160">
        <v>7110</v>
      </c>
      <c r="L1160">
        <v>1806</v>
      </c>
    </row>
    <row r="1161" spans="1:52" hidden="1" x14ac:dyDescent="0.25">
      <c r="A1161" t="s">
        <v>21</v>
      </c>
      <c r="B1161" t="s">
        <v>72</v>
      </c>
      <c r="C1161" t="s">
        <v>343</v>
      </c>
      <c r="D1161">
        <v>53207</v>
      </c>
      <c r="E1161" t="s">
        <v>707</v>
      </c>
      <c r="F1161">
        <v>9.2159999999999993</v>
      </c>
      <c r="G1161">
        <v>2018</v>
      </c>
      <c r="J1161">
        <v>8250</v>
      </c>
      <c r="L1161">
        <v>966</v>
      </c>
    </row>
    <row r="1162" spans="1:52" s="4" customFormat="1" hidden="1" x14ac:dyDescent="0.25">
      <c r="A1162" s="4" t="s">
        <v>22</v>
      </c>
      <c r="B1162" s="4" t="s">
        <v>73</v>
      </c>
      <c r="C1162" s="4" t="s">
        <v>344</v>
      </c>
      <c r="D1162" s="4">
        <v>14920</v>
      </c>
      <c r="E1162" s="4" t="s">
        <v>707</v>
      </c>
      <c r="F1162" s="4">
        <v>61.996000000000002</v>
      </c>
      <c r="G1162" s="4">
        <v>2006</v>
      </c>
      <c r="J1162" s="4">
        <f>11000+11500</f>
        <v>22500</v>
      </c>
      <c r="L1162" s="4">
        <v>792</v>
      </c>
      <c r="M1162" s="4">
        <v>1520</v>
      </c>
      <c r="U1162" s="4">
        <v>5325</v>
      </c>
      <c r="AN1162" s="4">
        <v>20500</v>
      </c>
      <c r="AR1162" s="4">
        <v>11359</v>
      </c>
      <c r="AZ1162" s="7"/>
    </row>
    <row r="1163" spans="1:52" hidden="1" x14ac:dyDescent="0.25">
      <c r="A1163" t="s">
        <v>22</v>
      </c>
      <c r="B1163" t="s">
        <v>73</v>
      </c>
      <c r="C1163" t="s">
        <v>345</v>
      </c>
      <c r="D1163">
        <v>17041</v>
      </c>
      <c r="E1163" t="s">
        <v>708</v>
      </c>
      <c r="F1163">
        <v>128.928</v>
      </c>
      <c r="G1163">
        <v>2006</v>
      </c>
      <c r="J1163">
        <f>11000+75250</f>
        <v>86250</v>
      </c>
      <c r="L1163">
        <v>4782</v>
      </c>
      <c r="M1163">
        <v>3573</v>
      </c>
      <c r="U1163">
        <v>3783</v>
      </c>
      <c r="AM1163">
        <v>7997</v>
      </c>
      <c r="AN1163">
        <v>16675</v>
      </c>
      <c r="AR1163">
        <v>5868</v>
      </c>
    </row>
    <row r="1164" spans="1:52" hidden="1" x14ac:dyDescent="0.25">
      <c r="A1164" t="s">
        <v>22</v>
      </c>
      <c r="B1164" t="s">
        <v>73</v>
      </c>
      <c r="C1164" t="s">
        <v>346</v>
      </c>
      <c r="D1164">
        <v>19083</v>
      </c>
      <c r="E1164" t="s">
        <v>707</v>
      </c>
      <c r="F1164">
        <v>45.158000000000001</v>
      </c>
      <c r="G1164">
        <v>2006</v>
      </c>
      <c r="J1164">
        <f>11000+15500</f>
        <v>26500</v>
      </c>
      <c r="L1164">
        <v>936</v>
      </c>
      <c r="M1164">
        <v>3549</v>
      </c>
      <c r="U1164">
        <v>380</v>
      </c>
      <c r="AM1164">
        <v>5880</v>
      </c>
      <c r="AN1164">
        <v>5500</v>
      </c>
      <c r="AR1164">
        <v>2413</v>
      </c>
    </row>
    <row r="1165" spans="1:52" hidden="1" x14ac:dyDescent="0.25">
      <c r="A1165" t="s">
        <v>22</v>
      </c>
      <c r="B1165" t="s">
        <v>73</v>
      </c>
      <c r="C1165" t="s">
        <v>347</v>
      </c>
      <c r="D1165">
        <v>22155</v>
      </c>
      <c r="E1165" t="s">
        <v>707</v>
      </c>
      <c r="F1165">
        <v>56.634999999999998</v>
      </c>
      <c r="G1165">
        <v>2006</v>
      </c>
      <c r="J1165">
        <f>11000+10500</f>
        <v>21500</v>
      </c>
      <c r="L1165">
        <v>749</v>
      </c>
      <c r="M1165">
        <v>6215</v>
      </c>
      <c r="U1165">
        <v>844</v>
      </c>
      <c r="X1165">
        <v>6007</v>
      </c>
      <c r="AM1165">
        <v>12945</v>
      </c>
      <c r="AN1165">
        <v>3400</v>
      </c>
      <c r="AR1165">
        <v>4975</v>
      </c>
    </row>
    <row r="1166" spans="1:52" hidden="1" x14ac:dyDescent="0.25">
      <c r="A1166" t="s">
        <v>22</v>
      </c>
      <c r="B1166" t="s">
        <v>73</v>
      </c>
      <c r="C1166" t="s">
        <v>348</v>
      </c>
      <c r="D1166">
        <v>30185</v>
      </c>
      <c r="E1166" t="s">
        <v>707</v>
      </c>
      <c r="F1166">
        <v>42.697000000000003</v>
      </c>
      <c r="G1166">
        <v>2006</v>
      </c>
      <c r="J1166">
        <f>11000+18500</f>
        <v>29500</v>
      </c>
      <c r="L1166">
        <v>936</v>
      </c>
      <c r="U1166">
        <v>273</v>
      </c>
      <c r="X1166">
        <v>8564</v>
      </c>
      <c r="AR1166">
        <v>3424</v>
      </c>
    </row>
    <row r="1167" spans="1:52" hidden="1" x14ac:dyDescent="0.25">
      <c r="A1167" t="s">
        <v>22</v>
      </c>
      <c r="B1167" t="s">
        <v>73</v>
      </c>
      <c r="C1167" t="s">
        <v>344</v>
      </c>
      <c r="D1167">
        <v>14920</v>
      </c>
      <c r="E1167" t="s">
        <v>707</v>
      </c>
      <c r="F1167">
        <v>44.881</v>
      </c>
      <c r="G1167">
        <v>2007</v>
      </c>
      <c r="J1167">
        <f>11250+10144</f>
        <v>21394</v>
      </c>
      <c r="L1167">
        <v>990</v>
      </c>
      <c r="M1167">
        <v>413</v>
      </c>
      <c r="U1167">
        <v>4669</v>
      </c>
      <c r="AM1167">
        <v>2556</v>
      </c>
      <c r="AN1167">
        <v>10000</v>
      </c>
      <c r="AR1167">
        <v>4859</v>
      </c>
    </row>
    <row r="1168" spans="1:52" hidden="1" x14ac:dyDescent="0.25">
      <c r="A1168" t="s">
        <v>22</v>
      </c>
      <c r="B1168" t="s">
        <v>73</v>
      </c>
      <c r="C1168" t="s">
        <v>345</v>
      </c>
      <c r="D1168">
        <v>17041</v>
      </c>
      <c r="E1168" t="s">
        <v>708</v>
      </c>
      <c r="F1168">
        <v>101.334</v>
      </c>
      <c r="G1168">
        <v>2007</v>
      </c>
      <c r="J1168">
        <f>11250+52404</f>
        <v>63654</v>
      </c>
      <c r="L1168">
        <v>5016</v>
      </c>
      <c r="M1168">
        <v>1136</v>
      </c>
      <c r="U1168">
        <v>4228</v>
      </c>
      <c r="AM1168">
        <v>4650</v>
      </c>
      <c r="AN1168">
        <v>15000</v>
      </c>
      <c r="AR1168">
        <v>7450</v>
      </c>
    </row>
    <row r="1169" spans="1:44" hidden="1" x14ac:dyDescent="0.25">
      <c r="A1169" t="s">
        <v>22</v>
      </c>
      <c r="B1169" t="s">
        <v>73</v>
      </c>
      <c r="C1169" t="s">
        <v>346</v>
      </c>
      <c r="D1169">
        <v>19083</v>
      </c>
      <c r="E1169" t="s">
        <v>707</v>
      </c>
      <c r="F1169">
        <v>49.171999999999997</v>
      </c>
      <c r="G1169">
        <v>2007</v>
      </c>
      <c r="J1169">
        <f>11250+14234</f>
        <v>25484</v>
      </c>
      <c r="L1169">
        <v>1170</v>
      </c>
      <c r="M1169">
        <v>3789</v>
      </c>
      <c r="U1169">
        <v>748</v>
      </c>
      <c r="AM1169">
        <v>3478</v>
      </c>
      <c r="AN1169">
        <v>9750</v>
      </c>
      <c r="AR1169">
        <v>4753</v>
      </c>
    </row>
    <row r="1170" spans="1:44" hidden="1" x14ac:dyDescent="0.25">
      <c r="A1170" t="s">
        <v>22</v>
      </c>
      <c r="B1170" t="s">
        <v>73</v>
      </c>
      <c r="C1170" t="s">
        <v>347</v>
      </c>
      <c r="D1170">
        <v>22155</v>
      </c>
      <c r="E1170" t="s">
        <v>707</v>
      </c>
      <c r="F1170">
        <v>69.150000000000006</v>
      </c>
      <c r="G1170">
        <v>2007</v>
      </c>
      <c r="J1170">
        <f>11250+9241</f>
        <v>20491</v>
      </c>
      <c r="L1170">
        <v>936</v>
      </c>
      <c r="M1170">
        <v>10106</v>
      </c>
      <c r="U1170">
        <v>1142</v>
      </c>
      <c r="X1170">
        <v>6207</v>
      </c>
      <c r="AM1170">
        <v>10716</v>
      </c>
      <c r="AN1170">
        <v>10500</v>
      </c>
      <c r="AR1170">
        <v>9052</v>
      </c>
    </row>
    <row r="1171" spans="1:44" hidden="1" x14ac:dyDescent="0.25">
      <c r="A1171" t="s">
        <v>22</v>
      </c>
      <c r="B1171" t="s">
        <v>73</v>
      </c>
      <c r="C1171" t="s">
        <v>348</v>
      </c>
      <c r="D1171">
        <v>30185</v>
      </c>
      <c r="E1171" t="s">
        <v>707</v>
      </c>
      <c r="F1171">
        <v>64.546999999999997</v>
      </c>
      <c r="G1171">
        <v>2007</v>
      </c>
      <c r="J1171">
        <f>11250+17327</f>
        <v>28577</v>
      </c>
      <c r="L1171">
        <v>1170</v>
      </c>
      <c r="M1171">
        <v>1408</v>
      </c>
      <c r="U1171">
        <v>2306</v>
      </c>
      <c r="X1171">
        <v>6991</v>
      </c>
      <c r="AM1171">
        <v>7475</v>
      </c>
      <c r="AN1171">
        <v>8900</v>
      </c>
      <c r="AR1171">
        <v>7720</v>
      </c>
    </row>
    <row r="1172" spans="1:44" hidden="1" x14ac:dyDescent="0.25">
      <c r="A1172" t="s">
        <v>22</v>
      </c>
      <c r="B1172" t="s">
        <v>73</v>
      </c>
      <c r="C1172" t="s">
        <v>344</v>
      </c>
      <c r="D1172">
        <v>14920</v>
      </c>
      <c r="E1172" t="s">
        <v>707</v>
      </c>
      <c r="F1172">
        <v>52.128999999999998</v>
      </c>
      <c r="G1172">
        <v>2008</v>
      </c>
      <c r="J1172">
        <f>11500+14630</f>
        <v>26130</v>
      </c>
      <c r="L1172">
        <v>1044</v>
      </c>
      <c r="M1172">
        <v>4081</v>
      </c>
      <c r="U1172">
        <v>6014</v>
      </c>
      <c r="AN1172">
        <v>10000</v>
      </c>
      <c r="AR1172">
        <v>4859</v>
      </c>
    </row>
    <row r="1173" spans="1:44" hidden="1" x14ac:dyDescent="0.25">
      <c r="A1173" t="s">
        <v>22</v>
      </c>
      <c r="B1173" t="s">
        <v>73</v>
      </c>
      <c r="C1173" t="s">
        <v>345</v>
      </c>
      <c r="D1173">
        <v>17041</v>
      </c>
      <c r="E1173" t="s">
        <v>707</v>
      </c>
      <c r="F1173">
        <v>269.78300000000002</v>
      </c>
      <c r="G1173">
        <v>2008</v>
      </c>
      <c r="J1173">
        <f>104750+11500</f>
        <v>116250</v>
      </c>
      <c r="L1173">
        <v>5016</v>
      </c>
      <c r="M1173">
        <v>6096</v>
      </c>
      <c r="R1173">
        <v>116384</v>
      </c>
      <c r="U1173">
        <v>3749</v>
      </c>
      <c r="AN1173">
        <v>15000</v>
      </c>
      <c r="AR1173">
        <v>7288</v>
      </c>
    </row>
    <row r="1174" spans="1:44" hidden="1" x14ac:dyDescent="0.25">
      <c r="A1174" t="s">
        <v>22</v>
      </c>
      <c r="B1174" t="s">
        <v>73</v>
      </c>
      <c r="C1174" t="s">
        <v>346</v>
      </c>
      <c r="D1174">
        <v>19083</v>
      </c>
      <c r="E1174" t="s">
        <v>707</v>
      </c>
      <c r="F1174">
        <v>62.533000000000001</v>
      </c>
      <c r="G1174">
        <v>2008</v>
      </c>
      <c r="J1174">
        <f>11500+21469</f>
        <v>32969</v>
      </c>
      <c r="L1174">
        <v>1170</v>
      </c>
      <c r="M1174">
        <v>6033</v>
      </c>
      <c r="U1174">
        <v>730</v>
      </c>
      <c r="AM1174">
        <v>6772</v>
      </c>
      <c r="AN1174">
        <v>10000</v>
      </c>
      <c r="AR1174">
        <v>4859</v>
      </c>
    </row>
    <row r="1175" spans="1:44" hidden="1" x14ac:dyDescent="0.25">
      <c r="A1175" t="s">
        <v>22</v>
      </c>
      <c r="B1175" t="s">
        <v>73</v>
      </c>
      <c r="C1175" t="s">
        <v>347</v>
      </c>
      <c r="D1175">
        <v>22155</v>
      </c>
      <c r="E1175" t="s">
        <v>707</v>
      </c>
      <c r="F1175">
        <v>83.191999999999993</v>
      </c>
      <c r="G1175">
        <v>2008</v>
      </c>
      <c r="J1175">
        <f>11500+14530</f>
        <v>26030</v>
      </c>
      <c r="L1175">
        <v>1008</v>
      </c>
      <c r="M1175">
        <v>7825</v>
      </c>
      <c r="U1175">
        <v>1153</v>
      </c>
      <c r="X1175">
        <v>6335</v>
      </c>
      <c r="AM1175">
        <v>22489</v>
      </c>
      <c r="AN1175">
        <v>10000</v>
      </c>
      <c r="AR1175">
        <v>8352</v>
      </c>
    </row>
    <row r="1176" spans="1:44" hidden="1" x14ac:dyDescent="0.25">
      <c r="A1176" t="s">
        <v>22</v>
      </c>
      <c r="B1176" t="s">
        <v>73</v>
      </c>
      <c r="C1176" t="s">
        <v>348</v>
      </c>
      <c r="D1176">
        <v>30185</v>
      </c>
      <c r="E1176" t="s">
        <v>707</v>
      </c>
      <c r="F1176">
        <v>78.468999999999994</v>
      </c>
      <c r="G1176">
        <v>2008</v>
      </c>
      <c r="J1176">
        <f>11500+28115</f>
        <v>39615</v>
      </c>
      <c r="L1176">
        <v>1170</v>
      </c>
      <c r="M1176">
        <v>7071</v>
      </c>
      <c r="U1176">
        <v>174</v>
      </c>
      <c r="X1176">
        <v>7230</v>
      </c>
      <c r="AM1176">
        <v>3871</v>
      </c>
      <c r="AN1176">
        <v>10650</v>
      </c>
      <c r="AR1176">
        <v>8688</v>
      </c>
    </row>
    <row r="1177" spans="1:44" hidden="1" x14ac:dyDescent="0.25">
      <c r="A1177" t="s">
        <v>22</v>
      </c>
      <c r="B1177" t="s">
        <v>73</v>
      </c>
      <c r="C1177" t="s">
        <v>349</v>
      </c>
      <c r="D1177">
        <v>36965</v>
      </c>
      <c r="E1177" t="s">
        <v>708</v>
      </c>
      <c r="F1177">
        <v>242.17699999999999</v>
      </c>
      <c r="G1177">
        <v>2008</v>
      </c>
      <c r="J1177">
        <f>4426+23846</f>
        <v>28272</v>
      </c>
      <c r="L1177">
        <v>315</v>
      </c>
      <c r="U1177">
        <v>4509</v>
      </c>
      <c r="AB1177">
        <v>198998</v>
      </c>
      <c r="AN1177">
        <v>6786</v>
      </c>
      <c r="AR1177">
        <v>3297</v>
      </c>
    </row>
    <row r="1178" spans="1:44" hidden="1" x14ac:dyDescent="0.25">
      <c r="A1178" t="s">
        <v>22</v>
      </c>
      <c r="B1178" t="s">
        <v>73</v>
      </c>
      <c r="C1178" t="s">
        <v>346</v>
      </c>
      <c r="D1178">
        <v>19083</v>
      </c>
      <c r="E1178" t="s">
        <v>707</v>
      </c>
      <c r="F1178">
        <v>51.606000000000002</v>
      </c>
      <c r="G1178">
        <v>2009</v>
      </c>
      <c r="J1178">
        <f>12250+8215</f>
        <v>20465</v>
      </c>
      <c r="L1178">
        <v>1325</v>
      </c>
      <c r="M1178">
        <v>6772</v>
      </c>
      <c r="U1178">
        <v>546</v>
      </c>
      <c r="AM1178">
        <v>11040</v>
      </c>
      <c r="AN1178">
        <v>10000</v>
      </c>
      <c r="AR1178">
        <v>1458</v>
      </c>
    </row>
    <row r="1179" spans="1:44" hidden="1" x14ac:dyDescent="0.25">
      <c r="A1179" t="s">
        <v>22</v>
      </c>
      <c r="B1179" t="s">
        <v>73</v>
      </c>
      <c r="C1179" t="s">
        <v>347</v>
      </c>
      <c r="D1179">
        <v>22155</v>
      </c>
      <c r="E1179" t="s">
        <v>707</v>
      </c>
      <c r="F1179">
        <v>53.686</v>
      </c>
      <c r="G1179">
        <v>2009</v>
      </c>
      <c r="H1179">
        <v>1</v>
      </c>
    </row>
    <row r="1180" spans="1:44" hidden="1" x14ac:dyDescent="0.25">
      <c r="A1180" t="s">
        <v>22</v>
      </c>
      <c r="B1180" t="s">
        <v>73</v>
      </c>
      <c r="C1180" t="s">
        <v>348</v>
      </c>
      <c r="D1180">
        <v>30185</v>
      </c>
      <c r="E1180" t="s">
        <v>707</v>
      </c>
      <c r="F1180">
        <v>80.161000000000001</v>
      </c>
      <c r="G1180">
        <v>2009</v>
      </c>
      <c r="J1180">
        <f>12250+15159</f>
        <v>27409</v>
      </c>
      <c r="L1180">
        <v>1325</v>
      </c>
      <c r="M1180">
        <v>2412</v>
      </c>
      <c r="U1180">
        <v>619</v>
      </c>
      <c r="X1180">
        <v>7247</v>
      </c>
      <c r="AM1180">
        <v>19443</v>
      </c>
      <c r="AN1180">
        <v>14200</v>
      </c>
      <c r="AR1180">
        <v>7506</v>
      </c>
    </row>
    <row r="1181" spans="1:44" hidden="1" x14ac:dyDescent="0.25">
      <c r="A1181" t="s">
        <v>22</v>
      </c>
      <c r="B1181" t="s">
        <v>73</v>
      </c>
      <c r="C1181" t="s">
        <v>349</v>
      </c>
      <c r="D1181">
        <v>36965</v>
      </c>
      <c r="E1181" t="s">
        <v>708</v>
      </c>
      <c r="F1181">
        <v>85.417000000000002</v>
      </c>
      <c r="G1181">
        <v>2009</v>
      </c>
      <c r="J1181">
        <f>12250+4663</f>
        <v>16913</v>
      </c>
      <c r="L1181">
        <v>2030</v>
      </c>
      <c r="M1181">
        <v>2606</v>
      </c>
      <c r="U1181">
        <v>568</v>
      </c>
      <c r="X1181">
        <v>44747</v>
      </c>
      <c r="AB1181">
        <v>2570</v>
      </c>
      <c r="AM1181">
        <v>11633</v>
      </c>
      <c r="AN1181">
        <v>4350</v>
      </c>
    </row>
    <row r="1182" spans="1:44" hidden="1" x14ac:dyDescent="0.25">
      <c r="A1182" t="s">
        <v>22</v>
      </c>
      <c r="B1182" t="s">
        <v>73</v>
      </c>
      <c r="C1182" t="s">
        <v>350</v>
      </c>
      <c r="D1182">
        <v>42789</v>
      </c>
      <c r="E1182" t="s">
        <v>707</v>
      </c>
      <c r="F1182">
        <v>111.672</v>
      </c>
      <c r="G1182">
        <v>2009</v>
      </c>
      <c r="J1182">
        <v>8173</v>
      </c>
      <c r="L1182">
        <v>291</v>
      </c>
      <c r="M1182">
        <v>1237</v>
      </c>
      <c r="U1182">
        <v>1852</v>
      </c>
      <c r="AB1182">
        <v>100119</v>
      </c>
    </row>
    <row r="1183" spans="1:44" hidden="1" x14ac:dyDescent="0.25">
      <c r="A1183" t="s">
        <v>22</v>
      </c>
      <c r="B1183" t="s">
        <v>73</v>
      </c>
      <c r="C1183" t="s">
        <v>351</v>
      </c>
      <c r="D1183">
        <v>42790</v>
      </c>
      <c r="E1183" t="s">
        <v>707</v>
      </c>
      <c r="F1183">
        <v>47.537999999999997</v>
      </c>
      <c r="G1183">
        <v>2009</v>
      </c>
      <c r="J1183">
        <f>12250+957</f>
        <v>13207</v>
      </c>
      <c r="L1183">
        <v>1024</v>
      </c>
      <c r="M1183">
        <v>5764</v>
      </c>
      <c r="U1183">
        <v>2493</v>
      </c>
      <c r="X1183">
        <v>8110</v>
      </c>
      <c r="AM1183">
        <v>14692</v>
      </c>
      <c r="AN1183">
        <v>1770</v>
      </c>
      <c r="AR1183">
        <v>478</v>
      </c>
    </row>
    <row r="1184" spans="1:44" hidden="1" x14ac:dyDescent="0.25">
      <c r="A1184" t="s">
        <v>22</v>
      </c>
      <c r="B1184" t="s">
        <v>73</v>
      </c>
      <c r="C1184" t="s">
        <v>346</v>
      </c>
      <c r="D1184">
        <v>19083</v>
      </c>
      <c r="E1184" t="s">
        <v>707</v>
      </c>
      <c r="F1184">
        <v>52.100999999999999</v>
      </c>
      <c r="G1184">
        <v>2010</v>
      </c>
      <c r="J1184">
        <f>12250+19659</f>
        <v>31909</v>
      </c>
      <c r="L1184">
        <v>546</v>
      </c>
      <c r="M1184">
        <v>2222</v>
      </c>
      <c r="U1184">
        <v>1002</v>
      </c>
      <c r="AM1184">
        <v>6422</v>
      </c>
      <c r="AN1184">
        <v>10000</v>
      </c>
    </row>
    <row r="1185" spans="1:43" hidden="1" x14ac:dyDescent="0.25">
      <c r="A1185" t="s">
        <v>22</v>
      </c>
      <c r="B1185" t="s">
        <v>73</v>
      </c>
      <c r="C1185" t="s">
        <v>347</v>
      </c>
      <c r="D1185">
        <v>22155</v>
      </c>
      <c r="E1185" t="s">
        <v>707</v>
      </c>
      <c r="F1185">
        <v>52.87</v>
      </c>
      <c r="G1185">
        <v>2010</v>
      </c>
      <c r="J1185">
        <f>12250+13788</f>
        <v>26038</v>
      </c>
      <c r="L1185">
        <v>479</v>
      </c>
      <c r="M1185">
        <v>1770</v>
      </c>
      <c r="U1185">
        <v>1256</v>
      </c>
      <c r="X1185">
        <v>6501</v>
      </c>
      <c r="AM1185">
        <v>6826</v>
      </c>
      <c r="AN1185">
        <v>10000</v>
      </c>
    </row>
    <row r="1186" spans="1:43" hidden="1" x14ac:dyDescent="0.25">
      <c r="A1186" t="s">
        <v>22</v>
      </c>
      <c r="B1186" t="s">
        <v>73</v>
      </c>
      <c r="C1186" t="s">
        <v>348</v>
      </c>
      <c r="D1186">
        <v>30185</v>
      </c>
      <c r="E1186" t="s">
        <v>707</v>
      </c>
      <c r="F1186">
        <v>56.301000000000002</v>
      </c>
      <c r="G1186">
        <v>2010</v>
      </c>
      <c r="J1186">
        <f>12250+17837</f>
        <v>30087</v>
      </c>
      <c r="L1186">
        <v>546</v>
      </c>
      <c r="M1186">
        <v>1496</v>
      </c>
      <c r="U1186">
        <v>543</v>
      </c>
      <c r="X1186">
        <v>8072</v>
      </c>
      <c r="AM1186">
        <v>2157</v>
      </c>
      <c r="AN1186">
        <v>13400</v>
      </c>
    </row>
    <row r="1187" spans="1:43" hidden="1" x14ac:dyDescent="0.25">
      <c r="A1187" t="s">
        <v>22</v>
      </c>
      <c r="B1187" t="s">
        <v>73</v>
      </c>
      <c r="C1187" t="s">
        <v>349</v>
      </c>
      <c r="D1187">
        <v>36965</v>
      </c>
      <c r="E1187" t="s">
        <v>708</v>
      </c>
      <c r="F1187">
        <v>76.974000000000004</v>
      </c>
      <c r="G1187">
        <v>2010</v>
      </c>
      <c r="J1187">
        <f>12250+42748</f>
        <v>54998</v>
      </c>
      <c r="L1187">
        <v>546</v>
      </c>
      <c r="M1187">
        <v>305</v>
      </c>
      <c r="U1187">
        <v>414</v>
      </c>
      <c r="X1187">
        <v>8460</v>
      </c>
      <c r="AM1187">
        <v>6950</v>
      </c>
      <c r="AN1187">
        <v>5300</v>
      </c>
    </row>
    <row r="1188" spans="1:43" hidden="1" x14ac:dyDescent="0.25">
      <c r="A1188" t="s">
        <v>22</v>
      </c>
      <c r="B1188" t="s">
        <v>73</v>
      </c>
      <c r="C1188" t="s">
        <v>352</v>
      </c>
      <c r="D1188">
        <v>43444</v>
      </c>
      <c r="E1188" t="s">
        <v>707</v>
      </c>
      <c r="F1188">
        <v>94.932000000000002</v>
      </c>
      <c r="G1188">
        <v>2010</v>
      </c>
      <c r="J1188">
        <f>12250+1946</f>
        <v>14196</v>
      </c>
      <c r="L1188">
        <v>420</v>
      </c>
      <c r="M1188">
        <v>1112</v>
      </c>
      <c r="U1188">
        <v>1027</v>
      </c>
      <c r="AB1188">
        <v>77192</v>
      </c>
      <c r="AN1188">
        <v>985</v>
      </c>
    </row>
    <row r="1189" spans="1:43" hidden="1" x14ac:dyDescent="0.25">
      <c r="A1189" t="s">
        <v>22</v>
      </c>
      <c r="B1189" t="s">
        <v>73</v>
      </c>
      <c r="C1189" t="s">
        <v>346</v>
      </c>
      <c r="D1189">
        <v>19083</v>
      </c>
      <c r="E1189" t="s">
        <v>707</v>
      </c>
      <c r="F1189">
        <v>77.968999999999994</v>
      </c>
      <c r="G1189">
        <v>2011</v>
      </c>
      <c r="J1189">
        <f>12250+31450</f>
        <v>43700</v>
      </c>
      <c r="L1189">
        <v>546</v>
      </c>
      <c r="M1189">
        <v>17903</v>
      </c>
      <c r="U1189">
        <v>806</v>
      </c>
      <c r="X1189">
        <v>177</v>
      </c>
      <c r="AM1189">
        <v>8838</v>
      </c>
      <c r="AN1189">
        <v>6000</v>
      </c>
    </row>
    <row r="1190" spans="1:43" hidden="1" x14ac:dyDescent="0.25">
      <c r="A1190" t="s">
        <v>22</v>
      </c>
      <c r="B1190" t="s">
        <v>73</v>
      </c>
      <c r="C1190" t="s">
        <v>348</v>
      </c>
      <c r="D1190">
        <v>30185</v>
      </c>
      <c r="E1190" t="s">
        <v>707</v>
      </c>
      <c r="F1190">
        <v>98.466999999999999</v>
      </c>
      <c r="G1190">
        <v>2011</v>
      </c>
      <c r="J1190">
        <f>12250+46877</f>
        <v>59127</v>
      </c>
      <c r="L1190">
        <v>546</v>
      </c>
      <c r="M1190">
        <v>7039</v>
      </c>
      <c r="U1190">
        <v>1082</v>
      </c>
      <c r="X1190">
        <v>8252</v>
      </c>
      <c r="AM1190">
        <v>11420</v>
      </c>
      <c r="AN1190">
        <v>11000</v>
      </c>
    </row>
    <row r="1191" spans="1:43" hidden="1" x14ac:dyDescent="0.25">
      <c r="A1191" t="s">
        <v>22</v>
      </c>
      <c r="B1191" t="s">
        <v>73</v>
      </c>
      <c r="C1191" t="s">
        <v>349</v>
      </c>
      <c r="D1191">
        <v>36965</v>
      </c>
      <c r="E1191" t="s">
        <v>708</v>
      </c>
      <c r="F1191">
        <v>121.133</v>
      </c>
      <c r="G1191">
        <v>2011</v>
      </c>
      <c r="J1191">
        <f>12250+84562</f>
        <v>96812</v>
      </c>
      <c r="L1191">
        <v>546</v>
      </c>
      <c r="M1191">
        <v>1939</v>
      </c>
      <c r="U1191">
        <v>1735</v>
      </c>
      <c r="X1191">
        <v>9029</v>
      </c>
      <c r="AM1191">
        <v>5372</v>
      </c>
      <c r="AN1191">
        <v>5700</v>
      </c>
    </row>
    <row r="1192" spans="1:43" hidden="1" x14ac:dyDescent="0.25">
      <c r="A1192" t="s">
        <v>22</v>
      </c>
      <c r="B1192" t="s">
        <v>73</v>
      </c>
      <c r="C1192" t="s">
        <v>353</v>
      </c>
      <c r="D1192">
        <v>45428</v>
      </c>
      <c r="E1192" t="s">
        <v>707</v>
      </c>
      <c r="F1192">
        <v>490.52100000000002</v>
      </c>
      <c r="G1192">
        <v>2011</v>
      </c>
      <c r="J1192">
        <f>12250+12481</f>
        <v>24731</v>
      </c>
      <c r="L1192">
        <v>590</v>
      </c>
      <c r="M1192">
        <v>6988</v>
      </c>
      <c r="U1192">
        <v>586</v>
      </c>
      <c r="X1192">
        <v>400</v>
      </c>
      <c r="AA1192">
        <v>256518</v>
      </c>
      <c r="AB1192">
        <v>39105</v>
      </c>
      <c r="AN1192">
        <v>8525</v>
      </c>
      <c r="AP1192" t="s">
        <v>749</v>
      </c>
      <c r="AQ1192" t="s">
        <v>749</v>
      </c>
    </row>
    <row r="1193" spans="1:43" hidden="1" x14ac:dyDescent="0.25">
      <c r="A1193" t="s">
        <v>22</v>
      </c>
      <c r="B1193" t="s">
        <v>73</v>
      </c>
      <c r="C1193" t="s">
        <v>354</v>
      </c>
      <c r="D1193">
        <v>45429</v>
      </c>
      <c r="E1193" t="s">
        <v>707</v>
      </c>
      <c r="F1193">
        <v>322.887</v>
      </c>
      <c r="G1193">
        <v>2011</v>
      </c>
      <c r="J1193">
        <f>11250</f>
        <v>11250</v>
      </c>
      <c r="L1193">
        <v>546</v>
      </c>
      <c r="U1193">
        <v>918</v>
      </c>
      <c r="X1193">
        <v>47349</v>
      </c>
      <c r="AB1193">
        <v>212267</v>
      </c>
      <c r="AN1193">
        <v>1650</v>
      </c>
      <c r="AP1193" t="s">
        <v>749</v>
      </c>
      <c r="AQ1193" t="s">
        <v>749</v>
      </c>
    </row>
    <row r="1194" spans="1:43" hidden="1" x14ac:dyDescent="0.25">
      <c r="A1194" t="s">
        <v>22</v>
      </c>
      <c r="B1194" t="s">
        <v>73</v>
      </c>
      <c r="C1194" t="s">
        <v>346</v>
      </c>
      <c r="D1194">
        <v>19083</v>
      </c>
      <c r="E1194" t="s">
        <v>707</v>
      </c>
      <c r="F1194">
        <v>73.97</v>
      </c>
      <c r="G1194">
        <v>2012</v>
      </c>
      <c r="J1194">
        <f>12500+36297</f>
        <v>48797</v>
      </c>
      <c r="L1194">
        <v>546</v>
      </c>
      <c r="M1194">
        <v>7233</v>
      </c>
      <c r="U1194">
        <v>785</v>
      </c>
      <c r="X1194">
        <v>537</v>
      </c>
      <c r="AM1194">
        <v>6072</v>
      </c>
      <c r="AN1194">
        <v>10000</v>
      </c>
    </row>
    <row r="1195" spans="1:43" hidden="1" x14ac:dyDescent="0.25">
      <c r="A1195" t="s">
        <v>22</v>
      </c>
      <c r="B1195" t="s">
        <v>73</v>
      </c>
      <c r="C1195" t="s">
        <v>348</v>
      </c>
      <c r="D1195">
        <v>30185</v>
      </c>
      <c r="E1195" t="s">
        <v>707</v>
      </c>
      <c r="F1195">
        <v>98.167000000000002</v>
      </c>
      <c r="G1195">
        <v>2012</v>
      </c>
      <c r="J1195">
        <f>12500+57833</f>
        <v>70333</v>
      </c>
      <c r="L1195">
        <v>546</v>
      </c>
      <c r="M1195">
        <v>8940</v>
      </c>
      <c r="U1195">
        <v>160</v>
      </c>
      <c r="X1195">
        <v>7050</v>
      </c>
      <c r="AN1195">
        <v>11138</v>
      </c>
    </row>
    <row r="1196" spans="1:43" hidden="1" x14ac:dyDescent="0.25">
      <c r="A1196" t="s">
        <v>22</v>
      </c>
      <c r="B1196" t="s">
        <v>73</v>
      </c>
      <c r="C1196" t="s">
        <v>349</v>
      </c>
      <c r="D1196">
        <v>36965</v>
      </c>
      <c r="E1196" t="s">
        <v>708</v>
      </c>
      <c r="F1196">
        <v>158.67599999999999</v>
      </c>
      <c r="G1196">
        <v>2012</v>
      </c>
      <c r="J1196">
        <f>12500+112327</f>
        <v>124827</v>
      </c>
      <c r="L1196">
        <v>546</v>
      </c>
      <c r="M1196">
        <v>1116</v>
      </c>
      <c r="U1196">
        <v>1056</v>
      </c>
      <c r="X1196">
        <v>8867</v>
      </c>
      <c r="AM1196">
        <v>7864</v>
      </c>
      <c r="AN1196">
        <v>14400</v>
      </c>
    </row>
    <row r="1197" spans="1:43" hidden="1" x14ac:dyDescent="0.25">
      <c r="A1197" t="s">
        <v>22</v>
      </c>
      <c r="B1197" t="s">
        <v>73</v>
      </c>
      <c r="C1197" t="s">
        <v>354</v>
      </c>
      <c r="D1197">
        <v>45429</v>
      </c>
      <c r="E1197" t="s">
        <v>707</v>
      </c>
      <c r="F1197">
        <v>95.492000000000004</v>
      </c>
      <c r="G1197">
        <v>2012</v>
      </c>
      <c r="J1197">
        <f>12500+14298</f>
        <v>26798</v>
      </c>
      <c r="L1197">
        <v>546</v>
      </c>
      <c r="M1197">
        <v>6495</v>
      </c>
      <c r="U1197">
        <v>2864</v>
      </c>
      <c r="X1197">
        <v>6348</v>
      </c>
      <c r="AB1197">
        <v>25778</v>
      </c>
      <c r="AM1197">
        <v>17688</v>
      </c>
      <c r="AN1197">
        <v>6975</v>
      </c>
    </row>
    <row r="1198" spans="1:43" hidden="1" x14ac:dyDescent="0.25">
      <c r="A1198" t="s">
        <v>22</v>
      </c>
      <c r="B1198" t="s">
        <v>73</v>
      </c>
      <c r="C1198" t="s">
        <v>355</v>
      </c>
      <c r="D1198">
        <v>46801</v>
      </c>
      <c r="E1198" t="s">
        <v>707</v>
      </c>
      <c r="F1198">
        <v>20.864999999999998</v>
      </c>
      <c r="G1198">
        <v>2012</v>
      </c>
      <c r="J1198">
        <f>11308</f>
        <v>11308</v>
      </c>
      <c r="L1198">
        <v>470</v>
      </c>
      <c r="M1198">
        <v>151</v>
      </c>
      <c r="U1198">
        <v>1078</v>
      </c>
      <c r="X1198">
        <v>6608</v>
      </c>
      <c r="AN1198">
        <v>1250</v>
      </c>
    </row>
    <row r="1199" spans="1:43" hidden="1" x14ac:dyDescent="0.25">
      <c r="A1199" t="s">
        <v>22</v>
      </c>
      <c r="B1199" t="s">
        <v>73</v>
      </c>
      <c r="C1199" t="s">
        <v>346</v>
      </c>
      <c r="D1199">
        <v>19083</v>
      </c>
      <c r="E1199" t="s">
        <v>707</v>
      </c>
      <c r="F1199">
        <v>64.944999999999993</v>
      </c>
      <c r="G1199">
        <v>2013</v>
      </c>
      <c r="J1199">
        <f>12750+34437</f>
        <v>47187</v>
      </c>
      <c r="L1199">
        <v>546</v>
      </c>
      <c r="M1199">
        <v>3114</v>
      </c>
      <c r="U1199">
        <v>693</v>
      </c>
      <c r="X1199">
        <v>550</v>
      </c>
      <c r="AM1199">
        <v>2855</v>
      </c>
      <c r="AN1199">
        <v>10000</v>
      </c>
    </row>
    <row r="1200" spans="1:43" hidden="1" x14ac:dyDescent="0.25">
      <c r="A1200" t="s">
        <v>22</v>
      </c>
      <c r="B1200" t="s">
        <v>73</v>
      </c>
      <c r="C1200" t="s">
        <v>348</v>
      </c>
      <c r="D1200">
        <v>30185</v>
      </c>
      <c r="E1200" t="s">
        <v>707</v>
      </c>
      <c r="F1200">
        <v>95.921999999999997</v>
      </c>
      <c r="G1200">
        <v>2013</v>
      </c>
      <c r="J1200">
        <f>12750+55375</f>
        <v>68125</v>
      </c>
      <c r="L1200">
        <v>546</v>
      </c>
      <c r="M1200">
        <v>6229</v>
      </c>
      <c r="U1200">
        <v>153</v>
      </c>
      <c r="X1200">
        <v>7238</v>
      </c>
      <c r="AM1200">
        <v>4968</v>
      </c>
      <c r="AN1200">
        <v>8663</v>
      </c>
    </row>
    <row r="1201" spans="1:42" hidden="1" x14ac:dyDescent="0.25">
      <c r="A1201" t="s">
        <v>22</v>
      </c>
      <c r="B1201" t="s">
        <v>73</v>
      </c>
      <c r="C1201" t="s">
        <v>349</v>
      </c>
      <c r="D1201">
        <v>36965</v>
      </c>
      <c r="E1201" t="s">
        <v>708</v>
      </c>
      <c r="F1201">
        <v>153.88</v>
      </c>
      <c r="G1201">
        <v>2013</v>
      </c>
      <c r="J1201">
        <f>12750+111630</f>
        <v>124380</v>
      </c>
      <c r="L1201">
        <v>546</v>
      </c>
      <c r="M1201">
        <v>2189</v>
      </c>
      <c r="U1201">
        <v>3781</v>
      </c>
      <c r="X1201">
        <v>9160</v>
      </c>
      <c r="AM1201">
        <v>1824</v>
      </c>
      <c r="AN1201">
        <v>12000</v>
      </c>
    </row>
    <row r="1202" spans="1:42" hidden="1" x14ac:dyDescent="0.25">
      <c r="A1202" t="s">
        <v>22</v>
      </c>
      <c r="B1202" t="s">
        <v>73</v>
      </c>
      <c r="C1202" t="s">
        <v>354</v>
      </c>
      <c r="D1202">
        <v>45429</v>
      </c>
      <c r="E1202" t="s">
        <v>707</v>
      </c>
      <c r="F1202">
        <v>78.064999999999998</v>
      </c>
      <c r="G1202">
        <v>2013</v>
      </c>
      <c r="J1202">
        <f>12750+22954</f>
        <v>35704</v>
      </c>
      <c r="L1202">
        <v>546</v>
      </c>
      <c r="M1202">
        <v>10748</v>
      </c>
      <c r="U1202">
        <v>11117</v>
      </c>
      <c r="X1202">
        <v>3365</v>
      </c>
      <c r="AM1202">
        <v>6585</v>
      </c>
      <c r="AN1202">
        <v>10000</v>
      </c>
    </row>
    <row r="1203" spans="1:42" hidden="1" x14ac:dyDescent="0.25">
      <c r="A1203" t="s">
        <v>22</v>
      </c>
      <c r="B1203" t="s">
        <v>73</v>
      </c>
      <c r="C1203" t="s">
        <v>356</v>
      </c>
      <c r="D1203">
        <v>48508</v>
      </c>
      <c r="E1203" t="s">
        <v>707</v>
      </c>
      <c r="F1203">
        <v>56.488</v>
      </c>
      <c r="G1203">
        <v>2013</v>
      </c>
      <c r="J1203">
        <f>12750+22797</f>
        <v>35547</v>
      </c>
      <c r="L1203">
        <v>546</v>
      </c>
      <c r="M1203">
        <v>2419</v>
      </c>
      <c r="U1203">
        <v>4526</v>
      </c>
      <c r="X1203">
        <v>9040</v>
      </c>
      <c r="AM1203">
        <v>2645</v>
      </c>
      <c r="AN1203">
        <v>1765</v>
      </c>
    </row>
    <row r="1204" spans="1:42" hidden="1" x14ac:dyDescent="0.25">
      <c r="A1204" t="s">
        <v>22</v>
      </c>
      <c r="B1204" t="s">
        <v>73</v>
      </c>
      <c r="C1204" t="s">
        <v>346</v>
      </c>
      <c r="D1204">
        <v>19083</v>
      </c>
      <c r="E1204" t="s">
        <v>707</v>
      </c>
      <c r="F1204">
        <v>63.624000000000002</v>
      </c>
      <c r="G1204">
        <v>2014</v>
      </c>
      <c r="J1204">
        <f>13000+30424</f>
        <v>43424</v>
      </c>
      <c r="L1204">
        <v>546</v>
      </c>
      <c r="M1204">
        <v>6821</v>
      </c>
      <c r="U1204">
        <v>23</v>
      </c>
      <c r="X1204">
        <v>191</v>
      </c>
      <c r="AM1204">
        <v>2619</v>
      </c>
      <c r="AN1204">
        <v>10000</v>
      </c>
    </row>
    <row r="1205" spans="1:42" hidden="1" x14ac:dyDescent="0.25">
      <c r="A1205" t="s">
        <v>22</v>
      </c>
      <c r="B1205" t="s">
        <v>73</v>
      </c>
      <c r="C1205" t="s">
        <v>348</v>
      </c>
      <c r="D1205">
        <v>30185</v>
      </c>
      <c r="E1205" t="s">
        <v>707</v>
      </c>
      <c r="F1205">
        <v>91.497</v>
      </c>
      <c r="G1205">
        <v>2014</v>
      </c>
      <c r="J1205">
        <f>13000+48827</f>
        <v>61827</v>
      </c>
      <c r="L1205">
        <v>546</v>
      </c>
      <c r="M1205">
        <v>4734</v>
      </c>
      <c r="U1205">
        <v>3615</v>
      </c>
      <c r="X1205">
        <v>8525</v>
      </c>
      <c r="AN1205">
        <v>12250</v>
      </c>
    </row>
    <row r="1206" spans="1:42" hidden="1" x14ac:dyDescent="0.25">
      <c r="A1206" t="s">
        <v>22</v>
      </c>
      <c r="B1206" t="s">
        <v>73</v>
      </c>
      <c r="C1206" t="s">
        <v>349</v>
      </c>
      <c r="D1206">
        <v>36965</v>
      </c>
      <c r="E1206" t="s">
        <v>708</v>
      </c>
      <c r="F1206">
        <v>132.23500000000001</v>
      </c>
      <c r="G1206">
        <v>2014</v>
      </c>
      <c r="J1206">
        <f>13000+103258</f>
        <v>116258</v>
      </c>
      <c r="L1206">
        <v>546</v>
      </c>
      <c r="M1206">
        <v>3961</v>
      </c>
      <c r="U1206">
        <v>1197</v>
      </c>
      <c r="X1206">
        <v>8846</v>
      </c>
      <c r="AM1206">
        <v>1427</v>
      </c>
    </row>
    <row r="1207" spans="1:42" hidden="1" x14ac:dyDescent="0.25">
      <c r="A1207" t="s">
        <v>22</v>
      </c>
      <c r="B1207" t="s">
        <v>73</v>
      </c>
      <c r="C1207" t="s">
        <v>357</v>
      </c>
      <c r="D1207">
        <v>50165</v>
      </c>
      <c r="E1207" t="s">
        <v>707</v>
      </c>
      <c r="F1207">
        <v>49.53</v>
      </c>
      <c r="G1207">
        <v>2014</v>
      </c>
      <c r="J1207">
        <f>13000+17593</f>
        <v>30593</v>
      </c>
      <c r="L1207">
        <v>546</v>
      </c>
      <c r="M1207">
        <v>2802</v>
      </c>
      <c r="U1207">
        <v>4520</v>
      </c>
      <c r="X1207">
        <v>1069</v>
      </c>
      <c r="AN1207">
        <v>10000</v>
      </c>
    </row>
    <row r="1208" spans="1:42" hidden="1" x14ac:dyDescent="0.25">
      <c r="A1208" t="s">
        <v>22</v>
      </c>
      <c r="B1208" t="s">
        <v>73</v>
      </c>
      <c r="C1208" t="s">
        <v>358</v>
      </c>
      <c r="D1208">
        <v>50166</v>
      </c>
      <c r="E1208" t="s">
        <v>707</v>
      </c>
      <c r="F1208">
        <v>2.379</v>
      </c>
      <c r="G1208">
        <v>2014</v>
      </c>
      <c r="L1208">
        <v>546</v>
      </c>
      <c r="U1208">
        <v>1833</v>
      </c>
    </row>
    <row r="1209" spans="1:42" hidden="1" x14ac:dyDescent="0.25">
      <c r="A1209" t="s">
        <v>22</v>
      </c>
      <c r="B1209" t="s">
        <v>73</v>
      </c>
      <c r="C1209" t="s">
        <v>346</v>
      </c>
      <c r="D1209">
        <v>19083</v>
      </c>
      <c r="E1209" t="s">
        <v>707</v>
      </c>
      <c r="F1209">
        <v>77.682000000000002</v>
      </c>
      <c r="G1209">
        <v>2015</v>
      </c>
      <c r="J1209">
        <f>13250+31657</f>
        <v>44907</v>
      </c>
      <c r="L1209">
        <v>546</v>
      </c>
      <c r="M1209">
        <f>10692+8692</f>
        <v>19384</v>
      </c>
      <c r="U1209">
        <v>1424</v>
      </c>
      <c r="X1209">
        <v>490</v>
      </c>
      <c r="AM1209">
        <v>8692</v>
      </c>
      <c r="AN1209">
        <v>10250</v>
      </c>
    </row>
    <row r="1210" spans="1:42" hidden="1" x14ac:dyDescent="0.25">
      <c r="A1210" t="s">
        <v>22</v>
      </c>
      <c r="B1210" t="s">
        <v>73</v>
      </c>
      <c r="C1210" t="s">
        <v>348</v>
      </c>
      <c r="D1210">
        <v>30185</v>
      </c>
      <c r="E1210" t="s">
        <v>707</v>
      </c>
      <c r="F1210">
        <v>88.727999999999994</v>
      </c>
      <c r="G1210">
        <v>2015</v>
      </c>
      <c r="J1210">
        <f>13250+50514</f>
        <v>63764</v>
      </c>
      <c r="L1210">
        <v>546</v>
      </c>
      <c r="M1210">
        <f>10692+3382</f>
        <v>14074</v>
      </c>
      <c r="U1210">
        <v>244</v>
      </c>
      <c r="X1210">
        <v>1250</v>
      </c>
      <c r="AM1210">
        <v>3382</v>
      </c>
      <c r="AN1210">
        <v>8850</v>
      </c>
    </row>
    <row r="1211" spans="1:42" hidden="1" x14ac:dyDescent="0.25">
      <c r="A1211" t="s">
        <v>22</v>
      </c>
      <c r="B1211" t="s">
        <v>73</v>
      </c>
      <c r="C1211" t="s">
        <v>349</v>
      </c>
      <c r="D1211">
        <v>36965</v>
      </c>
      <c r="E1211" t="s">
        <v>708</v>
      </c>
      <c r="F1211">
        <v>137.86000000000001</v>
      </c>
      <c r="G1211">
        <v>2015</v>
      </c>
      <c r="J1211">
        <f>13250+102171</f>
        <v>115421</v>
      </c>
      <c r="L1211">
        <v>546</v>
      </c>
      <c r="M1211">
        <f>10692+2026</f>
        <v>12718</v>
      </c>
      <c r="U1211">
        <v>598</v>
      </c>
      <c r="X1211">
        <v>8577</v>
      </c>
      <c r="AM1211">
        <v>2026</v>
      </c>
    </row>
    <row r="1212" spans="1:42" hidden="1" x14ac:dyDescent="0.25">
      <c r="A1212" t="s">
        <v>22</v>
      </c>
      <c r="B1212" t="s">
        <v>73</v>
      </c>
      <c r="C1212" t="s">
        <v>355</v>
      </c>
      <c r="D1212">
        <v>46801</v>
      </c>
      <c r="E1212" t="s">
        <v>707</v>
      </c>
      <c r="F1212">
        <v>73.471000000000004</v>
      </c>
      <c r="G1212">
        <v>2015</v>
      </c>
      <c r="J1212">
        <f>13250+16770</f>
        <v>30020</v>
      </c>
      <c r="L1212">
        <v>546</v>
      </c>
      <c r="M1212">
        <f>10692+8572</f>
        <v>19264</v>
      </c>
      <c r="U1212">
        <v>765</v>
      </c>
      <c r="X1212">
        <v>12876</v>
      </c>
      <c r="AM1212">
        <v>8572</v>
      </c>
      <c r="AN1212">
        <v>10000</v>
      </c>
    </row>
    <row r="1213" spans="1:42" hidden="1" x14ac:dyDescent="0.25">
      <c r="A1213" t="s">
        <v>22</v>
      </c>
      <c r="B1213" t="s">
        <v>73</v>
      </c>
      <c r="C1213" t="s">
        <v>358</v>
      </c>
      <c r="D1213">
        <v>50166</v>
      </c>
      <c r="E1213" t="s">
        <v>707</v>
      </c>
      <c r="F1213">
        <v>80.171000000000006</v>
      </c>
      <c r="G1213">
        <v>2015</v>
      </c>
      <c r="J1213">
        <f>13250+24075</f>
        <v>37325</v>
      </c>
      <c r="L1213">
        <v>546</v>
      </c>
      <c r="M1213">
        <f>10692</f>
        <v>10692</v>
      </c>
      <c r="U1213">
        <v>7197</v>
      </c>
      <c r="X1213">
        <v>18663</v>
      </c>
      <c r="AN1213">
        <v>5748</v>
      </c>
    </row>
    <row r="1214" spans="1:42" hidden="1" x14ac:dyDescent="0.25">
      <c r="A1214" t="s">
        <v>22</v>
      </c>
      <c r="B1214" t="s">
        <v>73</v>
      </c>
      <c r="C1214" t="s">
        <v>359</v>
      </c>
      <c r="D1214">
        <v>52143</v>
      </c>
      <c r="E1214" t="s">
        <v>707</v>
      </c>
      <c r="F1214">
        <v>379.45</v>
      </c>
      <c r="G1214">
        <v>2015</v>
      </c>
      <c r="L1214">
        <v>546</v>
      </c>
      <c r="M1214">
        <v>4455</v>
      </c>
      <c r="U1214">
        <v>5590</v>
      </c>
      <c r="X1214">
        <v>35780</v>
      </c>
      <c r="AB1214">
        <v>185396</v>
      </c>
      <c r="AP1214">
        <v>147683</v>
      </c>
    </row>
    <row r="1215" spans="1:42" hidden="1" x14ac:dyDescent="0.25">
      <c r="A1215" t="s">
        <v>22</v>
      </c>
      <c r="B1215" t="s">
        <v>73</v>
      </c>
      <c r="C1215" t="s">
        <v>349</v>
      </c>
      <c r="D1215">
        <v>36965</v>
      </c>
      <c r="E1215" t="s">
        <v>708</v>
      </c>
      <c r="F1215">
        <v>76.543999999999997</v>
      </c>
      <c r="G1215">
        <v>2016</v>
      </c>
      <c r="J1215">
        <f>13250+36000</f>
        <v>49250</v>
      </c>
      <c r="L1215">
        <v>546</v>
      </c>
      <c r="M1215">
        <v>10692</v>
      </c>
      <c r="U1215">
        <f>6814+7492</f>
        <v>14306</v>
      </c>
      <c r="X1215">
        <v>1250</v>
      </c>
      <c r="AM1215">
        <v>500</v>
      </c>
    </row>
    <row r="1216" spans="1:42" hidden="1" x14ac:dyDescent="0.25">
      <c r="A1216" t="s">
        <v>22</v>
      </c>
      <c r="B1216" t="s">
        <v>73</v>
      </c>
      <c r="C1216" t="s">
        <v>355</v>
      </c>
      <c r="D1216">
        <v>46801</v>
      </c>
      <c r="E1216" t="s">
        <v>707</v>
      </c>
      <c r="F1216">
        <v>64.721000000000004</v>
      </c>
      <c r="G1216">
        <v>2016</v>
      </c>
      <c r="J1216">
        <f>13250+13132</f>
        <v>26382</v>
      </c>
      <c r="L1216">
        <v>546</v>
      </c>
      <c r="M1216">
        <v>10692</v>
      </c>
      <c r="U1216">
        <f>5310+2010</f>
        <v>7320</v>
      </c>
      <c r="X1216">
        <v>6580</v>
      </c>
      <c r="AM1216">
        <v>3201</v>
      </c>
      <c r="AN1216">
        <v>10000</v>
      </c>
    </row>
    <row r="1217" spans="1:52" hidden="1" x14ac:dyDescent="0.25">
      <c r="A1217" t="s">
        <v>22</v>
      </c>
      <c r="B1217" t="s">
        <v>73</v>
      </c>
      <c r="C1217" t="s">
        <v>358</v>
      </c>
      <c r="D1217">
        <v>50166</v>
      </c>
      <c r="E1217" t="s">
        <v>707</v>
      </c>
      <c r="F1217">
        <v>80.569999999999993</v>
      </c>
      <c r="G1217">
        <v>2016</v>
      </c>
      <c r="J1217">
        <f>13250+35350</f>
        <v>48600</v>
      </c>
      <c r="L1217">
        <v>546</v>
      </c>
      <c r="M1217">
        <v>10692</v>
      </c>
      <c r="U1217">
        <f>4491+2962</f>
        <v>7453</v>
      </c>
      <c r="AM1217">
        <v>9214</v>
      </c>
      <c r="AN1217">
        <v>4065</v>
      </c>
    </row>
    <row r="1218" spans="1:52" hidden="1" x14ac:dyDescent="0.25">
      <c r="A1218" t="s">
        <v>22</v>
      </c>
      <c r="B1218" t="s">
        <v>73</v>
      </c>
      <c r="C1218" t="s">
        <v>359</v>
      </c>
      <c r="D1218">
        <v>52143</v>
      </c>
      <c r="E1218" t="s">
        <v>707</v>
      </c>
      <c r="F1218">
        <v>63.302999999999997</v>
      </c>
      <c r="G1218">
        <v>2016</v>
      </c>
      <c r="J1218">
        <f>13250+22212</f>
        <v>35462</v>
      </c>
      <c r="L1218">
        <v>546</v>
      </c>
      <c r="M1218">
        <v>10692</v>
      </c>
      <c r="U1218">
        <f>6749+2259</f>
        <v>9008</v>
      </c>
      <c r="X1218">
        <v>5895</v>
      </c>
      <c r="AN1218">
        <v>1700</v>
      </c>
    </row>
    <row r="1219" spans="1:52" hidden="1" x14ac:dyDescent="0.25">
      <c r="A1219" t="s">
        <v>22</v>
      </c>
      <c r="B1219" t="s">
        <v>73</v>
      </c>
      <c r="C1219" t="s">
        <v>360</v>
      </c>
      <c r="D1219">
        <v>54242</v>
      </c>
      <c r="E1219" t="s">
        <v>707</v>
      </c>
      <c r="F1219">
        <v>30.702999999999999</v>
      </c>
      <c r="G1219">
        <v>2016</v>
      </c>
      <c r="J1219">
        <v>12308</v>
      </c>
      <c r="L1219">
        <v>546</v>
      </c>
      <c r="M1219">
        <v>5364</v>
      </c>
      <c r="U1219">
        <f>2279+1956</f>
        <v>4235</v>
      </c>
      <c r="X1219">
        <v>5850</v>
      </c>
      <c r="AN1219">
        <v>2400</v>
      </c>
    </row>
    <row r="1220" spans="1:52" hidden="1" x14ac:dyDescent="0.25">
      <c r="A1220" t="s">
        <v>22</v>
      </c>
      <c r="B1220" t="s">
        <v>73</v>
      </c>
      <c r="C1220" t="s">
        <v>349</v>
      </c>
      <c r="D1220">
        <v>36965</v>
      </c>
      <c r="E1220" t="s">
        <v>708</v>
      </c>
      <c r="F1220">
        <v>88.843999999999994</v>
      </c>
      <c r="G1220">
        <v>2017</v>
      </c>
      <c r="J1220">
        <f>13500+35750</f>
        <v>49250</v>
      </c>
      <c r="L1220">
        <v>546</v>
      </c>
      <c r="M1220">
        <v>11436</v>
      </c>
      <c r="U1220">
        <f>4127+306+4192</f>
        <v>8625</v>
      </c>
      <c r="X1220">
        <v>9060</v>
      </c>
      <c r="AM1220">
        <v>9927</v>
      </c>
    </row>
    <row r="1221" spans="1:52" hidden="1" x14ac:dyDescent="0.25">
      <c r="A1221" t="s">
        <v>22</v>
      </c>
      <c r="B1221" t="s">
        <v>73</v>
      </c>
      <c r="C1221" t="s">
        <v>356</v>
      </c>
      <c r="D1221">
        <v>48508</v>
      </c>
      <c r="E1221" t="s">
        <v>707</v>
      </c>
      <c r="F1221">
        <v>71.885999999999996</v>
      </c>
      <c r="G1221">
        <v>2017</v>
      </c>
      <c r="J1221">
        <f>13500+16096</f>
        <v>29596</v>
      </c>
      <c r="L1221">
        <v>546</v>
      </c>
      <c r="M1221">
        <v>11436</v>
      </c>
      <c r="U1221">
        <f>1322+1869+3017</f>
        <v>6208</v>
      </c>
      <c r="X1221">
        <v>14100</v>
      </c>
      <c r="AN1221">
        <v>10000</v>
      </c>
    </row>
    <row r="1222" spans="1:52" hidden="1" x14ac:dyDescent="0.25">
      <c r="A1222" t="s">
        <v>22</v>
      </c>
      <c r="B1222" t="s">
        <v>73</v>
      </c>
      <c r="C1222" t="s">
        <v>358</v>
      </c>
      <c r="D1222">
        <v>50166</v>
      </c>
      <c r="E1222" t="s">
        <v>707</v>
      </c>
      <c r="F1222">
        <v>75.266000000000005</v>
      </c>
      <c r="G1222">
        <v>2017</v>
      </c>
      <c r="J1222">
        <f>13500+18327</f>
        <v>31827</v>
      </c>
      <c r="L1222">
        <v>546</v>
      </c>
      <c r="M1222">
        <v>11436</v>
      </c>
      <c r="U1222">
        <f>3201+5708+8423</f>
        <v>17332</v>
      </c>
      <c r="X1222">
        <v>9060</v>
      </c>
      <c r="AN1222">
        <v>5065</v>
      </c>
    </row>
    <row r="1223" spans="1:52" hidden="1" x14ac:dyDescent="0.25">
      <c r="A1223" t="s">
        <v>22</v>
      </c>
      <c r="B1223" t="s">
        <v>73</v>
      </c>
      <c r="C1223" t="s">
        <v>359</v>
      </c>
      <c r="D1223">
        <v>52143</v>
      </c>
      <c r="E1223" t="s">
        <v>707</v>
      </c>
      <c r="F1223">
        <v>153.41399999999999</v>
      </c>
      <c r="G1223">
        <v>2017</v>
      </c>
      <c r="J1223">
        <f>13500+15096</f>
        <v>28596</v>
      </c>
      <c r="L1223">
        <v>546</v>
      </c>
      <c r="M1223">
        <v>11436</v>
      </c>
      <c r="U1223">
        <f>2016+22229+22925</f>
        <v>47170</v>
      </c>
      <c r="X1223">
        <v>3970</v>
      </c>
      <c r="AM1223">
        <v>17899</v>
      </c>
      <c r="AN1223">
        <v>1475</v>
      </c>
    </row>
    <row r="1224" spans="1:52" hidden="1" x14ac:dyDescent="0.25">
      <c r="A1224" t="s">
        <v>22</v>
      </c>
      <c r="B1224" t="s">
        <v>73</v>
      </c>
      <c r="C1224" t="s">
        <v>361</v>
      </c>
      <c r="D1224">
        <v>61133</v>
      </c>
      <c r="E1224" t="s">
        <v>707</v>
      </c>
      <c r="F1224">
        <v>64.277000000000001</v>
      </c>
      <c r="G1224">
        <v>2017</v>
      </c>
      <c r="L1224">
        <v>546</v>
      </c>
      <c r="M1224">
        <v>546</v>
      </c>
      <c r="U1224">
        <f>71+8577+8177</f>
        <v>16825</v>
      </c>
      <c r="AB1224">
        <v>45000</v>
      </c>
    </row>
    <row r="1225" spans="1:52" hidden="1" x14ac:dyDescent="0.25">
      <c r="A1225" t="s">
        <v>22</v>
      </c>
      <c r="B1225" t="s">
        <v>73</v>
      </c>
      <c r="C1225" t="s">
        <v>349</v>
      </c>
      <c r="D1225">
        <v>36965</v>
      </c>
      <c r="E1225" t="s">
        <v>708</v>
      </c>
      <c r="F1225">
        <v>202.89400000000001</v>
      </c>
      <c r="G1225">
        <v>2018</v>
      </c>
      <c r="J1225">
        <f>13750+127472</f>
        <v>141222</v>
      </c>
      <c r="L1225">
        <v>546</v>
      </c>
      <c r="M1225">
        <v>14412</v>
      </c>
      <c r="U1225">
        <f>5943+4262</f>
        <v>10205</v>
      </c>
      <c r="X1225">
        <v>10653</v>
      </c>
      <c r="AM1225">
        <v>2093</v>
      </c>
      <c r="AN1225">
        <v>15000</v>
      </c>
      <c r="AP1225" t="s">
        <v>749</v>
      </c>
      <c r="AR1225" t="s">
        <v>749</v>
      </c>
    </row>
    <row r="1226" spans="1:52" hidden="1" x14ac:dyDescent="0.25">
      <c r="A1226" t="s">
        <v>22</v>
      </c>
      <c r="B1226" t="s">
        <v>73</v>
      </c>
      <c r="C1226" t="s">
        <v>358</v>
      </c>
      <c r="D1226">
        <v>50166</v>
      </c>
      <c r="E1226" t="s">
        <v>707</v>
      </c>
      <c r="F1226">
        <v>152.518</v>
      </c>
      <c r="G1226">
        <v>2018</v>
      </c>
      <c r="J1226">
        <f>13750+60408</f>
        <v>74158</v>
      </c>
      <c r="L1226">
        <v>546</v>
      </c>
      <c r="M1226">
        <v>14412</v>
      </c>
      <c r="U1226">
        <f>5262+19335</f>
        <v>24597</v>
      </c>
      <c r="X1226">
        <v>9910</v>
      </c>
      <c r="AM1226">
        <v>3642</v>
      </c>
      <c r="AN1226">
        <v>4130</v>
      </c>
      <c r="AP1226" t="s">
        <v>749</v>
      </c>
      <c r="AR1226" t="s">
        <v>749</v>
      </c>
    </row>
    <row r="1227" spans="1:52" hidden="1" x14ac:dyDescent="0.25">
      <c r="A1227" t="s">
        <v>22</v>
      </c>
      <c r="B1227" t="s">
        <v>73</v>
      </c>
      <c r="C1227" t="s">
        <v>359</v>
      </c>
      <c r="D1227">
        <v>52143</v>
      </c>
      <c r="E1227" t="s">
        <v>707</v>
      </c>
      <c r="F1227">
        <v>183.33099999999999</v>
      </c>
      <c r="G1227">
        <v>2018</v>
      </c>
      <c r="J1227">
        <f>13750+53406</f>
        <v>67156</v>
      </c>
      <c r="L1227">
        <v>546</v>
      </c>
      <c r="M1227">
        <v>14412</v>
      </c>
      <c r="U1227">
        <f>4873+51440</f>
        <v>56313</v>
      </c>
      <c r="X1227">
        <v>5196</v>
      </c>
      <c r="AM1227">
        <v>4579</v>
      </c>
      <c r="AN1227">
        <v>1575</v>
      </c>
      <c r="AP1227" t="s">
        <v>749</v>
      </c>
      <c r="AR1227" t="s">
        <v>749</v>
      </c>
    </row>
    <row r="1228" spans="1:52" hidden="1" x14ac:dyDescent="0.25">
      <c r="A1228" t="s">
        <v>22</v>
      </c>
      <c r="B1228" t="s">
        <v>73</v>
      </c>
      <c r="C1228" t="s">
        <v>362</v>
      </c>
      <c r="D1228">
        <v>61132</v>
      </c>
      <c r="E1228" t="s">
        <v>707</v>
      </c>
      <c r="F1228">
        <v>215.89099999999999</v>
      </c>
      <c r="G1228">
        <v>2018</v>
      </c>
      <c r="J1228">
        <v>13750</v>
      </c>
      <c r="L1228">
        <v>501</v>
      </c>
      <c r="M1228">
        <v>10252</v>
      </c>
      <c r="U1228">
        <f>963+5261</f>
        <v>6224</v>
      </c>
      <c r="X1228">
        <v>45390</v>
      </c>
      <c r="AB1228">
        <v>82349</v>
      </c>
      <c r="AN1228">
        <v>10000</v>
      </c>
      <c r="AP1228" t="s">
        <v>749</v>
      </c>
      <c r="AR1228" t="s">
        <v>749</v>
      </c>
    </row>
    <row r="1229" spans="1:52" hidden="1" x14ac:dyDescent="0.25">
      <c r="A1229" t="s">
        <v>22</v>
      </c>
      <c r="B1229" t="s">
        <v>73</v>
      </c>
      <c r="C1229" t="s">
        <v>361</v>
      </c>
      <c r="D1229">
        <v>61133</v>
      </c>
      <c r="E1229" t="s">
        <v>707</v>
      </c>
      <c r="F1229">
        <v>242.93799999999999</v>
      </c>
      <c r="G1229">
        <v>2018</v>
      </c>
      <c r="J1229">
        <f>13750</f>
        <v>13750</v>
      </c>
      <c r="L1229">
        <v>546</v>
      </c>
      <c r="M1229">
        <v>14412</v>
      </c>
      <c r="U1229">
        <f>5296+54170</f>
        <v>59466</v>
      </c>
      <c r="AB1229">
        <v>52679</v>
      </c>
      <c r="AP1229" t="s">
        <v>749</v>
      </c>
      <c r="AR1229" t="s">
        <v>749</v>
      </c>
    </row>
    <row r="1230" spans="1:52" s="4" customFormat="1" hidden="1" x14ac:dyDescent="0.25">
      <c r="A1230" s="4" t="s">
        <v>23</v>
      </c>
      <c r="B1230" s="4" t="s">
        <v>74</v>
      </c>
      <c r="C1230" s="4" t="s">
        <v>363</v>
      </c>
      <c r="D1230" s="4">
        <v>4440</v>
      </c>
      <c r="E1230" s="4" t="s">
        <v>707</v>
      </c>
      <c r="F1230" s="4">
        <v>19.231000000000002</v>
      </c>
      <c r="G1230" s="4">
        <v>2006</v>
      </c>
      <c r="AK1230" s="4">
        <v>19231</v>
      </c>
      <c r="AZ1230" s="7"/>
    </row>
    <row r="1231" spans="1:52" hidden="1" x14ac:dyDescent="0.25">
      <c r="A1231" t="s">
        <v>23</v>
      </c>
      <c r="B1231" t="s">
        <v>74</v>
      </c>
      <c r="C1231" t="s">
        <v>364</v>
      </c>
      <c r="D1231">
        <v>14626</v>
      </c>
      <c r="E1231" t="s">
        <v>707</v>
      </c>
      <c r="F1231">
        <v>0</v>
      </c>
      <c r="G1231">
        <v>2006</v>
      </c>
    </row>
    <row r="1232" spans="1:52" hidden="1" x14ac:dyDescent="0.25">
      <c r="A1232" t="s">
        <v>23</v>
      </c>
      <c r="B1232" t="s">
        <v>74</v>
      </c>
      <c r="C1232" t="s">
        <v>365</v>
      </c>
      <c r="D1232">
        <v>21057</v>
      </c>
      <c r="E1232" t="s">
        <v>708</v>
      </c>
      <c r="F1232">
        <v>0</v>
      </c>
      <c r="G1232">
        <v>2006</v>
      </c>
      <c r="AK1232">
        <v>13462</v>
      </c>
    </row>
    <row r="1233" spans="1:42" hidden="1" x14ac:dyDescent="0.25">
      <c r="A1233" t="s">
        <v>23</v>
      </c>
      <c r="B1233" t="s">
        <v>74</v>
      </c>
      <c r="C1233" t="s">
        <v>366</v>
      </c>
      <c r="D1233">
        <v>23528</v>
      </c>
      <c r="E1233" t="s">
        <v>707</v>
      </c>
      <c r="F1233">
        <v>0</v>
      </c>
      <c r="G1233">
        <v>2006</v>
      </c>
    </row>
    <row r="1234" spans="1:42" hidden="1" x14ac:dyDescent="0.25">
      <c r="A1234" t="s">
        <v>23</v>
      </c>
      <c r="B1234" t="s">
        <v>74</v>
      </c>
      <c r="C1234" t="s">
        <v>367</v>
      </c>
      <c r="D1234">
        <v>25138</v>
      </c>
      <c r="E1234" t="s">
        <v>707</v>
      </c>
      <c r="F1234">
        <v>0</v>
      </c>
      <c r="G1234">
        <v>2006</v>
      </c>
    </row>
    <row r="1235" spans="1:42" hidden="1" x14ac:dyDescent="0.25">
      <c r="A1235" t="s">
        <v>23</v>
      </c>
      <c r="B1235" t="s">
        <v>74</v>
      </c>
      <c r="C1235" t="s">
        <v>368</v>
      </c>
      <c r="D1235">
        <v>32321</v>
      </c>
      <c r="E1235" t="s">
        <v>707</v>
      </c>
      <c r="F1235">
        <v>0</v>
      </c>
      <c r="G1235">
        <v>2006</v>
      </c>
    </row>
    <row r="1236" spans="1:42" hidden="1" x14ac:dyDescent="0.25">
      <c r="A1236" t="s">
        <v>23</v>
      </c>
      <c r="B1236" t="s">
        <v>74</v>
      </c>
      <c r="C1236" t="s">
        <v>365</v>
      </c>
      <c r="D1236">
        <v>21057</v>
      </c>
      <c r="E1236" t="s">
        <v>708</v>
      </c>
      <c r="F1236">
        <v>0</v>
      </c>
      <c r="G1236">
        <v>2007</v>
      </c>
    </row>
    <row r="1237" spans="1:42" hidden="1" x14ac:dyDescent="0.25">
      <c r="A1237" t="s">
        <v>23</v>
      </c>
      <c r="B1237" t="s">
        <v>74</v>
      </c>
      <c r="C1237" t="s">
        <v>366</v>
      </c>
      <c r="D1237">
        <v>23528</v>
      </c>
      <c r="E1237" t="s">
        <v>707</v>
      </c>
      <c r="F1237">
        <v>0</v>
      </c>
      <c r="G1237">
        <v>2007</v>
      </c>
    </row>
    <row r="1238" spans="1:42" hidden="1" x14ac:dyDescent="0.25">
      <c r="A1238" t="s">
        <v>23</v>
      </c>
      <c r="B1238" t="s">
        <v>74</v>
      </c>
      <c r="C1238" t="s">
        <v>367</v>
      </c>
      <c r="D1238">
        <v>25138</v>
      </c>
      <c r="E1238" t="s">
        <v>707</v>
      </c>
      <c r="F1238">
        <v>0</v>
      </c>
      <c r="G1238">
        <v>2007</v>
      </c>
    </row>
    <row r="1239" spans="1:42" hidden="1" x14ac:dyDescent="0.25">
      <c r="A1239" t="s">
        <v>23</v>
      </c>
      <c r="B1239" t="s">
        <v>74</v>
      </c>
      <c r="C1239" t="s">
        <v>368</v>
      </c>
      <c r="D1239">
        <v>32321</v>
      </c>
      <c r="E1239" t="s">
        <v>707</v>
      </c>
      <c r="F1239">
        <v>9.2309999999999999</v>
      </c>
      <c r="G1239">
        <v>2007</v>
      </c>
      <c r="AK1239">
        <v>9231</v>
      </c>
    </row>
    <row r="1240" spans="1:42" hidden="1" x14ac:dyDescent="0.25">
      <c r="A1240" t="s">
        <v>23</v>
      </c>
      <c r="B1240" t="s">
        <v>74</v>
      </c>
      <c r="C1240" t="s">
        <v>369</v>
      </c>
      <c r="D1240">
        <v>35625</v>
      </c>
      <c r="E1240" t="s">
        <v>707</v>
      </c>
      <c r="F1240">
        <v>16.626000000000001</v>
      </c>
      <c r="G1240">
        <v>2007</v>
      </c>
      <c r="AP1240">
        <v>16626</v>
      </c>
    </row>
    <row r="1241" spans="1:42" hidden="1" x14ac:dyDescent="0.25">
      <c r="A1241" t="s">
        <v>23</v>
      </c>
      <c r="B1241" t="s">
        <v>74</v>
      </c>
      <c r="C1241" t="s">
        <v>370</v>
      </c>
      <c r="D1241">
        <v>35626</v>
      </c>
      <c r="E1241" t="s">
        <v>707</v>
      </c>
      <c r="F1241">
        <v>0</v>
      </c>
      <c r="G1241">
        <v>2007</v>
      </c>
    </row>
    <row r="1242" spans="1:42" hidden="1" x14ac:dyDescent="0.25">
      <c r="A1242" t="s">
        <v>23</v>
      </c>
      <c r="B1242" t="s">
        <v>74</v>
      </c>
      <c r="C1242" t="s">
        <v>365</v>
      </c>
      <c r="D1242">
        <v>21057</v>
      </c>
      <c r="E1242" t="s">
        <v>708</v>
      </c>
      <c r="F1242">
        <v>0</v>
      </c>
      <c r="G1242">
        <v>2008</v>
      </c>
    </row>
    <row r="1243" spans="1:42" hidden="1" x14ac:dyDescent="0.25">
      <c r="A1243" t="s">
        <v>23</v>
      </c>
      <c r="B1243" t="s">
        <v>74</v>
      </c>
      <c r="C1243" t="s">
        <v>366</v>
      </c>
      <c r="D1243">
        <v>23528</v>
      </c>
      <c r="E1243" t="s">
        <v>707</v>
      </c>
      <c r="F1243">
        <v>0</v>
      </c>
      <c r="G1243">
        <v>2008</v>
      </c>
    </row>
    <row r="1244" spans="1:42" hidden="1" x14ac:dyDescent="0.25">
      <c r="A1244" t="s">
        <v>23</v>
      </c>
      <c r="B1244" t="s">
        <v>74</v>
      </c>
      <c r="C1244" t="s">
        <v>367</v>
      </c>
      <c r="D1244">
        <v>25138</v>
      </c>
      <c r="E1244" t="s">
        <v>707</v>
      </c>
      <c r="F1244">
        <v>0</v>
      </c>
      <c r="G1244">
        <v>2008</v>
      </c>
    </row>
    <row r="1245" spans="1:42" hidden="1" x14ac:dyDescent="0.25">
      <c r="A1245" t="s">
        <v>23</v>
      </c>
      <c r="B1245" t="s">
        <v>74</v>
      </c>
      <c r="C1245" t="s">
        <v>368</v>
      </c>
      <c r="D1245">
        <v>32321</v>
      </c>
      <c r="E1245" t="s">
        <v>707</v>
      </c>
      <c r="F1245">
        <v>0</v>
      </c>
      <c r="G1245">
        <v>2008</v>
      </c>
    </row>
    <row r="1246" spans="1:42" hidden="1" x14ac:dyDescent="0.25">
      <c r="A1246" t="s">
        <v>23</v>
      </c>
      <c r="B1246" t="s">
        <v>74</v>
      </c>
      <c r="C1246" t="s">
        <v>369</v>
      </c>
      <c r="D1246">
        <v>35625</v>
      </c>
      <c r="E1246" t="s">
        <v>707</v>
      </c>
      <c r="F1246">
        <v>0</v>
      </c>
      <c r="G1246">
        <v>2008</v>
      </c>
    </row>
    <row r="1247" spans="1:42" hidden="1" x14ac:dyDescent="0.25">
      <c r="A1247" t="s">
        <v>23</v>
      </c>
      <c r="B1247" t="s">
        <v>74</v>
      </c>
      <c r="C1247" t="s">
        <v>370</v>
      </c>
      <c r="D1247">
        <v>35626</v>
      </c>
      <c r="E1247" t="s">
        <v>707</v>
      </c>
      <c r="F1247">
        <v>0</v>
      </c>
      <c r="G1247">
        <v>2008</v>
      </c>
    </row>
    <row r="1248" spans="1:42" hidden="1" x14ac:dyDescent="0.25">
      <c r="A1248" t="s">
        <v>23</v>
      </c>
      <c r="B1248" t="s">
        <v>74</v>
      </c>
      <c r="C1248" t="s">
        <v>365</v>
      </c>
      <c r="D1248">
        <v>21057</v>
      </c>
      <c r="E1248" t="s">
        <v>708</v>
      </c>
      <c r="F1248">
        <v>0</v>
      </c>
      <c r="G1248">
        <v>2009</v>
      </c>
    </row>
    <row r="1249" spans="1:51" hidden="1" x14ac:dyDescent="0.25">
      <c r="A1249" t="s">
        <v>23</v>
      </c>
      <c r="B1249" t="s">
        <v>74</v>
      </c>
      <c r="C1249" t="s">
        <v>366</v>
      </c>
      <c r="D1249">
        <v>23528</v>
      </c>
      <c r="E1249" t="s">
        <v>707</v>
      </c>
      <c r="F1249">
        <v>145.68799999999999</v>
      </c>
      <c r="G1249">
        <v>2009</v>
      </c>
      <c r="AB1249">
        <f>145688-57026</f>
        <v>88662</v>
      </c>
      <c r="AP1249">
        <v>57026</v>
      </c>
    </row>
    <row r="1250" spans="1:51" hidden="1" x14ac:dyDescent="0.25">
      <c r="A1250" t="s">
        <v>23</v>
      </c>
      <c r="B1250" t="s">
        <v>74</v>
      </c>
      <c r="C1250" t="s">
        <v>367</v>
      </c>
      <c r="D1250">
        <v>25138</v>
      </c>
      <c r="E1250" t="s">
        <v>707</v>
      </c>
      <c r="F1250">
        <v>0</v>
      </c>
      <c r="G1250">
        <v>2009</v>
      </c>
    </row>
    <row r="1251" spans="1:51" hidden="1" x14ac:dyDescent="0.25">
      <c r="A1251" t="s">
        <v>23</v>
      </c>
      <c r="B1251" t="s">
        <v>74</v>
      </c>
      <c r="C1251" t="s">
        <v>368</v>
      </c>
      <c r="D1251">
        <v>32321</v>
      </c>
      <c r="E1251" t="s">
        <v>707</v>
      </c>
      <c r="F1251">
        <v>0</v>
      </c>
      <c r="G1251">
        <v>2009</v>
      </c>
    </row>
    <row r="1252" spans="1:51" hidden="1" x14ac:dyDescent="0.25">
      <c r="A1252" t="s">
        <v>23</v>
      </c>
      <c r="B1252" t="s">
        <v>74</v>
      </c>
      <c r="C1252" t="s">
        <v>369</v>
      </c>
      <c r="D1252">
        <v>35625</v>
      </c>
      <c r="E1252" t="s">
        <v>707</v>
      </c>
      <c r="F1252">
        <v>8.8940000000000001</v>
      </c>
      <c r="G1252">
        <v>2009</v>
      </c>
      <c r="AK1252">
        <v>8894</v>
      </c>
    </row>
    <row r="1253" spans="1:51" hidden="1" x14ac:dyDescent="0.25">
      <c r="A1253" t="s">
        <v>23</v>
      </c>
      <c r="B1253" t="s">
        <v>74</v>
      </c>
      <c r="C1253" t="s">
        <v>370</v>
      </c>
      <c r="D1253">
        <v>35626</v>
      </c>
      <c r="E1253" t="s">
        <v>707</v>
      </c>
      <c r="F1253">
        <v>0</v>
      </c>
      <c r="G1253">
        <v>2009</v>
      </c>
    </row>
    <row r="1254" spans="1:51" hidden="1" x14ac:dyDescent="0.25">
      <c r="A1254" t="s">
        <v>23</v>
      </c>
      <c r="B1254" t="s">
        <v>74</v>
      </c>
      <c r="C1254" t="s">
        <v>371</v>
      </c>
      <c r="D1254">
        <v>39362</v>
      </c>
      <c r="E1254" t="s">
        <v>707</v>
      </c>
      <c r="F1254">
        <v>0</v>
      </c>
      <c r="G1254">
        <v>2009</v>
      </c>
    </row>
    <row r="1255" spans="1:51" hidden="1" x14ac:dyDescent="0.25">
      <c r="A1255" t="s">
        <v>23</v>
      </c>
      <c r="B1255" t="s">
        <v>74</v>
      </c>
      <c r="C1255" t="s">
        <v>365</v>
      </c>
      <c r="D1255">
        <v>21057</v>
      </c>
      <c r="E1255" t="s">
        <v>708</v>
      </c>
      <c r="F1255">
        <v>4</v>
      </c>
      <c r="G1255">
        <v>2010</v>
      </c>
      <c r="I1255">
        <v>1</v>
      </c>
    </row>
    <row r="1256" spans="1:51" hidden="1" x14ac:dyDescent="0.25">
      <c r="A1256" t="s">
        <v>23</v>
      </c>
      <c r="B1256" t="s">
        <v>74</v>
      </c>
      <c r="C1256" t="s">
        <v>366</v>
      </c>
      <c r="D1256">
        <v>23528</v>
      </c>
      <c r="E1256" t="s">
        <v>707</v>
      </c>
      <c r="F1256">
        <v>313.03300000000002</v>
      </c>
      <c r="G1256">
        <v>2010</v>
      </c>
      <c r="I1256">
        <v>1</v>
      </c>
    </row>
    <row r="1257" spans="1:51" hidden="1" x14ac:dyDescent="0.25">
      <c r="A1257" t="s">
        <v>23</v>
      </c>
      <c r="B1257" t="s">
        <v>74</v>
      </c>
      <c r="C1257" t="s">
        <v>370</v>
      </c>
      <c r="D1257">
        <v>35626</v>
      </c>
      <c r="E1257" t="s">
        <v>707</v>
      </c>
      <c r="F1257">
        <v>1E-3</v>
      </c>
      <c r="G1257">
        <v>2010</v>
      </c>
      <c r="I1257">
        <v>1</v>
      </c>
    </row>
    <row r="1258" spans="1:51" hidden="1" x14ac:dyDescent="0.25">
      <c r="A1258" t="s">
        <v>23</v>
      </c>
      <c r="B1258" t="s">
        <v>74</v>
      </c>
      <c r="C1258" t="s">
        <v>371</v>
      </c>
      <c r="D1258">
        <v>39362</v>
      </c>
      <c r="E1258" t="s">
        <v>707</v>
      </c>
      <c r="F1258">
        <v>4</v>
      </c>
      <c r="G1258">
        <v>2010</v>
      </c>
      <c r="I1258">
        <v>1</v>
      </c>
    </row>
    <row r="1259" spans="1:51" hidden="1" x14ac:dyDescent="0.25">
      <c r="A1259" t="s">
        <v>23</v>
      </c>
      <c r="B1259" t="s">
        <v>74</v>
      </c>
      <c r="C1259" t="s">
        <v>372</v>
      </c>
      <c r="D1259">
        <v>43445</v>
      </c>
      <c r="E1259" t="s">
        <v>707</v>
      </c>
      <c r="F1259">
        <v>1E-3</v>
      </c>
      <c r="G1259">
        <v>2010</v>
      </c>
      <c r="I1259">
        <v>1</v>
      </c>
    </row>
    <row r="1260" spans="1:51" hidden="1" x14ac:dyDescent="0.25">
      <c r="A1260" t="s">
        <v>23</v>
      </c>
      <c r="B1260" t="s">
        <v>74</v>
      </c>
      <c r="C1260" t="s">
        <v>373</v>
      </c>
      <c r="D1260">
        <v>43446</v>
      </c>
      <c r="E1260" t="s">
        <v>707</v>
      </c>
      <c r="F1260">
        <v>0</v>
      </c>
      <c r="G1260">
        <v>2010</v>
      </c>
    </row>
    <row r="1261" spans="1:51" hidden="1" x14ac:dyDescent="0.25">
      <c r="A1261" t="s">
        <v>23</v>
      </c>
      <c r="B1261" t="s">
        <v>74</v>
      </c>
      <c r="C1261" t="s">
        <v>365</v>
      </c>
      <c r="D1261">
        <v>21057</v>
      </c>
      <c r="E1261" t="s">
        <v>708</v>
      </c>
      <c r="F1261">
        <v>4.7969999999999997</v>
      </c>
      <c r="G1261">
        <v>2011</v>
      </c>
      <c r="I1261">
        <v>1</v>
      </c>
      <c r="AY1261">
        <v>297</v>
      </c>
    </row>
    <row r="1262" spans="1:51" hidden="1" x14ac:dyDescent="0.25">
      <c r="A1262" t="s">
        <v>23</v>
      </c>
      <c r="B1262" t="s">
        <v>74</v>
      </c>
      <c r="C1262" t="s">
        <v>366</v>
      </c>
      <c r="D1262">
        <v>23528</v>
      </c>
      <c r="E1262" t="s">
        <v>707</v>
      </c>
      <c r="F1262">
        <v>456.041</v>
      </c>
      <c r="G1262">
        <v>2011</v>
      </c>
      <c r="AA1262">
        <f>48134+11761</f>
        <v>59895</v>
      </c>
      <c r="AQ1262">
        <v>375882</v>
      </c>
    </row>
    <row r="1263" spans="1:51" hidden="1" x14ac:dyDescent="0.25">
      <c r="A1263" t="s">
        <v>23</v>
      </c>
      <c r="B1263" t="s">
        <v>74</v>
      </c>
      <c r="C1263" t="s">
        <v>371</v>
      </c>
      <c r="D1263">
        <v>39362</v>
      </c>
      <c r="E1263" t="s">
        <v>707</v>
      </c>
      <c r="F1263">
        <v>4.6180000000000003</v>
      </c>
      <c r="G1263">
        <v>2011</v>
      </c>
      <c r="I1263">
        <v>1</v>
      </c>
      <c r="AY1263">
        <v>118</v>
      </c>
    </row>
    <row r="1264" spans="1:51" hidden="1" x14ac:dyDescent="0.25">
      <c r="A1264" t="s">
        <v>23</v>
      </c>
      <c r="B1264" t="s">
        <v>74</v>
      </c>
      <c r="C1264" t="s">
        <v>372</v>
      </c>
      <c r="D1264">
        <v>43445</v>
      </c>
      <c r="E1264" t="s">
        <v>707</v>
      </c>
      <c r="F1264">
        <v>0</v>
      </c>
      <c r="G1264">
        <v>2011</v>
      </c>
    </row>
    <row r="1265" spans="1:51" hidden="1" x14ac:dyDescent="0.25">
      <c r="A1265" t="s">
        <v>23</v>
      </c>
      <c r="B1265" t="s">
        <v>74</v>
      </c>
      <c r="C1265" t="s">
        <v>373</v>
      </c>
      <c r="D1265">
        <v>43446</v>
      </c>
      <c r="E1265" t="s">
        <v>707</v>
      </c>
      <c r="F1265">
        <v>33.753999999999998</v>
      </c>
      <c r="G1265">
        <v>2011</v>
      </c>
      <c r="AY1265">
        <v>33754</v>
      </c>
    </row>
    <row r="1266" spans="1:51" hidden="1" x14ac:dyDescent="0.25">
      <c r="A1266" t="s">
        <v>23</v>
      </c>
      <c r="B1266" t="s">
        <v>74</v>
      </c>
      <c r="C1266" t="s">
        <v>365</v>
      </c>
      <c r="D1266">
        <v>21057</v>
      </c>
      <c r="E1266" t="s">
        <v>708</v>
      </c>
      <c r="F1266">
        <v>4.5</v>
      </c>
      <c r="G1266">
        <v>2012</v>
      </c>
      <c r="J1266">
        <v>4500</v>
      </c>
    </row>
    <row r="1267" spans="1:51" hidden="1" x14ac:dyDescent="0.25">
      <c r="A1267" t="s">
        <v>23</v>
      </c>
      <c r="B1267" t="s">
        <v>74</v>
      </c>
      <c r="C1267" t="s">
        <v>371</v>
      </c>
      <c r="D1267">
        <v>39362</v>
      </c>
      <c r="E1267" t="s">
        <v>707</v>
      </c>
      <c r="F1267">
        <v>4.5750000000000002</v>
      </c>
      <c r="G1267">
        <v>2012</v>
      </c>
      <c r="J1267">
        <v>4500</v>
      </c>
      <c r="AY1267">
        <v>75</v>
      </c>
    </row>
    <row r="1268" spans="1:51" hidden="1" x14ac:dyDescent="0.25">
      <c r="A1268" t="s">
        <v>23</v>
      </c>
      <c r="B1268" t="s">
        <v>74</v>
      </c>
      <c r="C1268" t="s">
        <v>374</v>
      </c>
      <c r="D1268">
        <v>47167</v>
      </c>
      <c r="E1268" t="s">
        <v>707</v>
      </c>
      <c r="F1268">
        <v>872.98099999999999</v>
      </c>
      <c r="G1268">
        <v>2012</v>
      </c>
      <c r="J1268">
        <v>4500</v>
      </c>
      <c r="AA1268">
        <f>144277+64156</f>
        <v>208433</v>
      </c>
      <c r="AQ1268">
        <v>630399</v>
      </c>
    </row>
    <row r="1269" spans="1:51" hidden="1" x14ac:dyDescent="0.25">
      <c r="A1269" t="s">
        <v>23</v>
      </c>
      <c r="B1269" t="s">
        <v>74</v>
      </c>
      <c r="C1269" t="s">
        <v>375</v>
      </c>
      <c r="D1269">
        <v>47168</v>
      </c>
      <c r="E1269" t="s">
        <v>707</v>
      </c>
      <c r="F1269">
        <v>4.5</v>
      </c>
      <c r="G1269">
        <v>2012</v>
      </c>
      <c r="J1269">
        <v>4500</v>
      </c>
    </row>
    <row r="1270" spans="1:51" hidden="1" x14ac:dyDescent="0.25">
      <c r="A1270" t="s">
        <v>23</v>
      </c>
      <c r="B1270" t="s">
        <v>74</v>
      </c>
      <c r="C1270" t="s">
        <v>376</v>
      </c>
      <c r="D1270">
        <v>47169</v>
      </c>
      <c r="E1270" t="s">
        <v>707</v>
      </c>
      <c r="F1270">
        <v>96.759</v>
      </c>
      <c r="G1270">
        <v>2012</v>
      </c>
      <c r="J1270">
        <v>4500</v>
      </c>
      <c r="AB1270">
        <v>92259</v>
      </c>
    </row>
    <row r="1271" spans="1:51" hidden="1" x14ac:dyDescent="0.25">
      <c r="A1271" t="s">
        <v>23</v>
      </c>
      <c r="B1271" t="s">
        <v>74</v>
      </c>
      <c r="C1271" t="s">
        <v>365</v>
      </c>
      <c r="D1271">
        <v>21057</v>
      </c>
      <c r="E1271" t="s">
        <v>708</v>
      </c>
      <c r="F1271">
        <v>132.024</v>
      </c>
      <c r="G1271">
        <v>2013</v>
      </c>
      <c r="J1271">
        <v>4500</v>
      </c>
      <c r="N1271">
        <v>7012</v>
      </c>
      <c r="AK1271">
        <v>120512</v>
      </c>
      <c r="AX1271" t="s">
        <v>760</v>
      </c>
    </row>
    <row r="1272" spans="1:51" hidden="1" x14ac:dyDescent="0.25">
      <c r="A1272" t="s">
        <v>23</v>
      </c>
      <c r="B1272" t="s">
        <v>74</v>
      </c>
      <c r="C1272" t="s">
        <v>371</v>
      </c>
      <c r="D1272">
        <v>39362</v>
      </c>
      <c r="E1272" t="s">
        <v>707</v>
      </c>
      <c r="F1272">
        <v>15.276999999999999</v>
      </c>
      <c r="G1272">
        <v>2013</v>
      </c>
      <c r="J1272">
        <v>4500</v>
      </c>
      <c r="AK1272">
        <v>10702</v>
      </c>
      <c r="AM1272">
        <v>75</v>
      </c>
    </row>
    <row r="1273" spans="1:51" hidden="1" x14ac:dyDescent="0.25">
      <c r="A1273" t="s">
        <v>23</v>
      </c>
      <c r="B1273" t="s">
        <v>74</v>
      </c>
      <c r="C1273" t="s">
        <v>375</v>
      </c>
      <c r="D1273">
        <v>47168</v>
      </c>
      <c r="E1273" t="s">
        <v>707</v>
      </c>
      <c r="F1273">
        <v>7.9180000000000001</v>
      </c>
      <c r="G1273">
        <v>2013</v>
      </c>
      <c r="AY1273">
        <v>7918</v>
      </c>
    </row>
    <row r="1274" spans="1:51" hidden="1" x14ac:dyDescent="0.25">
      <c r="A1274" t="s">
        <v>23</v>
      </c>
      <c r="B1274" t="s">
        <v>74</v>
      </c>
      <c r="C1274" t="s">
        <v>376</v>
      </c>
      <c r="D1274">
        <v>47169</v>
      </c>
      <c r="E1274" t="s">
        <v>707</v>
      </c>
      <c r="F1274">
        <v>19.085999999999999</v>
      </c>
      <c r="G1274">
        <v>2013</v>
      </c>
      <c r="J1274">
        <v>4500</v>
      </c>
      <c r="N1274">
        <v>4369</v>
      </c>
      <c r="AK1274">
        <v>10217</v>
      </c>
    </row>
    <row r="1275" spans="1:51" hidden="1" x14ac:dyDescent="0.25">
      <c r="A1275" t="s">
        <v>23</v>
      </c>
      <c r="B1275" t="s">
        <v>74</v>
      </c>
      <c r="C1275" t="s">
        <v>377</v>
      </c>
      <c r="D1275">
        <v>48873</v>
      </c>
      <c r="E1275" t="s">
        <v>707</v>
      </c>
      <c r="F1275">
        <v>64.760000000000005</v>
      </c>
      <c r="G1275">
        <v>2013</v>
      </c>
      <c r="J1275">
        <v>4500</v>
      </c>
      <c r="AK1275">
        <v>60185</v>
      </c>
      <c r="AM1275">
        <v>75</v>
      </c>
    </row>
    <row r="1276" spans="1:51" hidden="1" x14ac:dyDescent="0.25">
      <c r="A1276" t="s">
        <v>23</v>
      </c>
      <c r="B1276" t="s">
        <v>74</v>
      </c>
      <c r="C1276" t="s">
        <v>365</v>
      </c>
      <c r="D1276">
        <v>21057</v>
      </c>
      <c r="E1276" t="s">
        <v>708</v>
      </c>
      <c r="F1276">
        <v>4.6970000000000001</v>
      </c>
      <c r="G1276">
        <v>2014</v>
      </c>
      <c r="J1276">
        <v>4500</v>
      </c>
      <c r="AY1276">
        <v>197</v>
      </c>
    </row>
    <row r="1277" spans="1:51" hidden="1" x14ac:dyDescent="0.25">
      <c r="A1277" t="s">
        <v>23</v>
      </c>
      <c r="B1277" t="s">
        <v>74</v>
      </c>
      <c r="C1277" t="s">
        <v>371</v>
      </c>
      <c r="D1277">
        <v>39362</v>
      </c>
      <c r="E1277" t="s">
        <v>707</v>
      </c>
      <c r="F1277">
        <v>4.5</v>
      </c>
      <c r="G1277">
        <v>2014</v>
      </c>
      <c r="J1277">
        <v>4500</v>
      </c>
    </row>
    <row r="1278" spans="1:51" hidden="1" x14ac:dyDescent="0.25">
      <c r="A1278" t="s">
        <v>23</v>
      </c>
      <c r="B1278" t="s">
        <v>74</v>
      </c>
      <c r="C1278" t="s">
        <v>372</v>
      </c>
      <c r="D1278">
        <v>43445</v>
      </c>
      <c r="E1278" t="s">
        <v>707</v>
      </c>
      <c r="F1278">
        <v>4.5750000000000002</v>
      </c>
      <c r="G1278">
        <v>2014</v>
      </c>
      <c r="J1278">
        <v>4500</v>
      </c>
      <c r="AY1278">
        <v>75</v>
      </c>
    </row>
    <row r="1279" spans="1:51" hidden="1" x14ac:dyDescent="0.25">
      <c r="A1279" t="s">
        <v>23</v>
      </c>
      <c r="B1279" t="s">
        <v>74</v>
      </c>
      <c r="C1279" t="s">
        <v>375</v>
      </c>
      <c r="D1279">
        <v>47168</v>
      </c>
      <c r="E1279" t="s">
        <v>707</v>
      </c>
      <c r="F1279">
        <v>4.5</v>
      </c>
      <c r="G1279">
        <v>2014</v>
      </c>
      <c r="J1279">
        <v>4500</v>
      </c>
    </row>
    <row r="1280" spans="1:51" hidden="1" x14ac:dyDescent="0.25">
      <c r="A1280" t="s">
        <v>23</v>
      </c>
      <c r="B1280" t="s">
        <v>74</v>
      </c>
      <c r="C1280" t="s">
        <v>377</v>
      </c>
      <c r="D1280">
        <v>48873</v>
      </c>
      <c r="E1280" t="s">
        <v>707</v>
      </c>
      <c r="F1280">
        <v>4.5</v>
      </c>
      <c r="G1280">
        <v>2014</v>
      </c>
      <c r="J1280">
        <v>4500</v>
      </c>
    </row>
    <row r="1281" spans="1:52" s="4" customFormat="1" hidden="1" x14ac:dyDescent="0.25">
      <c r="A1281" s="4" t="s">
        <v>24</v>
      </c>
      <c r="B1281" s="4" t="s">
        <v>75</v>
      </c>
      <c r="C1281" s="4" t="s">
        <v>378</v>
      </c>
      <c r="D1281" s="4">
        <v>4441</v>
      </c>
      <c r="E1281" s="4" t="s">
        <v>708</v>
      </c>
      <c r="F1281" s="4">
        <v>221.11</v>
      </c>
      <c r="G1281" s="4">
        <v>2006</v>
      </c>
      <c r="H1281" s="4">
        <v>1</v>
      </c>
      <c r="AZ1281" s="7"/>
    </row>
    <row r="1282" spans="1:52" hidden="1" x14ac:dyDescent="0.25">
      <c r="A1282" t="s">
        <v>24</v>
      </c>
      <c r="B1282" t="s">
        <v>75</v>
      </c>
      <c r="C1282" t="s">
        <v>379</v>
      </c>
      <c r="D1282">
        <v>14675</v>
      </c>
      <c r="E1282" t="s">
        <v>707</v>
      </c>
      <c r="F1282">
        <v>86.429000000000002</v>
      </c>
      <c r="G1282">
        <v>2006</v>
      </c>
      <c r="H1282">
        <v>1</v>
      </c>
    </row>
    <row r="1283" spans="1:52" hidden="1" x14ac:dyDescent="0.25">
      <c r="A1283" t="s">
        <v>24</v>
      </c>
      <c r="B1283" t="s">
        <v>75</v>
      </c>
      <c r="C1283" t="s">
        <v>380</v>
      </c>
      <c r="D1283">
        <v>21629</v>
      </c>
      <c r="E1283" t="s">
        <v>707</v>
      </c>
      <c r="F1283">
        <v>67.921999999999997</v>
      </c>
      <c r="G1283">
        <v>2006</v>
      </c>
      <c r="H1283">
        <v>1</v>
      </c>
    </row>
    <row r="1284" spans="1:52" hidden="1" x14ac:dyDescent="0.25">
      <c r="A1284" t="s">
        <v>24</v>
      </c>
      <c r="B1284" t="s">
        <v>75</v>
      </c>
      <c r="C1284" t="s">
        <v>381</v>
      </c>
      <c r="D1284">
        <v>27289</v>
      </c>
      <c r="E1284" t="s">
        <v>707</v>
      </c>
      <c r="F1284">
        <v>73.194999999999993</v>
      </c>
      <c r="G1284">
        <v>2006</v>
      </c>
      <c r="H1284">
        <v>1</v>
      </c>
    </row>
    <row r="1285" spans="1:52" hidden="1" x14ac:dyDescent="0.25">
      <c r="A1285" t="s">
        <v>24</v>
      </c>
      <c r="B1285" t="s">
        <v>75</v>
      </c>
      <c r="C1285" t="s">
        <v>382</v>
      </c>
      <c r="D1285">
        <v>30748</v>
      </c>
      <c r="E1285" t="s">
        <v>707</v>
      </c>
      <c r="F1285">
        <v>74.66</v>
      </c>
      <c r="G1285">
        <v>2006</v>
      </c>
      <c r="H1285">
        <v>1</v>
      </c>
    </row>
    <row r="1286" spans="1:52" hidden="1" x14ac:dyDescent="0.25">
      <c r="A1286" t="s">
        <v>24</v>
      </c>
      <c r="B1286" t="s">
        <v>75</v>
      </c>
      <c r="C1286" t="s">
        <v>383</v>
      </c>
      <c r="D1286">
        <v>35015</v>
      </c>
      <c r="E1286" t="s">
        <v>707</v>
      </c>
      <c r="F1286">
        <v>63.523000000000003</v>
      </c>
      <c r="G1286">
        <v>2006</v>
      </c>
      <c r="H1286">
        <v>1</v>
      </c>
    </row>
    <row r="1287" spans="1:52" hidden="1" x14ac:dyDescent="0.25">
      <c r="A1287" t="s">
        <v>24</v>
      </c>
      <c r="B1287" t="s">
        <v>75</v>
      </c>
      <c r="C1287" t="s">
        <v>378</v>
      </c>
      <c r="D1287">
        <v>4441</v>
      </c>
      <c r="E1287" t="s">
        <v>708</v>
      </c>
      <c r="F1287">
        <v>226.30500000000001</v>
      </c>
      <c r="G1287">
        <v>2007</v>
      </c>
      <c r="J1287">
        <f>22500+85000</f>
        <v>107500</v>
      </c>
      <c r="L1287">
        <v>7762</v>
      </c>
      <c r="N1287">
        <v>58818</v>
      </c>
      <c r="X1287">
        <v>6495</v>
      </c>
      <c r="AM1287">
        <v>765</v>
      </c>
      <c r="AN1287">
        <v>9150</v>
      </c>
      <c r="AR1287">
        <v>35815</v>
      </c>
    </row>
    <row r="1288" spans="1:52" hidden="1" x14ac:dyDescent="0.25">
      <c r="A1288" t="s">
        <v>24</v>
      </c>
      <c r="B1288" t="s">
        <v>75</v>
      </c>
      <c r="C1288" t="s">
        <v>379</v>
      </c>
      <c r="D1288">
        <v>14675</v>
      </c>
      <c r="E1288" t="s">
        <v>707</v>
      </c>
      <c r="F1288">
        <v>86.352000000000004</v>
      </c>
      <c r="G1288">
        <v>2007</v>
      </c>
      <c r="J1288">
        <f>22496+52500</f>
        <v>74996</v>
      </c>
      <c r="L1288">
        <v>2622</v>
      </c>
      <c r="N1288">
        <v>1186</v>
      </c>
      <c r="X1288">
        <v>5700</v>
      </c>
      <c r="AM1288">
        <v>742</v>
      </c>
      <c r="AR1288">
        <v>1106</v>
      </c>
    </row>
    <row r="1289" spans="1:52" hidden="1" x14ac:dyDescent="0.25">
      <c r="A1289" t="s">
        <v>24</v>
      </c>
      <c r="B1289" t="s">
        <v>75</v>
      </c>
      <c r="C1289" t="s">
        <v>381</v>
      </c>
      <c r="D1289">
        <v>27289</v>
      </c>
      <c r="E1289" t="s">
        <v>707</v>
      </c>
      <c r="F1289">
        <v>79.070999999999998</v>
      </c>
      <c r="G1289">
        <v>2007</v>
      </c>
      <c r="J1289">
        <f>22496+34000</f>
        <v>56496</v>
      </c>
      <c r="L1289">
        <v>1134</v>
      </c>
      <c r="N1289">
        <v>3814</v>
      </c>
      <c r="X1289">
        <v>5651</v>
      </c>
      <c r="AM1289">
        <v>765</v>
      </c>
      <c r="AN1289">
        <v>9150</v>
      </c>
      <c r="AR1289">
        <v>2061</v>
      </c>
    </row>
    <row r="1290" spans="1:52" hidden="1" x14ac:dyDescent="0.25">
      <c r="A1290" t="s">
        <v>24</v>
      </c>
      <c r="B1290" t="s">
        <v>75</v>
      </c>
      <c r="C1290" t="s">
        <v>382</v>
      </c>
      <c r="D1290">
        <v>30748</v>
      </c>
      <c r="E1290" t="s">
        <v>707</v>
      </c>
      <c r="F1290">
        <v>74.656999999999996</v>
      </c>
      <c r="G1290">
        <v>2007</v>
      </c>
      <c r="J1290">
        <f>22770+36000</f>
        <v>58770</v>
      </c>
      <c r="L1290">
        <v>804</v>
      </c>
      <c r="N1290">
        <v>234</v>
      </c>
      <c r="X1290">
        <v>5157</v>
      </c>
      <c r="AM1290">
        <v>300</v>
      </c>
      <c r="AN1290">
        <v>9150</v>
      </c>
      <c r="AR1290">
        <v>242</v>
      </c>
    </row>
    <row r="1291" spans="1:52" hidden="1" x14ac:dyDescent="0.25">
      <c r="A1291" t="s">
        <v>24</v>
      </c>
      <c r="B1291" t="s">
        <v>75</v>
      </c>
      <c r="C1291" t="s">
        <v>383</v>
      </c>
      <c r="D1291">
        <v>35015</v>
      </c>
      <c r="E1291" t="s">
        <v>707</v>
      </c>
      <c r="F1291">
        <v>61.545000000000002</v>
      </c>
      <c r="G1291">
        <v>2007</v>
      </c>
      <c r="J1291">
        <f>22500+33000</f>
        <v>55500</v>
      </c>
      <c r="L1291">
        <v>1134</v>
      </c>
      <c r="X1291">
        <v>4911</v>
      </c>
    </row>
    <row r="1292" spans="1:52" hidden="1" x14ac:dyDescent="0.25">
      <c r="A1292" t="s">
        <v>24</v>
      </c>
      <c r="B1292" t="s">
        <v>75</v>
      </c>
      <c r="C1292" t="s">
        <v>378</v>
      </c>
      <c r="D1292">
        <v>4441</v>
      </c>
      <c r="E1292" t="s">
        <v>708</v>
      </c>
      <c r="F1292">
        <v>128.04599999999999</v>
      </c>
      <c r="G1292">
        <v>2008</v>
      </c>
      <c r="J1292">
        <f>23000+95615</f>
        <v>118615</v>
      </c>
      <c r="L1292">
        <v>7762</v>
      </c>
      <c r="AM1292">
        <v>600</v>
      </c>
      <c r="AN1292">
        <v>725</v>
      </c>
      <c r="AR1292">
        <v>344</v>
      </c>
    </row>
    <row r="1293" spans="1:52" hidden="1" x14ac:dyDescent="0.25">
      <c r="A1293" t="s">
        <v>24</v>
      </c>
      <c r="B1293" t="s">
        <v>75</v>
      </c>
      <c r="C1293" t="s">
        <v>379</v>
      </c>
      <c r="D1293">
        <v>14675</v>
      </c>
      <c r="E1293" t="s">
        <v>707</v>
      </c>
      <c r="F1293">
        <v>78.725999999999999</v>
      </c>
      <c r="G1293">
        <v>2008</v>
      </c>
      <c r="J1293">
        <f>53100+23004</f>
        <v>76104</v>
      </c>
      <c r="L1293">
        <v>2622</v>
      </c>
    </row>
    <row r="1294" spans="1:52" hidden="1" x14ac:dyDescent="0.25">
      <c r="A1294" t="s">
        <v>24</v>
      </c>
      <c r="B1294" t="s">
        <v>75</v>
      </c>
      <c r="C1294" t="s">
        <v>381</v>
      </c>
      <c r="D1294">
        <v>27289</v>
      </c>
      <c r="E1294" t="s">
        <v>707</v>
      </c>
      <c r="F1294">
        <v>72.995000000000005</v>
      </c>
      <c r="G1294">
        <v>2008</v>
      </c>
      <c r="H1294">
        <v>1</v>
      </c>
    </row>
    <row r="1295" spans="1:52" hidden="1" x14ac:dyDescent="0.25">
      <c r="A1295" t="s">
        <v>24</v>
      </c>
      <c r="B1295" t="s">
        <v>75</v>
      </c>
      <c r="C1295" t="s">
        <v>382</v>
      </c>
      <c r="D1295">
        <v>30748</v>
      </c>
      <c r="E1295" t="s">
        <v>707</v>
      </c>
      <c r="F1295">
        <v>67.718999999999994</v>
      </c>
      <c r="G1295">
        <v>2008</v>
      </c>
      <c r="J1295">
        <f>40600+22500</f>
        <v>63100</v>
      </c>
      <c r="L1295">
        <v>915</v>
      </c>
      <c r="N1295">
        <v>1855</v>
      </c>
      <c r="AM1295">
        <v>355</v>
      </c>
      <c r="AR1295">
        <v>1494</v>
      </c>
    </row>
    <row r="1296" spans="1:52" hidden="1" x14ac:dyDescent="0.25">
      <c r="A1296" t="s">
        <v>24</v>
      </c>
      <c r="B1296" t="s">
        <v>75</v>
      </c>
      <c r="C1296" t="s">
        <v>383</v>
      </c>
      <c r="D1296">
        <v>35015</v>
      </c>
      <c r="E1296" t="s">
        <v>707</v>
      </c>
      <c r="F1296">
        <v>68.840999999999994</v>
      </c>
      <c r="G1296">
        <v>2008</v>
      </c>
      <c r="J1296">
        <f>34000+22997</f>
        <v>56997</v>
      </c>
      <c r="L1296">
        <v>1937</v>
      </c>
      <c r="N1296">
        <v>1057</v>
      </c>
      <c r="AM1296">
        <v>132</v>
      </c>
      <c r="AN1296">
        <v>8036</v>
      </c>
      <c r="AR1296">
        <v>682</v>
      </c>
    </row>
    <row r="1297" spans="1:44" hidden="1" x14ac:dyDescent="0.25">
      <c r="A1297" t="s">
        <v>24</v>
      </c>
      <c r="B1297" t="s">
        <v>75</v>
      </c>
      <c r="C1297" t="s">
        <v>384</v>
      </c>
      <c r="D1297">
        <v>37615</v>
      </c>
      <c r="E1297" t="s">
        <v>707</v>
      </c>
      <c r="F1297">
        <v>784.67700000000002</v>
      </c>
      <c r="G1297">
        <v>2008</v>
      </c>
      <c r="J1297">
        <f>33600+22997</f>
        <v>56597</v>
      </c>
      <c r="L1297">
        <v>1119</v>
      </c>
      <c r="N1297">
        <v>973</v>
      </c>
      <c r="X1297">
        <v>6028</v>
      </c>
      <c r="AB1297">
        <v>516324</v>
      </c>
      <c r="AE1297">
        <v>16500</v>
      </c>
      <c r="AM1297">
        <v>765</v>
      </c>
      <c r="AN1297">
        <v>6340</v>
      </c>
      <c r="AR1297">
        <v>180031</v>
      </c>
    </row>
    <row r="1298" spans="1:44" hidden="1" x14ac:dyDescent="0.25">
      <c r="A1298" t="s">
        <v>24</v>
      </c>
      <c r="B1298" t="s">
        <v>75</v>
      </c>
      <c r="C1298" t="s">
        <v>378</v>
      </c>
      <c r="D1298">
        <v>4441</v>
      </c>
      <c r="E1298" t="s">
        <v>708</v>
      </c>
      <c r="F1298">
        <v>135.512</v>
      </c>
      <c r="G1298">
        <v>2009</v>
      </c>
      <c r="J1298">
        <f>4500+95585</f>
        <v>100085</v>
      </c>
      <c r="L1298">
        <v>7762</v>
      </c>
      <c r="AN1298">
        <v>7665</v>
      </c>
    </row>
    <row r="1299" spans="1:44" hidden="1" x14ac:dyDescent="0.25">
      <c r="A1299" t="s">
        <v>24</v>
      </c>
      <c r="B1299" t="s">
        <v>75</v>
      </c>
      <c r="C1299" t="s">
        <v>379</v>
      </c>
      <c r="D1299">
        <v>14675</v>
      </c>
      <c r="E1299" t="s">
        <v>707</v>
      </c>
      <c r="F1299">
        <v>80.221999999999994</v>
      </c>
      <c r="G1299">
        <v>2009</v>
      </c>
      <c r="J1299">
        <f>24500+53100</f>
        <v>77600</v>
      </c>
      <c r="L1299">
        <v>2622</v>
      </c>
    </row>
    <row r="1300" spans="1:44" hidden="1" x14ac:dyDescent="0.25">
      <c r="A1300" t="s">
        <v>24</v>
      </c>
      <c r="B1300" t="s">
        <v>75</v>
      </c>
      <c r="C1300" t="s">
        <v>381</v>
      </c>
      <c r="D1300">
        <v>27289</v>
      </c>
      <c r="E1300" t="s">
        <v>707</v>
      </c>
      <c r="F1300">
        <v>72.882999999999996</v>
      </c>
      <c r="G1300">
        <v>2009</v>
      </c>
      <c r="J1300">
        <f>24500+37600</f>
        <v>62100</v>
      </c>
      <c r="L1300">
        <v>1263</v>
      </c>
      <c r="AN1300">
        <v>9520</v>
      </c>
    </row>
    <row r="1301" spans="1:44" hidden="1" x14ac:dyDescent="0.25">
      <c r="A1301" t="s">
        <v>24</v>
      </c>
      <c r="B1301" t="s">
        <v>75</v>
      </c>
      <c r="C1301" t="s">
        <v>382</v>
      </c>
      <c r="D1301">
        <v>30748</v>
      </c>
      <c r="E1301" t="s">
        <v>707</v>
      </c>
      <c r="F1301">
        <v>66.015000000000001</v>
      </c>
      <c r="G1301">
        <v>2009</v>
      </c>
      <c r="J1301">
        <f>24500+40600</f>
        <v>65100</v>
      </c>
      <c r="L1301">
        <v>915</v>
      </c>
    </row>
    <row r="1302" spans="1:44" hidden="1" x14ac:dyDescent="0.25">
      <c r="A1302" t="s">
        <v>24</v>
      </c>
      <c r="B1302" t="s">
        <v>75</v>
      </c>
      <c r="C1302" t="s">
        <v>383</v>
      </c>
      <c r="D1302">
        <v>35015</v>
      </c>
      <c r="E1302" t="s">
        <v>707</v>
      </c>
      <c r="F1302">
        <v>68.436999999999998</v>
      </c>
      <c r="G1302">
        <v>2009</v>
      </c>
      <c r="J1302">
        <f>24500+34000</f>
        <v>58500</v>
      </c>
      <c r="L1302">
        <v>1937</v>
      </c>
      <c r="AN1302">
        <v>8000</v>
      </c>
    </row>
    <row r="1303" spans="1:44" hidden="1" x14ac:dyDescent="0.25">
      <c r="A1303" t="s">
        <v>24</v>
      </c>
      <c r="B1303" t="s">
        <v>75</v>
      </c>
      <c r="C1303" t="s">
        <v>378</v>
      </c>
      <c r="D1303">
        <v>4441</v>
      </c>
      <c r="E1303" t="s">
        <v>708</v>
      </c>
      <c r="F1303">
        <v>134.678</v>
      </c>
      <c r="G1303">
        <v>2010</v>
      </c>
      <c r="J1303">
        <f>24500+95600</f>
        <v>120100</v>
      </c>
      <c r="L1303">
        <v>7762</v>
      </c>
      <c r="AM1303">
        <v>240</v>
      </c>
    </row>
    <row r="1304" spans="1:44" hidden="1" x14ac:dyDescent="0.25">
      <c r="A1304" t="s">
        <v>24</v>
      </c>
      <c r="B1304" t="s">
        <v>75</v>
      </c>
      <c r="C1304" t="s">
        <v>379</v>
      </c>
      <c r="D1304">
        <v>14675</v>
      </c>
      <c r="E1304" t="s">
        <v>707</v>
      </c>
      <c r="F1304">
        <v>80.662000000000006</v>
      </c>
      <c r="G1304">
        <v>2010</v>
      </c>
      <c r="J1304">
        <f>24508+53100</f>
        <v>77608</v>
      </c>
      <c r="L1304">
        <v>2622</v>
      </c>
      <c r="N1304">
        <v>192</v>
      </c>
      <c r="AM1304">
        <v>240</v>
      </c>
    </row>
    <row r="1305" spans="1:44" hidden="1" x14ac:dyDescent="0.25">
      <c r="A1305" t="s">
        <v>24</v>
      </c>
      <c r="B1305" t="s">
        <v>75</v>
      </c>
      <c r="C1305" t="s">
        <v>380</v>
      </c>
      <c r="D1305">
        <v>21629</v>
      </c>
      <c r="E1305" t="s">
        <v>707</v>
      </c>
      <c r="F1305">
        <v>72.105999999999995</v>
      </c>
      <c r="G1305">
        <v>2010</v>
      </c>
      <c r="J1305">
        <f>24500+37600</f>
        <v>62100</v>
      </c>
      <c r="L1305">
        <v>3628</v>
      </c>
      <c r="N1305">
        <v>2628</v>
      </c>
    </row>
    <row r="1306" spans="1:44" hidden="1" x14ac:dyDescent="0.25">
      <c r="A1306" t="s">
        <v>24</v>
      </c>
      <c r="B1306" t="s">
        <v>75</v>
      </c>
      <c r="C1306" t="s">
        <v>381</v>
      </c>
      <c r="D1306">
        <v>27289</v>
      </c>
      <c r="E1306" t="s">
        <v>707</v>
      </c>
      <c r="F1306">
        <v>75.896000000000001</v>
      </c>
      <c r="G1306">
        <v>2010</v>
      </c>
      <c r="J1306">
        <f>24500+37600</f>
        <v>62100</v>
      </c>
      <c r="L1306">
        <v>1940</v>
      </c>
      <c r="N1306">
        <v>1956</v>
      </c>
    </row>
    <row r="1307" spans="1:44" hidden="1" x14ac:dyDescent="0.25">
      <c r="A1307" t="s">
        <v>24</v>
      </c>
      <c r="B1307" t="s">
        <v>75</v>
      </c>
      <c r="C1307" t="s">
        <v>382</v>
      </c>
      <c r="D1307">
        <v>30748</v>
      </c>
      <c r="E1307" t="s">
        <v>707</v>
      </c>
      <c r="F1307">
        <v>66.921999999999997</v>
      </c>
      <c r="G1307">
        <v>2010</v>
      </c>
      <c r="J1307">
        <f>24500+40600</f>
        <v>65100</v>
      </c>
      <c r="L1307">
        <v>916</v>
      </c>
      <c r="N1307">
        <v>291</v>
      </c>
      <c r="AM1307">
        <v>240</v>
      </c>
    </row>
    <row r="1308" spans="1:44" hidden="1" x14ac:dyDescent="0.25">
      <c r="A1308" t="s">
        <v>24</v>
      </c>
      <c r="B1308" t="s">
        <v>75</v>
      </c>
      <c r="C1308" t="s">
        <v>383</v>
      </c>
      <c r="D1308">
        <v>35015</v>
      </c>
      <c r="E1308" t="s">
        <v>707</v>
      </c>
      <c r="F1308">
        <v>71.841999999999999</v>
      </c>
      <c r="G1308">
        <v>2010</v>
      </c>
      <c r="H1308">
        <v>1</v>
      </c>
    </row>
    <row r="1309" spans="1:44" hidden="1" x14ac:dyDescent="0.25">
      <c r="A1309" t="s">
        <v>24</v>
      </c>
      <c r="B1309" t="s">
        <v>75</v>
      </c>
      <c r="C1309" t="s">
        <v>378</v>
      </c>
      <c r="D1309">
        <v>4441</v>
      </c>
      <c r="E1309" t="s">
        <v>708</v>
      </c>
      <c r="F1309">
        <v>142.011</v>
      </c>
      <c r="G1309">
        <v>2011</v>
      </c>
      <c r="J1309">
        <f>25323+95600</f>
        <v>120923</v>
      </c>
      <c r="L1309">
        <v>7762</v>
      </c>
      <c r="N1309">
        <v>3026</v>
      </c>
      <c r="AM1309">
        <v>300</v>
      </c>
      <c r="AN1309">
        <v>10000</v>
      </c>
    </row>
    <row r="1310" spans="1:44" hidden="1" x14ac:dyDescent="0.25">
      <c r="A1310" t="s">
        <v>24</v>
      </c>
      <c r="B1310" t="s">
        <v>75</v>
      </c>
      <c r="C1310" t="s">
        <v>379</v>
      </c>
      <c r="D1310">
        <v>14675</v>
      </c>
      <c r="E1310" t="s">
        <v>707</v>
      </c>
      <c r="F1310">
        <v>82.75</v>
      </c>
      <c r="G1310">
        <v>2011</v>
      </c>
      <c r="J1310">
        <f>24508+53100</f>
        <v>77608</v>
      </c>
      <c r="L1310">
        <v>4902</v>
      </c>
      <c r="AM1310">
        <v>240</v>
      </c>
    </row>
    <row r="1311" spans="1:44" hidden="1" x14ac:dyDescent="0.25">
      <c r="A1311" t="s">
        <v>24</v>
      </c>
      <c r="B1311" t="s">
        <v>75</v>
      </c>
      <c r="C1311" t="s">
        <v>381</v>
      </c>
      <c r="D1311">
        <v>27289</v>
      </c>
      <c r="E1311" t="s">
        <v>707</v>
      </c>
      <c r="F1311">
        <v>74.010000000000005</v>
      </c>
      <c r="G1311">
        <v>2011</v>
      </c>
      <c r="J1311">
        <f>24500+37600</f>
        <v>62100</v>
      </c>
      <c r="L1311">
        <v>1940</v>
      </c>
      <c r="AN1311">
        <v>9970</v>
      </c>
    </row>
    <row r="1312" spans="1:44" hidden="1" x14ac:dyDescent="0.25">
      <c r="A1312" t="s">
        <v>24</v>
      </c>
      <c r="B1312" t="s">
        <v>75</v>
      </c>
      <c r="C1312" t="s">
        <v>382</v>
      </c>
      <c r="D1312">
        <v>30748</v>
      </c>
      <c r="E1312" t="s">
        <v>707</v>
      </c>
      <c r="F1312">
        <v>73.551000000000002</v>
      </c>
      <c r="G1312">
        <v>2011</v>
      </c>
      <c r="J1312">
        <f>24884+40600</f>
        <v>65484</v>
      </c>
      <c r="L1312">
        <v>1373</v>
      </c>
      <c r="N1312">
        <v>219</v>
      </c>
      <c r="AM1312">
        <v>300</v>
      </c>
      <c r="AN1312">
        <v>6175</v>
      </c>
    </row>
    <row r="1313" spans="1:40" hidden="1" x14ac:dyDescent="0.25">
      <c r="A1313" t="s">
        <v>24</v>
      </c>
      <c r="B1313" t="s">
        <v>75</v>
      </c>
      <c r="C1313" t="s">
        <v>383</v>
      </c>
      <c r="D1313">
        <v>35015</v>
      </c>
      <c r="E1313" t="s">
        <v>707</v>
      </c>
      <c r="F1313">
        <v>73.033000000000001</v>
      </c>
      <c r="G1313">
        <v>2011</v>
      </c>
      <c r="J1313">
        <f>24585+37000</f>
        <v>61585</v>
      </c>
      <c r="L1313">
        <v>1940</v>
      </c>
      <c r="N1313">
        <v>1208</v>
      </c>
      <c r="AM1313">
        <v>300</v>
      </c>
      <c r="AN1313">
        <v>8000</v>
      </c>
    </row>
    <row r="1314" spans="1:40" hidden="1" x14ac:dyDescent="0.25">
      <c r="A1314" t="s">
        <v>24</v>
      </c>
      <c r="B1314" t="s">
        <v>75</v>
      </c>
      <c r="C1314" t="s">
        <v>378</v>
      </c>
      <c r="D1314">
        <v>4441</v>
      </c>
      <c r="E1314" t="s">
        <v>708</v>
      </c>
      <c r="F1314">
        <v>146.13399999999999</v>
      </c>
      <c r="G1314">
        <v>2012</v>
      </c>
      <c r="J1314">
        <f>25000+95600</f>
        <v>120600</v>
      </c>
      <c r="L1314">
        <v>10384</v>
      </c>
      <c r="N1314">
        <v>1497</v>
      </c>
      <c r="AM1314">
        <v>300</v>
      </c>
      <c r="AN1314">
        <v>13353</v>
      </c>
    </row>
    <row r="1315" spans="1:40" hidden="1" x14ac:dyDescent="0.25">
      <c r="A1315" t="s">
        <v>24</v>
      </c>
      <c r="B1315" t="s">
        <v>75</v>
      </c>
      <c r="C1315" t="s">
        <v>379</v>
      </c>
      <c r="D1315">
        <v>14675</v>
      </c>
      <c r="E1315" t="s">
        <v>707</v>
      </c>
      <c r="F1315">
        <v>87.174000000000007</v>
      </c>
      <c r="G1315">
        <v>2012</v>
      </c>
      <c r="J1315">
        <f>25000+53100</f>
        <v>78100</v>
      </c>
      <c r="L1315">
        <v>6165</v>
      </c>
      <c r="N1315">
        <v>2669</v>
      </c>
      <c r="AM1315">
        <v>240</v>
      </c>
    </row>
    <row r="1316" spans="1:40" hidden="1" x14ac:dyDescent="0.25">
      <c r="A1316" t="s">
        <v>24</v>
      </c>
      <c r="B1316" t="s">
        <v>75</v>
      </c>
      <c r="C1316" t="s">
        <v>381</v>
      </c>
      <c r="D1316">
        <v>27289</v>
      </c>
      <c r="E1316" t="s">
        <v>707</v>
      </c>
      <c r="F1316">
        <v>74.674999999999997</v>
      </c>
      <c r="G1316">
        <v>2012</v>
      </c>
      <c r="J1316">
        <f>25000+37600</f>
        <v>62600</v>
      </c>
      <c r="L1316">
        <v>1940</v>
      </c>
      <c r="AN1316">
        <v>10135</v>
      </c>
    </row>
    <row r="1317" spans="1:40" hidden="1" x14ac:dyDescent="0.25">
      <c r="A1317" t="s">
        <v>24</v>
      </c>
      <c r="B1317" t="s">
        <v>75</v>
      </c>
      <c r="C1317" t="s">
        <v>382</v>
      </c>
      <c r="D1317">
        <v>30748</v>
      </c>
      <c r="E1317" t="s">
        <v>707</v>
      </c>
      <c r="F1317">
        <v>68.149000000000001</v>
      </c>
      <c r="G1317">
        <v>2012</v>
      </c>
      <c r="J1317">
        <f>25000+40600</f>
        <v>65600</v>
      </c>
      <c r="L1317">
        <v>1373</v>
      </c>
      <c r="AM1317">
        <v>300</v>
      </c>
      <c r="AN1317">
        <v>875</v>
      </c>
    </row>
    <row r="1318" spans="1:40" hidden="1" x14ac:dyDescent="0.25">
      <c r="A1318" t="s">
        <v>24</v>
      </c>
      <c r="B1318" t="s">
        <v>75</v>
      </c>
      <c r="C1318" t="s">
        <v>383</v>
      </c>
      <c r="D1318">
        <v>35015</v>
      </c>
      <c r="E1318" t="s">
        <v>707</v>
      </c>
      <c r="F1318">
        <v>72.453999999999994</v>
      </c>
      <c r="G1318">
        <v>2012</v>
      </c>
      <c r="J1318">
        <f>25000+37000</f>
        <v>62000</v>
      </c>
      <c r="L1318">
        <v>1940</v>
      </c>
      <c r="N1318">
        <v>214</v>
      </c>
      <c r="AM1318">
        <v>300</v>
      </c>
      <c r="AN1318">
        <v>8000</v>
      </c>
    </row>
    <row r="1319" spans="1:40" hidden="1" x14ac:dyDescent="0.25">
      <c r="A1319" t="s">
        <v>24</v>
      </c>
      <c r="B1319" t="s">
        <v>75</v>
      </c>
      <c r="C1319" t="s">
        <v>378</v>
      </c>
      <c r="D1319">
        <v>4441</v>
      </c>
      <c r="E1319" t="s">
        <v>708</v>
      </c>
      <c r="F1319">
        <v>141.517</v>
      </c>
      <c r="G1319">
        <v>2013</v>
      </c>
      <c r="J1319">
        <f>25500+95600</f>
        <v>121100</v>
      </c>
      <c r="L1319">
        <v>7524</v>
      </c>
      <c r="N1319">
        <v>4615</v>
      </c>
      <c r="AM1319">
        <v>300</v>
      </c>
      <c r="AN1319">
        <v>7978</v>
      </c>
    </row>
    <row r="1320" spans="1:40" hidden="1" x14ac:dyDescent="0.25">
      <c r="A1320" t="s">
        <v>24</v>
      </c>
      <c r="B1320" t="s">
        <v>75</v>
      </c>
      <c r="C1320" t="s">
        <v>379</v>
      </c>
      <c r="D1320">
        <v>14675</v>
      </c>
      <c r="E1320" t="s">
        <v>707</v>
      </c>
      <c r="F1320">
        <v>91.828999999999994</v>
      </c>
      <c r="G1320">
        <v>2013</v>
      </c>
      <c r="J1320">
        <f>25500+57246</f>
        <v>82746</v>
      </c>
      <c r="L1320">
        <v>5962</v>
      </c>
      <c r="N1320">
        <v>2881</v>
      </c>
      <c r="AM1320">
        <v>240</v>
      </c>
    </row>
    <row r="1321" spans="1:40" hidden="1" x14ac:dyDescent="0.25">
      <c r="A1321" t="s">
        <v>24</v>
      </c>
      <c r="B1321" t="s">
        <v>75</v>
      </c>
      <c r="C1321" t="s">
        <v>381</v>
      </c>
      <c r="D1321">
        <v>27289</v>
      </c>
      <c r="E1321" t="s">
        <v>707</v>
      </c>
      <c r="F1321">
        <v>78.772000000000006</v>
      </c>
      <c r="G1321">
        <v>2013</v>
      </c>
      <c r="J1321">
        <f>25500+39208</f>
        <v>64708</v>
      </c>
      <c r="L1321">
        <v>3066</v>
      </c>
      <c r="N1321">
        <v>663</v>
      </c>
      <c r="AN1321">
        <v>10335</v>
      </c>
    </row>
    <row r="1322" spans="1:40" hidden="1" x14ac:dyDescent="0.25">
      <c r="A1322" t="s">
        <v>24</v>
      </c>
      <c r="B1322" t="s">
        <v>75</v>
      </c>
      <c r="C1322" t="s">
        <v>382</v>
      </c>
      <c r="D1322">
        <v>30748</v>
      </c>
      <c r="E1322" t="s">
        <v>707</v>
      </c>
      <c r="F1322">
        <v>77.971000000000004</v>
      </c>
      <c r="G1322">
        <v>2013</v>
      </c>
      <c r="J1322">
        <f>25500+43900</f>
        <v>69400</v>
      </c>
      <c r="L1322">
        <v>1491</v>
      </c>
      <c r="N1322">
        <v>5840</v>
      </c>
      <c r="AM1322">
        <v>300</v>
      </c>
      <c r="AN1322">
        <v>940</v>
      </c>
    </row>
    <row r="1323" spans="1:40" hidden="1" x14ac:dyDescent="0.25">
      <c r="A1323" t="s">
        <v>24</v>
      </c>
      <c r="B1323" t="s">
        <v>75</v>
      </c>
      <c r="C1323" t="s">
        <v>383</v>
      </c>
      <c r="D1323">
        <v>35015</v>
      </c>
      <c r="E1323" t="s">
        <v>707</v>
      </c>
      <c r="F1323">
        <v>75.488</v>
      </c>
      <c r="G1323">
        <v>2013</v>
      </c>
      <c r="J1323">
        <f>25500+37000</f>
        <v>62500</v>
      </c>
      <c r="L1323">
        <v>3789</v>
      </c>
      <c r="N1323">
        <v>899</v>
      </c>
      <c r="AM1323">
        <v>300</v>
      </c>
      <c r="AN1323">
        <v>8000</v>
      </c>
    </row>
    <row r="1324" spans="1:40" hidden="1" x14ac:dyDescent="0.25">
      <c r="A1324" t="s">
        <v>24</v>
      </c>
      <c r="B1324" t="s">
        <v>75</v>
      </c>
      <c r="C1324" t="s">
        <v>378</v>
      </c>
      <c r="D1324">
        <v>4441</v>
      </c>
      <c r="E1324" t="s">
        <v>708</v>
      </c>
      <c r="F1324">
        <v>147.988</v>
      </c>
      <c r="G1324">
        <v>2014</v>
      </c>
      <c r="J1324">
        <f>26131+98477</f>
        <v>124608</v>
      </c>
      <c r="L1324">
        <v>13793</v>
      </c>
      <c r="N1324">
        <v>9587</v>
      </c>
    </row>
    <row r="1325" spans="1:40" hidden="1" x14ac:dyDescent="0.25">
      <c r="A1325" t="s">
        <v>24</v>
      </c>
      <c r="B1325" t="s">
        <v>75</v>
      </c>
      <c r="C1325" t="s">
        <v>379</v>
      </c>
      <c r="D1325">
        <v>14675</v>
      </c>
      <c r="E1325" t="s">
        <v>707</v>
      </c>
      <c r="F1325">
        <v>96.424000000000007</v>
      </c>
      <c r="G1325">
        <v>2014</v>
      </c>
      <c r="J1325">
        <f>22765+62654</f>
        <v>85419</v>
      </c>
      <c r="L1325">
        <v>7087</v>
      </c>
      <c r="N1325">
        <v>3918</v>
      </c>
    </row>
    <row r="1326" spans="1:40" hidden="1" x14ac:dyDescent="0.25">
      <c r="A1326" t="s">
        <v>24</v>
      </c>
      <c r="B1326" t="s">
        <v>75</v>
      </c>
      <c r="C1326" t="s">
        <v>381</v>
      </c>
      <c r="D1326">
        <v>27289</v>
      </c>
      <c r="E1326" t="s">
        <v>707</v>
      </c>
      <c r="F1326">
        <v>84.210999999999999</v>
      </c>
      <c r="G1326">
        <v>2014</v>
      </c>
      <c r="J1326">
        <f>25570+42039</f>
        <v>67609</v>
      </c>
      <c r="L1326">
        <v>3240</v>
      </c>
      <c r="N1326">
        <v>1933</v>
      </c>
      <c r="AM1326">
        <v>1094</v>
      </c>
      <c r="AN1326">
        <v>10335</v>
      </c>
    </row>
    <row r="1327" spans="1:40" hidden="1" x14ac:dyDescent="0.25">
      <c r="A1327" t="s">
        <v>24</v>
      </c>
      <c r="B1327" t="s">
        <v>75</v>
      </c>
      <c r="C1327" t="s">
        <v>382</v>
      </c>
      <c r="D1327">
        <v>30748</v>
      </c>
      <c r="E1327" t="s">
        <v>707</v>
      </c>
      <c r="F1327">
        <v>79.582999999999998</v>
      </c>
      <c r="G1327">
        <v>2014</v>
      </c>
      <c r="J1327">
        <f>25615+48138</f>
        <v>73753</v>
      </c>
      <c r="L1327">
        <v>1643</v>
      </c>
      <c r="N1327">
        <v>1944</v>
      </c>
      <c r="AM1327">
        <v>968</v>
      </c>
      <c r="AN1327">
        <v>1275</v>
      </c>
    </row>
    <row r="1328" spans="1:40" hidden="1" x14ac:dyDescent="0.25">
      <c r="A1328" t="s">
        <v>24</v>
      </c>
      <c r="B1328" t="s">
        <v>75</v>
      </c>
      <c r="C1328" t="s">
        <v>383</v>
      </c>
      <c r="D1328">
        <v>35015</v>
      </c>
      <c r="E1328" t="s">
        <v>707</v>
      </c>
      <c r="F1328">
        <v>67.13</v>
      </c>
      <c r="G1328">
        <v>2014</v>
      </c>
      <c r="J1328">
        <f>20269+37600</f>
        <v>57869</v>
      </c>
      <c r="L1328">
        <v>3949</v>
      </c>
      <c r="N1328">
        <v>4344</v>
      </c>
      <c r="AM1328">
        <v>968</v>
      </c>
    </row>
    <row r="1329" spans="1:40" hidden="1" x14ac:dyDescent="0.25">
      <c r="A1329" t="s">
        <v>24</v>
      </c>
      <c r="B1329" t="s">
        <v>75</v>
      </c>
      <c r="C1329" t="s">
        <v>378</v>
      </c>
      <c r="D1329">
        <v>4441</v>
      </c>
      <c r="E1329" t="s">
        <v>708</v>
      </c>
      <c r="F1329">
        <v>151.184</v>
      </c>
      <c r="G1329">
        <v>2015</v>
      </c>
      <c r="J1329">
        <f>26500+99000</f>
        <v>125500</v>
      </c>
      <c r="L1329">
        <v>15286</v>
      </c>
      <c r="N1329">
        <v>398</v>
      </c>
      <c r="AN1329">
        <v>10000</v>
      </c>
    </row>
    <row r="1330" spans="1:40" hidden="1" x14ac:dyDescent="0.25">
      <c r="A1330" t="s">
        <v>24</v>
      </c>
      <c r="B1330" t="s">
        <v>75</v>
      </c>
      <c r="C1330" t="s">
        <v>379</v>
      </c>
      <c r="D1330">
        <v>14675</v>
      </c>
      <c r="E1330" t="s">
        <v>707</v>
      </c>
      <c r="F1330">
        <v>98.685000000000002</v>
      </c>
      <c r="G1330">
        <v>2015</v>
      </c>
      <c r="J1330">
        <f>26500+63500</f>
        <v>90000</v>
      </c>
      <c r="L1330">
        <v>6295</v>
      </c>
      <c r="AN1330">
        <v>2390</v>
      </c>
    </row>
    <row r="1331" spans="1:40" hidden="1" x14ac:dyDescent="0.25">
      <c r="A1331" t="s">
        <v>24</v>
      </c>
      <c r="B1331" t="s">
        <v>75</v>
      </c>
      <c r="C1331" t="s">
        <v>381</v>
      </c>
      <c r="D1331">
        <v>27289</v>
      </c>
      <c r="E1331" t="s">
        <v>707</v>
      </c>
      <c r="F1331">
        <v>84.265000000000001</v>
      </c>
      <c r="G1331">
        <v>2015</v>
      </c>
      <c r="J1331">
        <f>26500+42500</f>
        <v>69000</v>
      </c>
      <c r="L1331">
        <v>4128</v>
      </c>
      <c r="AM1331">
        <v>522</v>
      </c>
      <c r="AN1331">
        <v>10615</v>
      </c>
    </row>
    <row r="1332" spans="1:40" hidden="1" x14ac:dyDescent="0.25">
      <c r="A1332" t="s">
        <v>24</v>
      </c>
      <c r="B1332" t="s">
        <v>75</v>
      </c>
      <c r="C1332" t="s">
        <v>382</v>
      </c>
      <c r="D1332">
        <v>30748</v>
      </c>
      <c r="E1332" t="s">
        <v>707</v>
      </c>
      <c r="F1332">
        <v>78.646000000000001</v>
      </c>
      <c r="G1332">
        <v>2015</v>
      </c>
      <c r="J1332">
        <f>26277+48800</f>
        <v>75077</v>
      </c>
      <c r="L1332">
        <v>1667</v>
      </c>
      <c r="N1332">
        <v>577</v>
      </c>
      <c r="AN1332">
        <v>1325</v>
      </c>
    </row>
    <row r="1333" spans="1:40" hidden="1" x14ac:dyDescent="0.25">
      <c r="A1333" t="s">
        <v>24</v>
      </c>
      <c r="B1333" t="s">
        <v>75</v>
      </c>
      <c r="C1333" t="s">
        <v>383</v>
      </c>
      <c r="D1333">
        <v>35015</v>
      </c>
      <c r="E1333" t="s">
        <v>707</v>
      </c>
      <c r="F1333">
        <v>86.28</v>
      </c>
      <c r="G1333">
        <v>2015</v>
      </c>
      <c r="J1333">
        <f>26500+39500</f>
        <v>66000</v>
      </c>
      <c r="L1333">
        <v>3973</v>
      </c>
      <c r="N1333">
        <v>1009</v>
      </c>
      <c r="AN1333">
        <v>15298</v>
      </c>
    </row>
    <row r="1334" spans="1:40" hidden="1" x14ac:dyDescent="0.25">
      <c r="A1334" t="s">
        <v>24</v>
      </c>
      <c r="B1334" t="s">
        <v>75</v>
      </c>
      <c r="C1334" t="s">
        <v>385</v>
      </c>
      <c r="D1334">
        <v>59090</v>
      </c>
      <c r="E1334" t="s">
        <v>707</v>
      </c>
      <c r="F1334">
        <v>0</v>
      </c>
      <c r="G1334">
        <v>2015</v>
      </c>
    </row>
    <row r="1335" spans="1:40" hidden="1" x14ac:dyDescent="0.25">
      <c r="A1335" t="s">
        <v>24</v>
      </c>
      <c r="B1335" t="s">
        <v>75</v>
      </c>
      <c r="C1335" t="s">
        <v>378</v>
      </c>
      <c r="D1335">
        <v>4441</v>
      </c>
      <c r="E1335" t="s">
        <v>708</v>
      </c>
      <c r="F1335">
        <v>155.87700000000001</v>
      </c>
      <c r="G1335">
        <v>2016</v>
      </c>
      <c r="J1335">
        <f>26500+99761</f>
        <v>126261</v>
      </c>
      <c r="L1335">
        <v>19784</v>
      </c>
      <c r="N1335">
        <v>9832</v>
      </c>
    </row>
    <row r="1336" spans="1:40" hidden="1" x14ac:dyDescent="0.25">
      <c r="A1336" t="s">
        <v>24</v>
      </c>
      <c r="B1336" t="s">
        <v>75</v>
      </c>
      <c r="C1336" t="s">
        <v>379</v>
      </c>
      <c r="D1336">
        <v>14675</v>
      </c>
      <c r="E1336" t="s">
        <v>707</v>
      </c>
      <c r="F1336">
        <v>108.89</v>
      </c>
      <c r="G1336">
        <v>2016</v>
      </c>
      <c r="J1336">
        <f>26500+67281</f>
        <v>93781</v>
      </c>
      <c r="L1336">
        <v>10558</v>
      </c>
      <c r="N1336">
        <v>2146</v>
      </c>
      <c r="AN1336">
        <v>2405</v>
      </c>
    </row>
    <row r="1337" spans="1:40" hidden="1" x14ac:dyDescent="0.25">
      <c r="A1337" t="s">
        <v>24</v>
      </c>
      <c r="B1337" t="s">
        <v>75</v>
      </c>
      <c r="C1337" t="s">
        <v>381</v>
      </c>
      <c r="D1337">
        <v>27289</v>
      </c>
      <c r="E1337" t="s">
        <v>707</v>
      </c>
      <c r="F1337">
        <v>87.563999999999993</v>
      </c>
      <c r="G1337">
        <v>2016</v>
      </c>
      <c r="J1337">
        <f>26500+44062</f>
        <v>70562</v>
      </c>
      <c r="L1337">
        <v>5367</v>
      </c>
      <c r="N1337">
        <v>1020</v>
      </c>
      <c r="AN1337">
        <v>10615</v>
      </c>
    </row>
    <row r="1338" spans="1:40" hidden="1" x14ac:dyDescent="0.25">
      <c r="A1338" t="s">
        <v>24</v>
      </c>
      <c r="B1338" t="s">
        <v>75</v>
      </c>
      <c r="C1338" t="s">
        <v>382</v>
      </c>
      <c r="D1338">
        <v>30748</v>
      </c>
      <c r="E1338" t="s">
        <v>707</v>
      </c>
      <c r="F1338">
        <v>89.311999999999998</v>
      </c>
      <c r="G1338">
        <v>2016</v>
      </c>
      <c r="J1338">
        <f>26500+55513</f>
        <v>82013</v>
      </c>
      <c r="L1338">
        <v>3823</v>
      </c>
      <c r="N1338">
        <v>351</v>
      </c>
      <c r="AN1338">
        <v>3125</v>
      </c>
    </row>
    <row r="1339" spans="1:40" hidden="1" x14ac:dyDescent="0.25">
      <c r="A1339" t="s">
        <v>24</v>
      </c>
      <c r="B1339" t="s">
        <v>75</v>
      </c>
      <c r="C1339" t="s">
        <v>383</v>
      </c>
      <c r="D1339">
        <v>35015</v>
      </c>
      <c r="E1339" t="s">
        <v>707</v>
      </c>
      <c r="F1339">
        <v>76.722999999999999</v>
      </c>
      <c r="G1339">
        <v>2016</v>
      </c>
      <c r="J1339">
        <f>26500+41000</f>
        <v>67500</v>
      </c>
      <c r="L1339">
        <v>4223</v>
      </c>
      <c r="N1339">
        <v>5000</v>
      </c>
    </row>
    <row r="1340" spans="1:40" hidden="1" x14ac:dyDescent="0.25">
      <c r="A1340" t="s">
        <v>24</v>
      </c>
      <c r="B1340" t="s">
        <v>75</v>
      </c>
      <c r="C1340" t="s">
        <v>385</v>
      </c>
      <c r="D1340">
        <v>59090</v>
      </c>
      <c r="E1340" t="s">
        <v>707</v>
      </c>
      <c r="F1340">
        <v>84.792000000000002</v>
      </c>
      <c r="G1340">
        <v>2016</v>
      </c>
      <c r="H1340">
        <v>1</v>
      </c>
    </row>
    <row r="1341" spans="1:40" hidden="1" x14ac:dyDescent="0.25">
      <c r="A1341" t="s">
        <v>24</v>
      </c>
      <c r="B1341" t="s">
        <v>75</v>
      </c>
      <c r="C1341" t="s">
        <v>379</v>
      </c>
      <c r="D1341">
        <v>14675</v>
      </c>
      <c r="E1341" t="s">
        <v>708</v>
      </c>
      <c r="F1341">
        <v>128.31100000000001</v>
      </c>
      <c r="G1341">
        <v>2017</v>
      </c>
      <c r="J1341">
        <f>27000+86540</f>
        <v>113540</v>
      </c>
      <c r="L1341">
        <v>8799</v>
      </c>
      <c r="N1341">
        <v>2537</v>
      </c>
      <c r="AN1341">
        <v>3435</v>
      </c>
    </row>
    <row r="1342" spans="1:40" hidden="1" x14ac:dyDescent="0.25">
      <c r="A1342" t="s">
        <v>24</v>
      </c>
      <c r="B1342" t="s">
        <v>75</v>
      </c>
      <c r="C1342" t="s">
        <v>381</v>
      </c>
      <c r="D1342">
        <v>27289</v>
      </c>
      <c r="E1342" t="s">
        <v>707</v>
      </c>
      <c r="F1342">
        <v>89.665999999999997</v>
      </c>
      <c r="G1342">
        <v>2017</v>
      </c>
      <c r="J1342">
        <f>26819+45693</f>
        <v>72512</v>
      </c>
      <c r="L1342">
        <v>5623</v>
      </c>
      <c r="N1342">
        <v>496</v>
      </c>
      <c r="AN1342">
        <v>11035</v>
      </c>
    </row>
    <row r="1343" spans="1:40" hidden="1" x14ac:dyDescent="0.25">
      <c r="A1343" t="s">
        <v>24</v>
      </c>
      <c r="B1343" t="s">
        <v>75</v>
      </c>
      <c r="C1343" t="s">
        <v>382</v>
      </c>
      <c r="D1343">
        <v>30748</v>
      </c>
      <c r="E1343" t="s">
        <v>707</v>
      </c>
      <c r="F1343">
        <v>96.537999999999997</v>
      </c>
      <c r="G1343">
        <v>2017</v>
      </c>
      <c r="J1343">
        <f>26600+57939</f>
        <v>84539</v>
      </c>
      <c r="L1343">
        <v>2622</v>
      </c>
      <c r="N1343">
        <v>1377</v>
      </c>
      <c r="AN1343">
        <v>8000</v>
      </c>
    </row>
    <row r="1344" spans="1:40" hidden="1" x14ac:dyDescent="0.25">
      <c r="A1344" t="s">
        <v>24</v>
      </c>
      <c r="B1344" t="s">
        <v>75</v>
      </c>
      <c r="C1344" t="s">
        <v>383</v>
      </c>
      <c r="D1344">
        <v>35015</v>
      </c>
      <c r="E1344" t="s">
        <v>707</v>
      </c>
      <c r="F1344">
        <v>95.174999999999997</v>
      </c>
      <c r="G1344">
        <v>2017</v>
      </c>
      <c r="J1344">
        <f>27000+41000</f>
        <v>68000</v>
      </c>
      <c r="L1344">
        <v>5623</v>
      </c>
      <c r="N1344">
        <v>5552</v>
      </c>
      <c r="AN1344">
        <v>16000</v>
      </c>
    </row>
    <row r="1345" spans="1:52" hidden="1" x14ac:dyDescent="0.25">
      <c r="A1345" t="s">
        <v>24</v>
      </c>
      <c r="B1345" t="s">
        <v>75</v>
      </c>
      <c r="C1345" t="s">
        <v>385</v>
      </c>
      <c r="D1345">
        <v>59090</v>
      </c>
      <c r="E1345" t="s">
        <v>707</v>
      </c>
      <c r="F1345">
        <v>87.266000000000005</v>
      </c>
      <c r="G1345">
        <v>2017</v>
      </c>
      <c r="J1345">
        <f>26354+44844</f>
        <v>71198</v>
      </c>
      <c r="L1345">
        <v>3483</v>
      </c>
      <c r="N1345">
        <v>1550</v>
      </c>
      <c r="AN1345">
        <v>11035</v>
      </c>
    </row>
    <row r="1346" spans="1:52" s="5" customFormat="1" hidden="1" x14ac:dyDescent="0.25">
      <c r="A1346" s="5" t="s">
        <v>25</v>
      </c>
      <c r="B1346" s="5" t="s">
        <v>76</v>
      </c>
      <c r="C1346" s="5" t="s">
        <v>386</v>
      </c>
      <c r="D1346" s="5">
        <v>9861</v>
      </c>
      <c r="E1346" s="5" t="s">
        <v>707</v>
      </c>
      <c r="F1346" s="5">
        <v>52.277000000000001</v>
      </c>
      <c r="G1346" s="5">
        <v>2006</v>
      </c>
      <c r="AZ1346" s="7"/>
    </row>
    <row r="1347" spans="1:52" s="5" customFormat="1" hidden="1" x14ac:dyDescent="0.25">
      <c r="A1347" s="5" t="s">
        <v>25</v>
      </c>
      <c r="B1347" s="5" t="s">
        <v>76</v>
      </c>
      <c r="C1347" s="5" t="s">
        <v>387</v>
      </c>
      <c r="D1347" s="5">
        <v>16470</v>
      </c>
      <c r="E1347" s="5" t="s">
        <v>708</v>
      </c>
      <c r="F1347" s="5">
        <v>90.706000000000003</v>
      </c>
      <c r="G1347" s="5">
        <v>2006</v>
      </c>
      <c r="AZ1347" s="7"/>
    </row>
    <row r="1348" spans="1:52" s="5" customFormat="1" hidden="1" x14ac:dyDescent="0.25">
      <c r="A1348" s="5" t="s">
        <v>25</v>
      </c>
      <c r="B1348" s="5" t="s">
        <v>76</v>
      </c>
      <c r="C1348" s="5" t="s">
        <v>388</v>
      </c>
      <c r="D1348" s="5">
        <v>24955</v>
      </c>
      <c r="E1348" s="5" t="s">
        <v>707</v>
      </c>
      <c r="F1348" s="5">
        <v>451.59199999999998</v>
      </c>
      <c r="G1348" s="5">
        <v>2006</v>
      </c>
      <c r="AZ1348" s="7"/>
    </row>
    <row r="1349" spans="1:52" s="5" customFormat="1" hidden="1" x14ac:dyDescent="0.25">
      <c r="A1349" s="5" t="s">
        <v>25</v>
      </c>
      <c r="B1349" s="5" t="s">
        <v>76</v>
      </c>
      <c r="C1349" s="5" t="s">
        <v>389</v>
      </c>
      <c r="D1349" s="5">
        <v>24956</v>
      </c>
      <c r="E1349" s="5" t="s">
        <v>707</v>
      </c>
      <c r="F1349" s="5">
        <v>1780.527</v>
      </c>
      <c r="G1349" s="5">
        <v>2006</v>
      </c>
      <c r="AZ1349" s="7"/>
    </row>
    <row r="1350" spans="1:52" s="5" customFormat="1" hidden="1" x14ac:dyDescent="0.25">
      <c r="A1350" s="5" t="s">
        <v>25</v>
      </c>
      <c r="B1350" s="5" t="s">
        <v>76</v>
      </c>
      <c r="C1350" s="5" t="s">
        <v>390</v>
      </c>
      <c r="D1350" s="5">
        <v>24957</v>
      </c>
      <c r="E1350" s="5" t="s">
        <v>707</v>
      </c>
      <c r="F1350" s="5">
        <v>217.52699999999999</v>
      </c>
      <c r="G1350" s="5">
        <v>2006</v>
      </c>
      <c r="AZ1350" s="7"/>
    </row>
    <row r="1351" spans="1:52" s="5" customFormat="1" hidden="1" x14ac:dyDescent="0.25">
      <c r="A1351" s="5" t="s">
        <v>25</v>
      </c>
      <c r="B1351" s="5" t="s">
        <v>76</v>
      </c>
      <c r="C1351" s="5" t="s">
        <v>391</v>
      </c>
      <c r="D1351" s="5">
        <v>34052</v>
      </c>
      <c r="E1351" s="5" t="s">
        <v>707</v>
      </c>
      <c r="F1351" s="5">
        <v>55.609000000000002</v>
      </c>
      <c r="G1351" s="5">
        <v>2006</v>
      </c>
      <c r="AZ1351" s="7"/>
    </row>
    <row r="1352" spans="1:52" s="5" customFormat="1" hidden="1" x14ac:dyDescent="0.25">
      <c r="A1352" s="5" t="s">
        <v>25</v>
      </c>
      <c r="B1352" s="5" t="s">
        <v>76</v>
      </c>
      <c r="C1352" s="5" t="s">
        <v>392</v>
      </c>
      <c r="D1352" s="5">
        <v>34053</v>
      </c>
      <c r="E1352" s="5" t="s">
        <v>707</v>
      </c>
      <c r="F1352" s="5">
        <v>156.02699999999999</v>
      </c>
      <c r="G1352" s="5">
        <v>2006</v>
      </c>
      <c r="AZ1352" s="7"/>
    </row>
    <row r="1353" spans="1:52" s="5" customFormat="1" hidden="1" x14ac:dyDescent="0.25">
      <c r="A1353" s="5" t="s">
        <v>25</v>
      </c>
      <c r="B1353" s="5" t="s">
        <v>76</v>
      </c>
      <c r="C1353" s="5" t="s">
        <v>386</v>
      </c>
      <c r="D1353" s="5">
        <v>9861</v>
      </c>
      <c r="E1353" s="5" t="s">
        <v>707</v>
      </c>
      <c r="F1353" s="5">
        <v>53.978000000000002</v>
      </c>
      <c r="G1353" s="5">
        <v>2007</v>
      </c>
      <c r="AZ1353" s="7"/>
    </row>
    <row r="1354" spans="1:52" s="5" customFormat="1" hidden="1" x14ac:dyDescent="0.25">
      <c r="A1354" s="5" t="s">
        <v>25</v>
      </c>
      <c r="B1354" s="5" t="s">
        <v>76</v>
      </c>
      <c r="C1354" s="5" t="s">
        <v>387</v>
      </c>
      <c r="D1354" s="5">
        <v>16470</v>
      </c>
      <c r="E1354" s="5" t="s">
        <v>708</v>
      </c>
      <c r="F1354" s="5">
        <v>94.212000000000003</v>
      </c>
      <c r="G1354" s="5">
        <v>2007</v>
      </c>
      <c r="AZ1354" s="7"/>
    </row>
    <row r="1355" spans="1:52" s="5" customFormat="1" hidden="1" x14ac:dyDescent="0.25">
      <c r="A1355" s="5" t="s">
        <v>25</v>
      </c>
      <c r="B1355" s="5" t="s">
        <v>76</v>
      </c>
      <c r="C1355" s="5" t="s">
        <v>388</v>
      </c>
      <c r="D1355" s="5">
        <v>24955</v>
      </c>
      <c r="E1355" s="5" t="s">
        <v>707</v>
      </c>
      <c r="F1355" s="5">
        <v>270.96600000000001</v>
      </c>
      <c r="G1355" s="5">
        <v>2007</v>
      </c>
      <c r="AZ1355" s="7"/>
    </row>
    <row r="1356" spans="1:52" s="5" customFormat="1" hidden="1" x14ac:dyDescent="0.25">
      <c r="A1356" s="5" t="s">
        <v>25</v>
      </c>
      <c r="B1356" s="5" t="s">
        <v>76</v>
      </c>
      <c r="C1356" s="5" t="s">
        <v>391</v>
      </c>
      <c r="D1356" s="5">
        <v>34052</v>
      </c>
      <c r="E1356" s="5" t="s">
        <v>707</v>
      </c>
      <c r="F1356" s="5">
        <v>27.152000000000001</v>
      </c>
      <c r="G1356" s="5">
        <v>2007</v>
      </c>
      <c r="AZ1356" s="7"/>
    </row>
    <row r="1357" spans="1:52" s="5" customFormat="1" hidden="1" x14ac:dyDescent="0.25">
      <c r="A1357" s="5" t="s">
        <v>25</v>
      </c>
      <c r="B1357" s="5" t="s">
        <v>76</v>
      </c>
      <c r="C1357" s="5" t="s">
        <v>392</v>
      </c>
      <c r="D1357" s="5">
        <v>34053</v>
      </c>
      <c r="E1357" s="5" t="s">
        <v>707</v>
      </c>
      <c r="F1357" s="5">
        <v>198.52799999999999</v>
      </c>
      <c r="G1357" s="5">
        <v>2007</v>
      </c>
      <c r="AZ1357" s="7"/>
    </row>
    <row r="1358" spans="1:52" s="5" customFormat="1" hidden="1" x14ac:dyDescent="0.25">
      <c r="A1358" s="5" t="s">
        <v>25</v>
      </c>
      <c r="B1358" s="5" t="s">
        <v>76</v>
      </c>
      <c r="C1358" s="5" t="s">
        <v>393</v>
      </c>
      <c r="D1358" s="5">
        <v>34054</v>
      </c>
      <c r="E1358" s="5" t="s">
        <v>707</v>
      </c>
      <c r="F1358" s="5">
        <v>44.628</v>
      </c>
      <c r="G1358" s="5">
        <v>2007</v>
      </c>
      <c r="AZ1358" s="7"/>
    </row>
    <row r="1359" spans="1:52" s="5" customFormat="1" hidden="1" x14ac:dyDescent="0.25">
      <c r="A1359" s="5" t="s">
        <v>25</v>
      </c>
      <c r="B1359" s="5" t="s">
        <v>76</v>
      </c>
      <c r="C1359" s="5" t="s">
        <v>394</v>
      </c>
      <c r="D1359" s="5">
        <v>34055</v>
      </c>
      <c r="E1359" s="5" t="s">
        <v>707</v>
      </c>
      <c r="F1359" s="5">
        <v>110.316</v>
      </c>
      <c r="G1359" s="5">
        <v>2007</v>
      </c>
      <c r="AZ1359" s="7"/>
    </row>
    <row r="1360" spans="1:52" s="5" customFormat="1" hidden="1" x14ac:dyDescent="0.25">
      <c r="A1360" s="5" t="s">
        <v>25</v>
      </c>
      <c r="B1360" s="5" t="s">
        <v>76</v>
      </c>
      <c r="C1360" s="5" t="s">
        <v>386</v>
      </c>
      <c r="D1360" s="5">
        <v>9861</v>
      </c>
      <c r="E1360" s="5" t="s">
        <v>707</v>
      </c>
      <c r="F1360" s="5">
        <v>49.194000000000003</v>
      </c>
      <c r="G1360" s="5">
        <v>2008</v>
      </c>
      <c r="AZ1360" s="7"/>
    </row>
    <row r="1361" spans="1:52" s="5" customFormat="1" hidden="1" x14ac:dyDescent="0.25">
      <c r="A1361" s="5" t="s">
        <v>25</v>
      </c>
      <c r="B1361" s="5" t="s">
        <v>76</v>
      </c>
      <c r="C1361" s="5" t="s">
        <v>387</v>
      </c>
      <c r="D1361" s="5">
        <v>16470</v>
      </c>
      <c r="E1361" s="5" t="s">
        <v>708</v>
      </c>
      <c r="F1361" s="5">
        <v>69.081999999999994</v>
      </c>
      <c r="G1361" s="5">
        <v>2008</v>
      </c>
      <c r="AZ1361" s="7"/>
    </row>
    <row r="1362" spans="1:52" s="5" customFormat="1" hidden="1" x14ac:dyDescent="0.25">
      <c r="A1362" s="5" t="s">
        <v>25</v>
      </c>
      <c r="B1362" s="5" t="s">
        <v>76</v>
      </c>
      <c r="C1362" s="5" t="s">
        <v>388</v>
      </c>
      <c r="D1362" s="5">
        <v>24955</v>
      </c>
      <c r="E1362" s="5" t="s">
        <v>707</v>
      </c>
      <c r="F1362" s="5">
        <v>415.44600000000003</v>
      </c>
      <c r="G1362" s="5">
        <v>2008</v>
      </c>
      <c r="AZ1362" s="7"/>
    </row>
    <row r="1363" spans="1:52" s="5" customFormat="1" hidden="1" x14ac:dyDescent="0.25">
      <c r="A1363" s="5" t="s">
        <v>25</v>
      </c>
      <c r="B1363" s="5" t="s">
        <v>76</v>
      </c>
      <c r="C1363" s="5" t="s">
        <v>391</v>
      </c>
      <c r="D1363" s="5">
        <v>34052</v>
      </c>
      <c r="E1363" s="5" t="s">
        <v>707</v>
      </c>
      <c r="F1363" s="5">
        <v>40.795000000000002</v>
      </c>
      <c r="G1363" s="5">
        <v>2008</v>
      </c>
      <c r="AZ1363" s="7"/>
    </row>
    <row r="1364" spans="1:52" s="5" customFormat="1" hidden="1" x14ac:dyDescent="0.25">
      <c r="A1364" s="5" t="s">
        <v>25</v>
      </c>
      <c r="B1364" s="5" t="s">
        <v>76</v>
      </c>
      <c r="C1364" s="5" t="s">
        <v>392</v>
      </c>
      <c r="D1364" s="5">
        <v>34053</v>
      </c>
      <c r="E1364" s="5" t="s">
        <v>707</v>
      </c>
      <c r="F1364" s="5">
        <v>238.38800000000001</v>
      </c>
      <c r="G1364" s="5">
        <v>2008</v>
      </c>
      <c r="AZ1364" s="7"/>
    </row>
    <row r="1365" spans="1:52" s="5" customFormat="1" hidden="1" x14ac:dyDescent="0.25">
      <c r="A1365" s="5" t="s">
        <v>25</v>
      </c>
      <c r="B1365" s="5" t="s">
        <v>76</v>
      </c>
      <c r="C1365" s="5" t="s">
        <v>393</v>
      </c>
      <c r="D1365" s="5">
        <v>34054</v>
      </c>
      <c r="E1365" s="5" t="s">
        <v>707</v>
      </c>
      <c r="F1365" s="5">
        <v>13.731999999999999</v>
      </c>
      <c r="G1365" s="5">
        <v>2008</v>
      </c>
      <c r="AZ1365" s="7"/>
    </row>
    <row r="1366" spans="1:52" s="5" customFormat="1" hidden="1" x14ac:dyDescent="0.25">
      <c r="A1366" s="5" t="s">
        <v>25</v>
      </c>
      <c r="B1366" s="5" t="s">
        <v>76</v>
      </c>
      <c r="C1366" s="5" t="s">
        <v>394</v>
      </c>
      <c r="D1366" s="5">
        <v>34055</v>
      </c>
      <c r="E1366" s="5" t="s">
        <v>707</v>
      </c>
      <c r="F1366" s="5">
        <v>337.32400000000001</v>
      </c>
      <c r="G1366" s="5">
        <v>2008</v>
      </c>
      <c r="AZ1366" s="7"/>
    </row>
    <row r="1367" spans="1:52" s="5" customFormat="1" hidden="1" x14ac:dyDescent="0.25">
      <c r="A1367" s="5" t="s">
        <v>25</v>
      </c>
      <c r="B1367" s="5" t="s">
        <v>76</v>
      </c>
      <c r="C1367" s="5" t="s">
        <v>386</v>
      </c>
      <c r="D1367" s="5">
        <v>9861</v>
      </c>
      <c r="E1367" s="5" t="s">
        <v>707</v>
      </c>
      <c r="F1367" s="5">
        <v>52.134999999999998</v>
      </c>
      <c r="G1367" s="5">
        <v>2009</v>
      </c>
      <c r="AZ1367" s="7"/>
    </row>
    <row r="1368" spans="1:52" s="5" customFormat="1" hidden="1" x14ac:dyDescent="0.25">
      <c r="A1368" s="5" t="s">
        <v>25</v>
      </c>
      <c r="B1368" s="5" t="s">
        <v>76</v>
      </c>
      <c r="C1368" s="5" t="s">
        <v>387</v>
      </c>
      <c r="D1368" s="5">
        <v>16470</v>
      </c>
      <c r="E1368" s="5" t="s">
        <v>708</v>
      </c>
      <c r="F1368" s="5">
        <v>70.915999999999997</v>
      </c>
      <c r="G1368" s="5">
        <v>2009</v>
      </c>
      <c r="AZ1368" s="7"/>
    </row>
    <row r="1369" spans="1:52" s="5" customFormat="1" hidden="1" x14ac:dyDescent="0.25">
      <c r="A1369" s="5" t="s">
        <v>25</v>
      </c>
      <c r="B1369" s="5" t="s">
        <v>76</v>
      </c>
      <c r="C1369" s="5" t="s">
        <v>388</v>
      </c>
      <c r="D1369" s="5">
        <v>24955</v>
      </c>
      <c r="E1369" s="5" t="s">
        <v>707</v>
      </c>
      <c r="F1369" s="5">
        <v>277.98099999999999</v>
      </c>
      <c r="G1369" s="5">
        <v>2009</v>
      </c>
      <c r="AZ1369" s="7"/>
    </row>
    <row r="1370" spans="1:52" s="5" customFormat="1" hidden="1" x14ac:dyDescent="0.25">
      <c r="A1370" s="5" t="s">
        <v>25</v>
      </c>
      <c r="B1370" s="5" t="s">
        <v>76</v>
      </c>
      <c r="C1370" s="5" t="s">
        <v>391</v>
      </c>
      <c r="D1370" s="5">
        <v>34052</v>
      </c>
      <c r="E1370" s="5" t="s">
        <v>707</v>
      </c>
      <c r="F1370" s="5">
        <v>55.503</v>
      </c>
      <c r="G1370" s="5">
        <v>2009</v>
      </c>
      <c r="AZ1370" s="7"/>
    </row>
    <row r="1371" spans="1:52" s="5" customFormat="1" hidden="1" x14ac:dyDescent="0.25">
      <c r="A1371" s="5" t="s">
        <v>25</v>
      </c>
      <c r="B1371" s="5" t="s">
        <v>76</v>
      </c>
      <c r="C1371" s="5" t="s">
        <v>392</v>
      </c>
      <c r="D1371" s="5">
        <v>34053</v>
      </c>
      <c r="E1371" s="5" t="s">
        <v>707</v>
      </c>
      <c r="F1371" s="5">
        <v>236.16300000000001</v>
      </c>
      <c r="G1371" s="5">
        <v>2009</v>
      </c>
      <c r="AZ1371" s="7"/>
    </row>
    <row r="1372" spans="1:52" s="5" customFormat="1" hidden="1" x14ac:dyDescent="0.25">
      <c r="A1372" s="5" t="s">
        <v>25</v>
      </c>
      <c r="B1372" s="5" t="s">
        <v>76</v>
      </c>
      <c r="C1372" s="5" t="s">
        <v>393</v>
      </c>
      <c r="D1372" s="5">
        <v>34054</v>
      </c>
      <c r="E1372" s="5" t="s">
        <v>707</v>
      </c>
      <c r="F1372" s="5">
        <v>17.422999999999998</v>
      </c>
      <c r="G1372" s="5">
        <v>2009</v>
      </c>
      <c r="AZ1372" s="7"/>
    </row>
    <row r="1373" spans="1:52" s="5" customFormat="1" hidden="1" x14ac:dyDescent="0.25">
      <c r="A1373" s="5" t="s">
        <v>25</v>
      </c>
      <c r="B1373" s="5" t="s">
        <v>76</v>
      </c>
      <c r="C1373" s="5" t="s">
        <v>394</v>
      </c>
      <c r="D1373" s="5">
        <v>34055</v>
      </c>
      <c r="E1373" s="5" t="s">
        <v>707</v>
      </c>
      <c r="F1373" s="5">
        <v>286.065</v>
      </c>
      <c r="G1373" s="5">
        <v>2009</v>
      </c>
      <c r="AZ1373" s="7"/>
    </row>
    <row r="1374" spans="1:52" s="5" customFormat="1" hidden="1" x14ac:dyDescent="0.25">
      <c r="A1374" s="5" t="s">
        <v>25</v>
      </c>
      <c r="B1374" s="5" t="s">
        <v>76</v>
      </c>
      <c r="C1374" s="5" t="s">
        <v>386</v>
      </c>
      <c r="D1374" s="5">
        <v>9861</v>
      </c>
      <c r="E1374" s="5" t="s">
        <v>707</v>
      </c>
      <c r="F1374" s="5">
        <v>46.456000000000003</v>
      </c>
      <c r="G1374" s="5">
        <v>2010</v>
      </c>
      <c r="AZ1374" s="7"/>
    </row>
    <row r="1375" spans="1:52" s="5" customFormat="1" hidden="1" x14ac:dyDescent="0.25">
      <c r="A1375" s="5" t="s">
        <v>25</v>
      </c>
      <c r="B1375" s="5" t="s">
        <v>76</v>
      </c>
      <c r="C1375" s="5" t="s">
        <v>387</v>
      </c>
      <c r="D1375" s="5">
        <v>16470</v>
      </c>
      <c r="E1375" s="5" t="s">
        <v>708</v>
      </c>
      <c r="F1375" s="5">
        <v>68.516999999999996</v>
      </c>
      <c r="G1375" s="5">
        <v>2010</v>
      </c>
      <c r="AZ1375" s="7"/>
    </row>
    <row r="1376" spans="1:52" s="5" customFormat="1" hidden="1" x14ac:dyDescent="0.25">
      <c r="A1376" s="5" t="s">
        <v>25</v>
      </c>
      <c r="B1376" s="5" t="s">
        <v>76</v>
      </c>
      <c r="C1376" s="5" t="s">
        <v>388</v>
      </c>
      <c r="D1376" s="5">
        <v>24955</v>
      </c>
      <c r="E1376" s="5" t="s">
        <v>707</v>
      </c>
      <c r="F1376" s="5">
        <v>34.456000000000003</v>
      </c>
      <c r="G1376" s="5">
        <v>2010</v>
      </c>
      <c r="AZ1376" s="7"/>
    </row>
    <row r="1377" spans="1:52" s="5" customFormat="1" hidden="1" x14ac:dyDescent="0.25">
      <c r="A1377" s="5" t="s">
        <v>25</v>
      </c>
      <c r="B1377" s="5" t="s">
        <v>76</v>
      </c>
      <c r="C1377" s="5" t="s">
        <v>391</v>
      </c>
      <c r="D1377" s="5">
        <v>34052</v>
      </c>
      <c r="E1377" s="5" t="s">
        <v>707</v>
      </c>
      <c r="F1377" s="5">
        <v>49.759</v>
      </c>
      <c r="G1377" s="5">
        <v>2010</v>
      </c>
      <c r="AZ1377" s="7"/>
    </row>
    <row r="1378" spans="1:52" s="5" customFormat="1" hidden="1" x14ac:dyDescent="0.25">
      <c r="A1378" s="5" t="s">
        <v>25</v>
      </c>
      <c r="B1378" s="5" t="s">
        <v>76</v>
      </c>
      <c r="C1378" s="5" t="s">
        <v>392</v>
      </c>
      <c r="D1378" s="5">
        <v>34053</v>
      </c>
      <c r="E1378" s="5" t="s">
        <v>707</v>
      </c>
      <c r="F1378" s="5">
        <v>258.12700000000001</v>
      </c>
      <c r="G1378" s="5">
        <v>2010</v>
      </c>
      <c r="AZ1378" s="7"/>
    </row>
    <row r="1379" spans="1:52" s="5" customFormat="1" hidden="1" x14ac:dyDescent="0.25">
      <c r="A1379" s="5" t="s">
        <v>25</v>
      </c>
      <c r="B1379" s="5" t="s">
        <v>76</v>
      </c>
      <c r="C1379" s="5" t="s">
        <v>393</v>
      </c>
      <c r="D1379" s="5">
        <v>34054</v>
      </c>
      <c r="E1379" s="5" t="s">
        <v>707</v>
      </c>
      <c r="F1379" s="5">
        <v>10.68</v>
      </c>
      <c r="G1379" s="5">
        <v>2010</v>
      </c>
      <c r="AZ1379" s="7"/>
    </row>
    <row r="1380" spans="1:52" s="5" customFormat="1" hidden="1" x14ac:dyDescent="0.25">
      <c r="A1380" s="5" t="s">
        <v>25</v>
      </c>
      <c r="B1380" s="5" t="s">
        <v>76</v>
      </c>
      <c r="C1380" s="5" t="s">
        <v>394</v>
      </c>
      <c r="D1380" s="5">
        <v>34055</v>
      </c>
      <c r="E1380" s="5" t="s">
        <v>707</v>
      </c>
      <c r="F1380" s="5">
        <v>530.59299999999996</v>
      </c>
      <c r="G1380" s="5">
        <v>2010</v>
      </c>
      <c r="AZ1380" s="7"/>
    </row>
    <row r="1381" spans="1:52" s="5" customFormat="1" hidden="1" x14ac:dyDescent="0.25">
      <c r="A1381" s="5" t="s">
        <v>25</v>
      </c>
      <c r="B1381" s="5" t="s">
        <v>76</v>
      </c>
      <c r="C1381" s="5" t="s">
        <v>386</v>
      </c>
      <c r="D1381" s="5">
        <v>9861</v>
      </c>
      <c r="E1381" s="5" t="s">
        <v>707</v>
      </c>
      <c r="F1381" s="5">
        <v>79.433999999999997</v>
      </c>
      <c r="G1381" s="5">
        <v>2011</v>
      </c>
      <c r="AZ1381" s="7"/>
    </row>
    <row r="1382" spans="1:52" s="5" customFormat="1" hidden="1" x14ac:dyDescent="0.25">
      <c r="A1382" s="5" t="s">
        <v>25</v>
      </c>
      <c r="B1382" s="5" t="s">
        <v>76</v>
      </c>
      <c r="C1382" s="5" t="s">
        <v>387</v>
      </c>
      <c r="D1382" s="5">
        <v>16470</v>
      </c>
      <c r="E1382" s="5" t="s">
        <v>708</v>
      </c>
      <c r="F1382" s="5">
        <v>160.27099999999999</v>
      </c>
      <c r="G1382" s="5">
        <v>2011</v>
      </c>
      <c r="AZ1382" s="7"/>
    </row>
    <row r="1383" spans="1:52" s="5" customFormat="1" hidden="1" x14ac:dyDescent="0.25">
      <c r="A1383" s="5" t="s">
        <v>25</v>
      </c>
      <c r="B1383" s="5" t="s">
        <v>76</v>
      </c>
      <c r="C1383" s="5" t="s">
        <v>391</v>
      </c>
      <c r="D1383" s="5">
        <v>34052</v>
      </c>
      <c r="E1383" s="5" t="s">
        <v>707</v>
      </c>
      <c r="F1383" s="5">
        <v>55.978999999999999</v>
      </c>
      <c r="G1383" s="5">
        <v>2011</v>
      </c>
      <c r="AZ1383" s="7"/>
    </row>
    <row r="1384" spans="1:52" s="5" customFormat="1" hidden="1" x14ac:dyDescent="0.25">
      <c r="A1384" s="5" t="s">
        <v>25</v>
      </c>
      <c r="B1384" s="5" t="s">
        <v>76</v>
      </c>
      <c r="C1384" s="5" t="s">
        <v>392</v>
      </c>
      <c r="D1384" s="5">
        <v>34053</v>
      </c>
      <c r="E1384" s="5" t="s">
        <v>707</v>
      </c>
      <c r="F1384" s="5">
        <v>263.92899999999997</v>
      </c>
      <c r="G1384" s="5">
        <v>2011</v>
      </c>
      <c r="AZ1384" s="7"/>
    </row>
    <row r="1385" spans="1:52" s="5" customFormat="1" hidden="1" x14ac:dyDescent="0.25">
      <c r="A1385" s="5" t="s">
        <v>25</v>
      </c>
      <c r="B1385" s="5" t="s">
        <v>76</v>
      </c>
      <c r="C1385" s="5" t="s">
        <v>393</v>
      </c>
      <c r="D1385" s="5">
        <v>34054</v>
      </c>
      <c r="E1385" s="5" t="s">
        <v>707</v>
      </c>
      <c r="F1385" s="5">
        <v>12.786</v>
      </c>
      <c r="G1385" s="5">
        <v>2011</v>
      </c>
      <c r="AZ1385" s="7"/>
    </row>
    <row r="1386" spans="1:52" s="5" customFormat="1" hidden="1" x14ac:dyDescent="0.25">
      <c r="A1386" s="5" t="s">
        <v>25</v>
      </c>
      <c r="B1386" s="5" t="s">
        <v>76</v>
      </c>
      <c r="C1386" s="5" t="s">
        <v>394</v>
      </c>
      <c r="D1386" s="5">
        <v>34055</v>
      </c>
      <c r="E1386" s="5" t="s">
        <v>707</v>
      </c>
      <c r="F1386" s="5">
        <v>849.88699999999994</v>
      </c>
      <c r="G1386" s="5">
        <v>2011</v>
      </c>
      <c r="AZ1386" s="7"/>
    </row>
    <row r="1387" spans="1:52" s="5" customFormat="1" hidden="1" x14ac:dyDescent="0.25">
      <c r="A1387" s="5" t="s">
        <v>25</v>
      </c>
      <c r="B1387" s="5" t="s">
        <v>76</v>
      </c>
      <c r="C1387" s="5" t="s">
        <v>395</v>
      </c>
      <c r="D1387" s="5">
        <v>45430</v>
      </c>
      <c r="E1387" s="5" t="s">
        <v>707</v>
      </c>
      <c r="F1387" s="5">
        <v>19.32</v>
      </c>
      <c r="G1387" s="5">
        <v>2011</v>
      </c>
      <c r="AZ1387" s="7"/>
    </row>
    <row r="1388" spans="1:52" s="5" customFormat="1" hidden="1" x14ac:dyDescent="0.25">
      <c r="A1388" s="5" t="s">
        <v>25</v>
      </c>
      <c r="B1388" s="5" t="s">
        <v>76</v>
      </c>
      <c r="C1388" s="5" t="s">
        <v>386</v>
      </c>
      <c r="D1388" s="5">
        <v>9861</v>
      </c>
      <c r="E1388" s="5" t="s">
        <v>707</v>
      </c>
      <c r="F1388" s="5">
        <v>68.988</v>
      </c>
      <c r="G1388" s="5">
        <v>2012</v>
      </c>
      <c r="AZ1388" s="7"/>
    </row>
    <row r="1389" spans="1:52" s="5" customFormat="1" hidden="1" x14ac:dyDescent="0.25">
      <c r="A1389" s="5" t="s">
        <v>25</v>
      </c>
      <c r="B1389" s="5" t="s">
        <v>76</v>
      </c>
      <c r="C1389" s="5" t="s">
        <v>387</v>
      </c>
      <c r="D1389" s="5">
        <v>16470</v>
      </c>
      <c r="E1389" s="5" t="s">
        <v>708</v>
      </c>
      <c r="F1389" s="5">
        <v>153.57599999999999</v>
      </c>
      <c r="G1389" s="5">
        <v>2012</v>
      </c>
      <c r="AZ1389" s="7"/>
    </row>
    <row r="1390" spans="1:52" s="5" customFormat="1" hidden="1" x14ac:dyDescent="0.25">
      <c r="A1390" s="5" t="s">
        <v>25</v>
      </c>
      <c r="B1390" s="5" t="s">
        <v>76</v>
      </c>
      <c r="C1390" s="5" t="s">
        <v>391</v>
      </c>
      <c r="D1390" s="5">
        <v>34052</v>
      </c>
      <c r="E1390" s="5" t="s">
        <v>707</v>
      </c>
      <c r="F1390" s="5">
        <v>55.728000000000002</v>
      </c>
      <c r="G1390" s="5">
        <v>2012</v>
      </c>
      <c r="AZ1390" s="7"/>
    </row>
    <row r="1391" spans="1:52" s="5" customFormat="1" hidden="1" x14ac:dyDescent="0.25">
      <c r="A1391" s="5" t="s">
        <v>25</v>
      </c>
      <c r="B1391" s="5" t="s">
        <v>76</v>
      </c>
      <c r="C1391" s="5" t="s">
        <v>392</v>
      </c>
      <c r="D1391" s="5">
        <v>34053</v>
      </c>
      <c r="E1391" s="5" t="s">
        <v>707</v>
      </c>
      <c r="F1391" s="5">
        <v>171.52699999999999</v>
      </c>
      <c r="G1391" s="5">
        <v>2012</v>
      </c>
      <c r="AZ1391" s="7"/>
    </row>
    <row r="1392" spans="1:52" s="5" customFormat="1" hidden="1" x14ac:dyDescent="0.25">
      <c r="A1392" s="5" t="s">
        <v>25</v>
      </c>
      <c r="B1392" s="5" t="s">
        <v>76</v>
      </c>
      <c r="C1392" s="5" t="s">
        <v>393</v>
      </c>
      <c r="D1392" s="5">
        <v>34054</v>
      </c>
      <c r="E1392" s="5" t="s">
        <v>707</v>
      </c>
      <c r="F1392" s="5">
        <v>14.442</v>
      </c>
      <c r="G1392" s="5">
        <v>2012</v>
      </c>
      <c r="AZ1392" s="7"/>
    </row>
    <row r="1393" spans="1:52" s="5" customFormat="1" hidden="1" x14ac:dyDescent="0.25">
      <c r="A1393" s="5" t="s">
        <v>25</v>
      </c>
      <c r="B1393" s="5" t="s">
        <v>76</v>
      </c>
      <c r="C1393" s="5" t="s">
        <v>394</v>
      </c>
      <c r="D1393" s="5">
        <v>34055</v>
      </c>
      <c r="E1393" s="5" t="s">
        <v>707</v>
      </c>
      <c r="F1393" s="5">
        <v>514.30899999999997</v>
      </c>
      <c r="G1393" s="5">
        <v>2012</v>
      </c>
      <c r="AZ1393" s="7"/>
    </row>
    <row r="1394" spans="1:52" s="5" customFormat="1" hidden="1" x14ac:dyDescent="0.25">
      <c r="A1394" s="5" t="s">
        <v>25</v>
      </c>
      <c r="B1394" s="5" t="s">
        <v>76</v>
      </c>
      <c r="C1394" s="5" t="s">
        <v>395</v>
      </c>
      <c r="D1394" s="5">
        <v>45430</v>
      </c>
      <c r="E1394" s="5" t="s">
        <v>707</v>
      </c>
      <c r="F1394" s="5">
        <v>22.791</v>
      </c>
      <c r="G1394" s="5">
        <v>2012</v>
      </c>
      <c r="AZ1394" s="7"/>
    </row>
    <row r="1395" spans="1:52" s="5" customFormat="1" hidden="1" x14ac:dyDescent="0.25">
      <c r="A1395" s="5" t="s">
        <v>25</v>
      </c>
      <c r="B1395" s="5" t="s">
        <v>76</v>
      </c>
      <c r="C1395" s="5" t="s">
        <v>386</v>
      </c>
      <c r="D1395" s="5">
        <v>9861</v>
      </c>
      <c r="E1395" s="5" t="s">
        <v>707</v>
      </c>
      <c r="F1395" s="5">
        <v>47.594000000000001</v>
      </c>
      <c r="G1395" s="5">
        <v>2013</v>
      </c>
      <c r="AZ1395" s="7"/>
    </row>
    <row r="1396" spans="1:52" s="5" customFormat="1" hidden="1" x14ac:dyDescent="0.25">
      <c r="A1396" s="5" t="s">
        <v>25</v>
      </c>
      <c r="B1396" s="5" t="s">
        <v>76</v>
      </c>
      <c r="C1396" s="5" t="s">
        <v>387</v>
      </c>
      <c r="D1396" s="5">
        <v>16470</v>
      </c>
      <c r="E1396" s="5" t="s">
        <v>708</v>
      </c>
      <c r="F1396" s="5">
        <v>75.149000000000001</v>
      </c>
      <c r="G1396" s="5">
        <v>2013</v>
      </c>
      <c r="AZ1396" s="7"/>
    </row>
    <row r="1397" spans="1:52" s="5" customFormat="1" hidden="1" x14ac:dyDescent="0.25">
      <c r="A1397" s="5" t="s">
        <v>25</v>
      </c>
      <c r="B1397" s="5" t="s">
        <v>76</v>
      </c>
      <c r="C1397" s="5" t="s">
        <v>392</v>
      </c>
      <c r="D1397" s="5">
        <v>34053</v>
      </c>
      <c r="E1397" s="5" t="s">
        <v>707</v>
      </c>
      <c r="F1397" s="5">
        <v>93.534000000000006</v>
      </c>
      <c r="G1397" s="5">
        <v>2013</v>
      </c>
      <c r="AZ1397" s="7"/>
    </row>
    <row r="1398" spans="1:52" s="5" customFormat="1" hidden="1" x14ac:dyDescent="0.25">
      <c r="A1398" s="5" t="s">
        <v>25</v>
      </c>
      <c r="B1398" s="5" t="s">
        <v>76</v>
      </c>
      <c r="C1398" s="5" t="s">
        <v>394</v>
      </c>
      <c r="D1398" s="5">
        <v>34055</v>
      </c>
      <c r="E1398" s="5" t="s">
        <v>707</v>
      </c>
      <c r="F1398" s="5">
        <v>224.30699999999999</v>
      </c>
      <c r="G1398" s="5">
        <v>2013</v>
      </c>
      <c r="AZ1398" s="7"/>
    </row>
    <row r="1399" spans="1:52" s="5" customFormat="1" hidden="1" x14ac:dyDescent="0.25">
      <c r="A1399" s="5" t="s">
        <v>25</v>
      </c>
      <c r="B1399" s="5" t="s">
        <v>76</v>
      </c>
      <c r="C1399" s="5" t="s">
        <v>396</v>
      </c>
      <c r="D1399" s="5">
        <v>48509</v>
      </c>
      <c r="E1399" s="5" t="s">
        <v>707</v>
      </c>
      <c r="F1399" s="5">
        <v>51.186999999999998</v>
      </c>
      <c r="G1399" s="5">
        <v>2013</v>
      </c>
      <c r="AZ1399" s="7"/>
    </row>
    <row r="1400" spans="1:52" s="5" customFormat="1" hidden="1" x14ac:dyDescent="0.25">
      <c r="A1400" s="5" t="s">
        <v>25</v>
      </c>
      <c r="B1400" s="5" t="s">
        <v>76</v>
      </c>
      <c r="C1400" s="5" t="s">
        <v>386</v>
      </c>
      <c r="D1400" s="5">
        <v>9861</v>
      </c>
      <c r="E1400" s="5" t="s">
        <v>707</v>
      </c>
      <c r="F1400" s="5">
        <v>62.01</v>
      </c>
      <c r="G1400" s="5">
        <v>2014</v>
      </c>
      <c r="AZ1400" s="7"/>
    </row>
    <row r="1401" spans="1:52" s="5" customFormat="1" hidden="1" x14ac:dyDescent="0.25">
      <c r="A1401" s="5" t="s">
        <v>25</v>
      </c>
      <c r="B1401" s="5" t="s">
        <v>76</v>
      </c>
      <c r="C1401" s="5" t="s">
        <v>387</v>
      </c>
      <c r="D1401" s="5">
        <v>16470</v>
      </c>
      <c r="E1401" s="5" t="s">
        <v>707</v>
      </c>
      <c r="F1401" s="5">
        <v>67.715999999999994</v>
      </c>
      <c r="G1401" s="5">
        <v>2014</v>
      </c>
      <c r="AZ1401" s="7"/>
    </row>
    <row r="1402" spans="1:52" s="5" customFormat="1" hidden="1" x14ac:dyDescent="0.25">
      <c r="A1402" s="5" t="s">
        <v>25</v>
      </c>
      <c r="B1402" s="5" t="s">
        <v>76</v>
      </c>
      <c r="C1402" s="5" t="s">
        <v>392</v>
      </c>
      <c r="D1402" s="5">
        <v>34053</v>
      </c>
      <c r="E1402" s="5" t="s">
        <v>708</v>
      </c>
      <c r="F1402" s="5">
        <v>55.484000000000002</v>
      </c>
      <c r="G1402" s="5">
        <v>2014</v>
      </c>
      <c r="AZ1402" s="7"/>
    </row>
    <row r="1403" spans="1:52" s="5" customFormat="1" hidden="1" x14ac:dyDescent="0.25">
      <c r="A1403" s="5" t="s">
        <v>25</v>
      </c>
      <c r="B1403" s="5" t="s">
        <v>76</v>
      </c>
      <c r="C1403" s="5" t="s">
        <v>394</v>
      </c>
      <c r="D1403" s="5">
        <v>34055</v>
      </c>
      <c r="E1403" s="5" t="s">
        <v>707</v>
      </c>
      <c r="F1403" s="5">
        <v>124.179</v>
      </c>
      <c r="G1403" s="5">
        <v>2014</v>
      </c>
      <c r="AZ1403" s="7"/>
    </row>
    <row r="1404" spans="1:52" s="5" customFormat="1" hidden="1" x14ac:dyDescent="0.25">
      <c r="A1404" s="5" t="s">
        <v>25</v>
      </c>
      <c r="B1404" s="5" t="s">
        <v>76</v>
      </c>
      <c r="C1404" s="5" t="s">
        <v>396</v>
      </c>
      <c r="D1404" s="5">
        <v>48509</v>
      </c>
      <c r="E1404" s="5" t="s">
        <v>707</v>
      </c>
      <c r="F1404" s="5">
        <v>65.284000000000006</v>
      </c>
      <c r="G1404" s="5">
        <v>2014</v>
      </c>
      <c r="AZ1404" s="7"/>
    </row>
    <row r="1405" spans="1:52" s="5" customFormat="1" hidden="1" x14ac:dyDescent="0.25">
      <c r="A1405" s="5" t="s">
        <v>25</v>
      </c>
      <c r="B1405" s="5" t="s">
        <v>76</v>
      </c>
      <c r="C1405" s="5" t="s">
        <v>397</v>
      </c>
      <c r="D1405" s="5">
        <v>50167</v>
      </c>
      <c r="E1405" s="5" t="s">
        <v>707</v>
      </c>
      <c r="F1405" s="5">
        <v>97.531999999999996</v>
      </c>
      <c r="G1405" s="5">
        <v>2014</v>
      </c>
      <c r="AZ1405" s="7"/>
    </row>
    <row r="1406" spans="1:52" s="5" customFormat="1" hidden="1" x14ac:dyDescent="0.25">
      <c r="A1406" s="5" t="s">
        <v>25</v>
      </c>
      <c r="B1406" s="5" t="s">
        <v>76</v>
      </c>
      <c r="C1406" s="5" t="s">
        <v>386</v>
      </c>
      <c r="D1406" s="5">
        <v>9861</v>
      </c>
      <c r="E1406" s="5" t="s">
        <v>707</v>
      </c>
      <c r="F1406" s="5">
        <v>74.819999999999993</v>
      </c>
      <c r="G1406" s="5">
        <v>2015</v>
      </c>
      <c r="AZ1406" s="7"/>
    </row>
    <row r="1407" spans="1:52" s="5" customFormat="1" hidden="1" x14ac:dyDescent="0.25">
      <c r="A1407" s="5" t="s">
        <v>25</v>
      </c>
      <c r="B1407" s="5" t="s">
        <v>76</v>
      </c>
      <c r="C1407" s="5" t="s">
        <v>387</v>
      </c>
      <c r="D1407" s="5">
        <v>16470</v>
      </c>
      <c r="E1407" s="5" t="s">
        <v>707</v>
      </c>
      <c r="F1407" s="5">
        <v>78.289000000000001</v>
      </c>
      <c r="G1407" s="5">
        <v>2015</v>
      </c>
      <c r="AZ1407" s="7"/>
    </row>
    <row r="1408" spans="1:52" s="5" customFormat="1" hidden="1" x14ac:dyDescent="0.25">
      <c r="A1408" s="5" t="s">
        <v>25</v>
      </c>
      <c r="B1408" s="5" t="s">
        <v>76</v>
      </c>
      <c r="C1408" s="5" t="s">
        <v>392</v>
      </c>
      <c r="D1408" s="5">
        <v>34053</v>
      </c>
      <c r="E1408" s="5" t="s">
        <v>708</v>
      </c>
      <c r="F1408" s="5">
        <v>74.742000000000004</v>
      </c>
      <c r="G1408" s="5">
        <v>2015</v>
      </c>
      <c r="AZ1408" s="7"/>
    </row>
    <row r="1409" spans="1:52" s="5" customFormat="1" hidden="1" x14ac:dyDescent="0.25">
      <c r="A1409" s="5" t="s">
        <v>25</v>
      </c>
      <c r="B1409" s="5" t="s">
        <v>76</v>
      </c>
      <c r="C1409" s="5" t="s">
        <v>394</v>
      </c>
      <c r="D1409" s="5">
        <v>34055</v>
      </c>
      <c r="E1409" s="5" t="s">
        <v>707</v>
      </c>
      <c r="F1409" s="5">
        <v>47.429000000000002</v>
      </c>
      <c r="G1409" s="5">
        <v>2015</v>
      </c>
      <c r="AZ1409" s="7"/>
    </row>
    <row r="1410" spans="1:52" s="5" customFormat="1" hidden="1" x14ac:dyDescent="0.25">
      <c r="A1410" s="5" t="s">
        <v>25</v>
      </c>
      <c r="B1410" s="5" t="s">
        <v>76</v>
      </c>
      <c r="C1410" s="5" t="s">
        <v>396</v>
      </c>
      <c r="D1410" s="5">
        <v>48509</v>
      </c>
      <c r="E1410" s="5" t="s">
        <v>707</v>
      </c>
      <c r="F1410" s="5">
        <v>71.432000000000002</v>
      </c>
      <c r="G1410" s="5">
        <v>2015</v>
      </c>
      <c r="AZ1410" s="7"/>
    </row>
    <row r="1411" spans="1:52" s="5" customFormat="1" hidden="1" x14ac:dyDescent="0.25">
      <c r="A1411" s="5" t="s">
        <v>25</v>
      </c>
      <c r="B1411" s="5" t="s">
        <v>76</v>
      </c>
      <c r="C1411" s="5" t="s">
        <v>397</v>
      </c>
      <c r="D1411" s="5">
        <v>50167</v>
      </c>
      <c r="E1411" s="5" t="s">
        <v>707</v>
      </c>
      <c r="F1411" s="5">
        <v>101.76</v>
      </c>
      <c r="G1411" s="5">
        <v>2015</v>
      </c>
      <c r="AZ1411" s="7"/>
    </row>
    <row r="1412" spans="1:52" s="5" customFormat="1" hidden="1" x14ac:dyDescent="0.25">
      <c r="A1412" s="5" t="s">
        <v>25</v>
      </c>
      <c r="B1412" s="5" t="s">
        <v>76</v>
      </c>
      <c r="C1412" s="5" t="s">
        <v>386</v>
      </c>
      <c r="D1412" s="5">
        <v>9861</v>
      </c>
      <c r="E1412" s="5" t="s">
        <v>707</v>
      </c>
      <c r="F1412" s="5">
        <v>80.081000000000003</v>
      </c>
      <c r="G1412" s="5">
        <v>2016</v>
      </c>
      <c r="AZ1412" s="7"/>
    </row>
    <row r="1413" spans="1:52" s="5" customFormat="1" hidden="1" x14ac:dyDescent="0.25">
      <c r="A1413" s="5" t="s">
        <v>25</v>
      </c>
      <c r="B1413" s="5" t="s">
        <v>76</v>
      </c>
      <c r="C1413" s="5" t="s">
        <v>392</v>
      </c>
      <c r="D1413" s="5">
        <v>34053</v>
      </c>
      <c r="E1413" s="5" t="s">
        <v>708</v>
      </c>
      <c r="F1413" s="5">
        <v>52.01</v>
      </c>
      <c r="G1413" s="5">
        <v>2016</v>
      </c>
      <c r="AZ1413" s="7"/>
    </row>
    <row r="1414" spans="1:52" s="5" customFormat="1" hidden="1" x14ac:dyDescent="0.25">
      <c r="A1414" s="5" t="s">
        <v>25</v>
      </c>
      <c r="B1414" s="5" t="s">
        <v>76</v>
      </c>
      <c r="C1414" s="5" t="s">
        <v>394</v>
      </c>
      <c r="D1414" s="5">
        <v>34055</v>
      </c>
      <c r="E1414" s="5" t="s">
        <v>707</v>
      </c>
      <c r="F1414" s="5">
        <v>55.499000000000002</v>
      </c>
      <c r="G1414" s="5">
        <v>2016</v>
      </c>
      <c r="AZ1414" s="7"/>
    </row>
    <row r="1415" spans="1:52" s="5" customFormat="1" hidden="1" x14ac:dyDescent="0.25">
      <c r="A1415" s="5" t="s">
        <v>25</v>
      </c>
      <c r="B1415" s="5" t="s">
        <v>76</v>
      </c>
      <c r="C1415" s="5" t="s">
        <v>396</v>
      </c>
      <c r="D1415" s="5">
        <v>48509</v>
      </c>
      <c r="E1415" s="5" t="s">
        <v>707</v>
      </c>
      <c r="F1415" s="5">
        <v>83.271000000000001</v>
      </c>
      <c r="G1415" s="5">
        <v>2016</v>
      </c>
      <c r="AZ1415" s="7"/>
    </row>
    <row r="1416" spans="1:52" s="5" customFormat="1" hidden="1" x14ac:dyDescent="0.25">
      <c r="A1416" s="5" t="s">
        <v>25</v>
      </c>
      <c r="B1416" s="5" t="s">
        <v>76</v>
      </c>
      <c r="C1416" s="5" t="s">
        <v>397</v>
      </c>
      <c r="D1416" s="5">
        <v>50167</v>
      </c>
      <c r="E1416" s="5" t="s">
        <v>707</v>
      </c>
      <c r="F1416" s="5">
        <v>294.95999999999998</v>
      </c>
      <c r="G1416" s="5">
        <v>2016</v>
      </c>
      <c r="AZ1416" s="7"/>
    </row>
    <row r="1417" spans="1:52" s="5" customFormat="1" hidden="1" x14ac:dyDescent="0.25">
      <c r="A1417" s="5" t="s">
        <v>25</v>
      </c>
      <c r="B1417" s="5" t="s">
        <v>76</v>
      </c>
      <c r="C1417" s="5" t="s">
        <v>398</v>
      </c>
      <c r="D1417" s="5">
        <v>54243</v>
      </c>
      <c r="E1417" s="5" t="s">
        <v>707</v>
      </c>
      <c r="F1417" s="5">
        <v>309.04700000000003</v>
      </c>
      <c r="G1417" s="5">
        <v>2016</v>
      </c>
      <c r="AZ1417" s="7"/>
    </row>
    <row r="1418" spans="1:52" s="5" customFormat="1" hidden="1" x14ac:dyDescent="0.25">
      <c r="A1418" s="5" t="s">
        <v>25</v>
      </c>
      <c r="B1418" s="5" t="s">
        <v>76</v>
      </c>
      <c r="C1418" s="5" t="s">
        <v>399</v>
      </c>
      <c r="D1418" s="5">
        <v>61134</v>
      </c>
      <c r="E1418" s="5" t="s">
        <v>707</v>
      </c>
      <c r="F1418" s="5">
        <v>51.247999999999998</v>
      </c>
      <c r="G1418" s="5">
        <v>2016</v>
      </c>
      <c r="AZ1418" s="7"/>
    </row>
    <row r="1419" spans="1:52" s="5" customFormat="1" hidden="1" x14ac:dyDescent="0.25">
      <c r="A1419" s="5" t="s">
        <v>25</v>
      </c>
      <c r="B1419" s="5" t="s">
        <v>76</v>
      </c>
      <c r="C1419" s="5" t="s">
        <v>392</v>
      </c>
      <c r="D1419" s="5">
        <v>34053</v>
      </c>
      <c r="E1419" s="5" t="s">
        <v>708</v>
      </c>
      <c r="F1419" s="5">
        <v>47.197000000000003</v>
      </c>
      <c r="G1419" s="5">
        <v>2017</v>
      </c>
      <c r="AZ1419" s="7"/>
    </row>
    <row r="1420" spans="1:52" s="5" customFormat="1" hidden="1" x14ac:dyDescent="0.25">
      <c r="A1420" s="5" t="s">
        <v>25</v>
      </c>
      <c r="B1420" s="5" t="s">
        <v>76</v>
      </c>
      <c r="C1420" s="5" t="s">
        <v>394</v>
      </c>
      <c r="D1420" s="5">
        <v>34055</v>
      </c>
      <c r="E1420" s="5" t="s">
        <v>707</v>
      </c>
      <c r="F1420" s="5">
        <v>53.384999999999998</v>
      </c>
      <c r="G1420" s="5">
        <v>2017</v>
      </c>
      <c r="AZ1420" s="7"/>
    </row>
    <row r="1421" spans="1:52" s="5" customFormat="1" hidden="1" x14ac:dyDescent="0.25">
      <c r="A1421" s="5" t="s">
        <v>25</v>
      </c>
      <c r="B1421" s="5" t="s">
        <v>76</v>
      </c>
      <c r="C1421" s="5" t="s">
        <v>396</v>
      </c>
      <c r="D1421" s="5">
        <v>48509</v>
      </c>
      <c r="E1421" s="5" t="s">
        <v>707</v>
      </c>
      <c r="F1421" s="5">
        <v>61.506999999999998</v>
      </c>
      <c r="G1421" s="5">
        <v>2017</v>
      </c>
      <c r="AZ1421" s="7"/>
    </row>
    <row r="1422" spans="1:52" s="5" customFormat="1" hidden="1" x14ac:dyDescent="0.25">
      <c r="A1422" s="5" t="s">
        <v>25</v>
      </c>
      <c r="B1422" s="5" t="s">
        <v>76</v>
      </c>
      <c r="C1422" s="5" t="s">
        <v>397</v>
      </c>
      <c r="D1422" s="5">
        <v>50167</v>
      </c>
      <c r="E1422" s="5" t="s">
        <v>707</v>
      </c>
      <c r="F1422" s="5">
        <v>175.26900000000001</v>
      </c>
      <c r="G1422" s="5">
        <v>2017</v>
      </c>
      <c r="AZ1422" s="7"/>
    </row>
    <row r="1423" spans="1:52" s="5" customFormat="1" hidden="1" x14ac:dyDescent="0.25">
      <c r="A1423" s="5" t="s">
        <v>25</v>
      </c>
      <c r="B1423" s="5" t="s">
        <v>76</v>
      </c>
      <c r="C1423" s="5" t="s">
        <v>398</v>
      </c>
      <c r="D1423" s="5">
        <v>54243</v>
      </c>
      <c r="E1423" s="5" t="s">
        <v>707</v>
      </c>
      <c r="F1423" s="5">
        <v>43.798000000000002</v>
      </c>
      <c r="G1423" s="5">
        <v>2017</v>
      </c>
      <c r="AZ1423" s="7"/>
    </row>
    <row r="1424" spans="1:52" s="5" customFormat="1" hidden="1" x14ac:dyDescent="0.25">
      <c r="A1424" s="5" t="s">
        <v>25</v>
      </c>
      <c r="B1424" s="5" t="s">
        <v>76</v>
      </c>
      <c r="C1424" s="5" t="s">
        <v>399</v>
      </c>
      <c r="D1424" s="5">
        <v>61134</v>
      </c>
      <c r="E1424" s="5" t="s">
        <v>707</v>
      </c>
      <c r="F1424" s="5">
        <v>47.265999999999998</v>
      </c>
      <c r="G1424" s="5">
        <v>2017</v>
      </c>
      <c r="AZ1424" s="7"/>
    </row>
    <row r="1425" spans="1:52" s="5" customFormat="1" hidden="1" x14ac:dyDescent="0.25">
      <c r="A1425" s="5" t="s">
        <v>25</v>
      </c>
      <c r="B1425" s="5" t="s">
        <v>76</v>
      </c>
      <c r="C1425" s="5" t="s">
        <v>392</v>
      </c>
      <c r="D1425" s="5">
        <v>34053</v>
      </c>
      <c r="E1425" s="5" t="s">
        <v>708</v>
      </c>
      <c r="F1425" s="5">
        <v>56.658000000000001</v>
      </c>
      <c r="G1425" s="5">
        <v>2018</v>
      </c>
      <c r="AZ1425" s="7"/>
    </row>
    <row r="1426" spans="1:52" s="5" customFormat="1" hidden="1" x14ac:dyDescent="0.25">
      <c r="A1426" s="5" t="s">
        <v>25</v>
      </c>
      <c r="B1426" s="5" t="s">
        <v>76</v>
      </c>
      <c r="C1426" s="5" t="s">
        <v>394</v>
      </c>
      <c r="D1426" s="5">
        <v>34055</v>
      </c>
      <c r="E1426" s="5" t="s">
        <v>707</v>
      </c>
      <c r="F1426" s="5">
        <v>101.958</v>
      </c>
      <c r="G1426" s="5">
        <v>2018</v>
      </c>
      <c r="AZ1426" s="7"/>
    </row>
    <row r="1427" spans="1:52" s="5" customFormat="1" hidden="1" x14ac:dyDescent="0.25">
      <c r="A1427" s="5" t="s">
        <v>25</v>
      </c>
      <c r="B1427" s="5" t="s">
        <v>76</v>
      </c>
      <c r="C1427" s="5" t="s">
        <v>396</v>
      </c>
      <c r="D1427" s="5">
        <v>48509</v>
      </c>
      <c r="E1427" s="5" t="s">
        <v>707</v>
      </c>
      <c r="F1427" s="5">
        <v>67.787999999999997</v>
      </c>
      <c r="G1427" s="5">
        <v>2018</v>
      </c>
      <c r="AZ1427" s="7"/>
    </row>
    <row r="1428" spans="1:52" s="5" customFormat="1" hidden="1" x14ac:dyDescent="0.25">
      <c r="A1428" s="5" t="s">
        <v>25</v>
      </c>
      <c r="B1428" s="5" t="s">
        <v>76</v>
      </c>
      <c r="C1428" s="5" t="s">
        <v>397</v>
      </c>
      <c r="D1428" s="5">
        <v>50167</v>
      </c>
      <c r="E1428" s="5" t="s">
        <v>707</v>
      </c>
      <c r="F1428" s="5">
        <v>367.15499999999997</v>
      </c>
      <c r="G1428" s="5">
        <v>2018</v>
      </c>
      <c r="AZ1428" s="7"/>
    </row>
    <row r="1429" spans="1:52" s="5" customFormat="1" hidden="1" x14ac:dyDescent="0.25">
      <c r="A1429" s="5" t="s">
        <v>25</v>
      </c>
      <c r="B1429" s="5" t="s">
        <v>76</v>
      </c>
      <c r="C1429" s="5" t="s">
        <v>398</v>
      </c>
      <c r="D1429" s="5">
        <v>54243</v>
      </c>
      <c r="E1429" s="5" t="s">
        <v>707</v>
      </c>
      <c r="F1429" s="5">
        <v>88.227000000000004</v>
      </c>
      <c r="G1429" s="5">
        <v>2018</v>
      </c>
      <c r="AZ1429" s="7"/>
    </row>
    <row r="1430" spans="1:52" s="5" customFormat="1" hidden="1" x14ac:dyDescent="0.25">
      <c r="A1430" s="5" t="s">
        <v>25</v>
      </c>
      <c r="B1430" s="5" t="s">
        <v>76</v>
      </c>
      <c r="C1430" s="5" t="s">
        <v>399</v>
      </c>
      <c r="D1430" s="5">
        <v>61134</v>
      </c>
      <c r="E1430" s="5" t="s">
        <v>707</v>
      </c>
      <c r="F1430" s="5">
        <v>66.539000000000001</v>
      </c>
      <c r="G1430" s="5">
        <v>2018</v>
      </c>
      <c r="AZ1430" s="7"/>
    </row>
    <row r="1431" spans="1:52" s="4" customFormat="1" hidden="1" x14ac:dyDescent="0.25">
      <c r="A1431" s="4" t="s">
        <v>26</v>
      </c>
      <c r="B1431" s="4" t="s">
        <v>77</v>
      </c>
      <c r="C1431" s="4" t="s">
        <v>400</v>
      </c>
      <c r="D1431" s="4">
        <v>15977</v>
      </c>
      <c r="E1431" s="4" t="s">
        <v>707</v>
      </c>
      <c r="F1431" s="4">
        <v>55.234999999999999</v>
      </c>
      <c r="G1431" s="4">
        <v>2006</v>
      </c>
      <c r="L1431" s="4">
        <v>2467</v>
      </c>
      <c r="N1431" s="4" t="s">
        <v>749</v>
      </c>
      <c r="X1431" s="4" t="s">
        <v>749</v>
      </c>
      <c r="AC1431" s="4" t="s">
        <v>749</v>
      </c>
      <c r="AM1431" s="4" t="s">
        <v>749</v>
      </c>
      <c r="AR1431" s="4" t="s">
        <v>749</v>
      </c>
      <c r="AW1431" s="4" t="s">
        <v>749</v>
      </c>
      <c r="AZ1431" s="7"/>
    </row>
    <row r="1432" spans="1:52" hidden="1" x14ac:dyDescent="0.25">
      <c r="A1432" t="s">
        <v>26</v>
      </c>
      <c r="B1432" t="s">
        <v>77</v>
      </c>
      <c r="C1432" t="s">
        <v>401</v>
      </c>
      <c r="D1432">
        <v>17937</v>
      </c>
      <c r="E1432" t="s">
        <v>707</v>
      </c>
      <c r="F1432">
        <v>83.706999999999994</v>
      </c>
      <c r="G1432">
        <v>2006</v>
      </c>
      <c r="L1432">
        <v>2635</v>
      </c>
      <c r="N1432" t="s">
        <v>749</v>
      </c>
      <c r="X1432" t="s">
        <v>749</v>
      </c>
      <c r="AC1432" t="s">
        <v>749</v>
      </c>
      <c r="AM1432" t="s">
        <v>749</v>
      </c>
      <c r="AR1432" t="s">
        <v>749</v>
      </c>
      <c r="AW1432" t="s">
        <v>749</v>
      </c>
      <c r="AY1432">
        <v>21321</v>
      </c>
    </row>
    <row r="1433" spans="1:52" hidden="1" x14ac:dyDescent="0.25">
      <c r="A1433" t="s">
        <v>26</v>
      </c>
      <c r="B1433" t="s">
        <v>77</v>
      </c>
      <c r="C1433" t="s">
        <v>402</v>
      </c>
      <c r="D1433">
        <v>17938</v>
      </c>
      <c r="E1433" t="s">
        <v>708</v>
      </c>
      <c r="F1433">
        <v>93.316999999999993</v>
      </c>
      <c r="G1433">
        <v>2006</v>
      </c>
      <c r="L1433">
        <v>2635</v>
      </c>
      <c r="N1433" t="s">
        <v>749</v>
      </c>
      <c r="X1433" t="s">
        <v>749</v>
      </c>
      <c r="AC1433" t="s">
        <v>749</v>
      </c>
      <c r="AM1433" t="s">
        <v>749</v>
      </c>
      <c r="AR1433" t="s">
        <v>749</v>
      </c>
      <c r="AW1433" t="s">
        <v>749</v>
      </c>
      <c r="AY1433">
        <v>372</v>
      </c>
    </row>
    <row r="1434" spans="1:52" hidden="1" x14ac:dyDescent="0.25">
      <c r="A1434" t="s">
        <v>26</v>
      </c>
      <c r="B1434" t="s">
        <v>77</v>
      </c>
      <c r="C1434" t="s">
        <v>403</v>
      </c>
      <c r="D1434">
        <v>26446</v>
      </c>
      <c r="E1434" t="s">
        <v>707</v>
      </c>
      <c r="F1434">
        <v>38.363999999999997</v>
      </c>
      <c r="G1434">
        <v>2006</v>
      </c>
      <c r="H1434">
        <v>1</v>
      </c>
    </row>
    <row r="1435" spans="1:52" hidden="1" x14ac:dyDescent="0.25">
      <c r="A1435" t="s">
        <v>26</v>
      </c>
      <c r="B1435" t="s">
        <v>77</v>
      </c>
      <c r="C1435" t="s">
        <v>404</v>
      </c>
      <c r="D1435">
        <v>31792</v>
      </c>
      <c r="E1435" t="s">
        <v>707</v>
      </c>
      <c r="F1435">
        <v>42.518000000000001</v>
      </c>
      <c r="G1435">
        <v>2006</v>
      </c>
      <c r="L1435">
        <v>1828</v>
      </c>
      <c r="N1435" t="s">
        <v>749</v>
      </c>
      <c r="X1435" t="s">
        <v>749</v>
      </c>
      <c r="AB1435" t="s">
        <v>749</v>
      </c>
      <c r="AC1435" t="s">
        <v>749</v>
      </c>
      <c r="AM1435" t="s">
        <v>749</v>
      </c>
      <c r="AP1435" t="s">
        <v>749</v>
      </c>
      <c r="AR1435" t="s">
        <v>749</v>
      </c>
      <c r="AW1435" t="s">
        <v>749</v>
      </c>
    </row>
    <row r="1436" spans="1:52" hidden="1" x14ac:dyDescent="0.25">
      <c r="A1436" t="s">
        <v>26</v>
      </c>
      <c r="B1436" t="s">
        <v>77</v>
      </c>
      <c r="C1436" t="s">
        <v>405</v>
      </c>
      <c r="D1436">
        <v>7474</v>
      </c>
      <c r="E1436" t="s">
        <v>707</v>
      </c>
      <c r="F1436">
        <v>286.95800000000003</v>
      </c>
      <c r="G1436">
        <v>2007</v>
      </c>
    </row>
    <row r="1437" spans="1:52" hidden="1" x14ac:dyDescent="0.25">
      <c r="A1437" t="s">
        <v>26</v>
      </c>
      <c r="B1437" t="s">
        <v>77</v>
      </c>
      <c r="C1437" t="s">
        <v>400</v>
      </c>
      <c r="D1437">
        <v>15977</v>
      </c>
      <c r="E1437" t="s">
        <v>707</v>
      </c>
      <c r="F1437">
        <v>79.756</v>
      </c>
      <c r="G1437">
        <v>2007</v>
      </c>
    </row>
    <row r="1438" spans="1:52" hidden="1" x14ac:dyDescent="0.25">
      <c r="A1438" t="s">
        <v>26</v>
      </c>
      <c r="B1438" t="s">
        <v>77</v>
      </c>
      <c r="C1438" t="s">
        <v>401</v>
      </c>
      <c r="D1438">
        <v>17937</v>
      </c>
      <c r="E1438" t="s">
        <v>707</v>
      </c>
      <c r="F1438">
        <v>111.642</v>
      </c>
      <c r="G1438">
        <v>2007</v>
      </c>
    </row>
    <row r="1439" spans="1:52" hidden="1" x14ac:dyDescent="0.25">
      <c r="A1439" t="s">
        <v>26</v>
      </c>
      <c r="B1439" t="s">
        <v>77</v>
      </c>
      <c r="C1439" t="s">
        <v>402</v>
      </c>
      <c r="D1439">
        <v>17938</v>
      </c>
      <c r="E1439" t="s">
        <v>708</v>
      </c>
      <c r="F1439">
        <v>135.95400000000001</v>
      </c>
      <c r="G1439">
        <v>2007</v>
      </c>
    </row>
    <row r="1440" spans="1:52" hidden="1" x14ac:dyDescent="0.25">
      <c r="A1440" t="s">
        <v>26</v>
      </c>
      <c r="B1440" t="s">
        <v>77</v>
      </c>
      <c r="C1440" t="s">
        <v>404</v>
      </c>
      <c r="D1440">
        <v>31792</v>
      </c>
      <c r="E1440" t="s">
        <v>707</v>
      </c>
      <c r="F1440">
        <v>224.48699999999999</v>
      </c>
      <c r="G1440">
        <v>2007</v>
      </c>
    </row>
    <row r="1441" spans="1:52" s="4" customFormat="1" hidden="1" x14ac:dyDescent="0.25">
      <c r="A1441" s="4" t="s">
        <v>27</v>
      </c>
      <c r="B1441" s="4" t="s">
        <v>78</v>
      </c>
      <c r="C1441" s="4" t="s">
        <v>406</v>
      </c>
      <c r="D1441" s="4">
        <v>5536</v>
      </c>
      <c r="E1441" s="4" t="s">
        <v>708</v>
      </c>
      <c r="F1441" s="4">
        <v>543.90200000000004</v>
      </c>
      <c r="G1441" s="4">
        <v>2006</v>
      </c>
      <c r="J1441" s="4">
        <f>22000+209925</f>
        <v>231925</v>
      </c>
      <c r="L1441" s="4" t="s">
        <v>761</v>
      </c>
      <c r="Q1441" s="4">
        <v>90451</v>
      </c>
      <c r="X1441" s="4" t="s">
        <v>761</v>
      </c>
      <c r="Z1441" s="4" t="s">
        <v>761</v>
      </c>
      <c r="AN1441" s="4" t="s">
        <v>761</v>
      </c>
      <c r="AR1441" s="4" t="s">
        <v>761</v>
      </c>
      <c r="AZ1441" s="7"/>
    </row>
    <row r="1442" spans="1:52" hidden="1" x14ac:dyDescent="0.25">
      <c r="A1442" t="s">
        <v>27</v>
      </c>
      <c r="B1442" t="s">
        <v>78</v>
      </c>
      <c r="C1442" t="s">
        <v>407</v>
      </c>
      <c r="D1442">
        <v>14691</v>
      </c>
      <c r="E1442" t="s">
        <v>707</v>
      </c>
      <c r="F1442">
        <v>27.184999999999999</v>
      </c>
      <c r="G1442">
        <v>2006</v>
      </c>
      <c r="L1442" t="s">
        <v>761</v>
      </c>
      <c r="Q1442" t="s">
        <v>761</v>
      </c>
      <c r="AJ1442">
        <v>3894</v>
      </c>
    </row>
    <row r="1443" spans="1:52" hidden="1" x14ac:dyDescent="0.25">
      <c r="A1443" t="s">
        <v>27</v>
      </c>
      <c r="B1443" t="s">
        <v>78</v>
      </c>
      <c r="C1443" t="s">
        <v>408</v>
      </c>
      <c r="D1443">
        <v>16461</v>
      </c>
      <c r="E1443" t="s">
        <v>707</v>
      </c>
      <c r="F1443">
        <v>12.262</v>
      </c>
      <c r="G1443">
        <v>2006</v>
      </c>
      <c r="L1443" t="s">
        <v>761</v>
      </c>
      <c r="AJ1443">
        <v>6134</v>
      </c>
    </row>
    <row r="1444" spans="1:52" hidden="1" x14ac:dyDescent="0.25">
      <c r="A1444" t="s">
        <v>27</v>
      </c>
      <c r="B1444" t="s">
        <v>78</v>
      </c>
      <c r="C1444" t="s">
        <v>409</v>
      </c>
      <c r="D1444">
        <v>16462</v>
      </c>
      <c r="E1444" t="s">
        <v>707</v>
      </c>
      <c r="F1444">
        <v>149.554</v>
      </c>
      <c r="G1444">
        <v>2006</v>
      </c>
      <c r="J1444">
        <f>22000+94675</f>
        <v>116675</v>
      </c>
      <c r="L1444" t="s">
        <v>761</v>
      </c>
      <c r="Q1444" t="s">
        <v>761</v>
      </c>
    </row>
    <row r="1445" spans="1:52" hidden="1" x14ac:dyDescent="0.25">
      <c r="A1445" t="s">
        <v>27</v>
      </c>
      <c r="B1445" t="s">
        <v>78</v>
      </c>
      <c r="C1445" t="s">
        <v>410</v>
      </c>
      <c r="D1445">
        <v>21518</v>
      </c>
      <c r="E1445" t="s">
        <v>707</v>
      </c>
      <c r="F1445">
        <v>216.21199999999999</v>
      </c>
      <c r="G1445">
        <v>2006</v>
      </c>
      <c r="J1445">
        <f>19300+129125</f>
        <v>148425</v>
      </c>
      <c r="L1445" t="s">
        <v>761</v>
      </c>
      <c r="Q1445" t="s">
        <v>761</v>
      </c>
      <c r="X1445" t="s">
        <v>761</v>
      </c>
      <c r="Z1445" t="s">
        <v>761</v>
      </c>
      <c r="AN1445" t="s">
        <v>761</v>
      </c>
      <c r="AR1445" t="s">
        <v>761</v>
      </c>
    </row>
    <row r="1446" spans="1:52" hidden="1" x14ac:dyDescent="0.25">
      <c r="A1446" t="s">
        <v>27</v>
      </c>
      <c r="B1446" t="s">
        <v>78</v>
      </c>
      <c r="C1446" t="s">
        <v>406</v>
      </c>
      <c r="D1446">
        <v>5536</v>
      </c>
      <c r="E1446" t="s">
        <v>708</v>
      </c>
      <c r="F1446">
        <v>691.88</v>
      </c>
      <c r="G1446">
        <v>2007</v>
      </c>
      <c r="J1446">
        <f>22500+154500</f>
        <v>177000</v>
      </c>
      <c r="L1446" t="s">
        <v>762</v>
      </c>
      <c r="Q1446">
        <v>67941</v>
      </c>
      <c r="X1446" t="s">
        <v>762</v>
      </c>
      <c r="AJ1446">
        <v>281244</v>
      </c>
      <c r="AN1446" t="s">
        <v>762</v>
      </c>
      <c r="AR1446" t="s">
        <v>762</v>
      </c>
    </row>
    <row r="1447" spans="1:52" hidden="1" x14ac:dyDescent="0.25">
      <c r="A1447" t="s">
        <v>27</v>
      </c>
      <c r="B1447" t="s">
        <v>78</v>
      </c>
      <c r="C1447" t="s">
        <v>407</v>
      </c>
      <c r="D1447">
        <v>14691</v>
      </c>
      <c r="E1447" t="s">
        <v>707</v>
      </c>
      <c r="F1447">
        <v>35.055999999999997</v>
      </c>
      <c r="G1447">
        <v>2007</v>
      </c>
      <c r="L1447" t="s">
        <v>762</v>
      </c>
      <c r="Q1447" t="s">
        <v>762</v>
      </c>
      <c r="AJ1447">
        <v>9511</v>
      </c>
    </row>
    <row r="1448" spans="1:52" hidden="1" x14ac:dyDescent="0.25">
      <c r="A1448" t="s">
        <v>27</v>
      </c>
      <c r="B1448" t="s">
        <v>78</v>
      </c>
      <c r="C1448" t="s">
        <v>408</v>
      </c>
      <c r="D1448">
        <v>16461</v>
      </c>
      <c r="E1448" t="s">
        <v>707</v>
      </c>
      <c r="F1448">
        <v>48.683</v>
      </c>
      <c r="G1448">
        <v>2007</v>
      </c>
      <c r="L1448" t="s">
        <v>762</v>
      </c>
      <c r="Q1448" t="s">
        <v>762</v>
      </c>
      <c r="AJ1448">
        <v>15597</v>
      </c>
    </row>
    <row r="1449" spans="1:52" hidden="1" x14ac:dyDescent="0.25">
      <c r="A1449" t="s">
        <v>27</v>
      </c>
      <c r="B1449" t="s">
        <v>78</v>
      </c>
      <c r="C1449" t="s">
        <v>409</v>
      </c>
      <c r="D1449">
        <v>16462</v>
      </c>
      <c r="E1449" t="s">
        <v>707</v>
      </c>
      <c r="F1449">
        <v>155.50399999999999</v>
      </c>
      <c r="G1449">
        <v>2007</v>
      </c>
      <c r="J1449">
        <f>22500+56100</f>
        <v>78600</v>
      </c>
      <c r="L1449" t="s">
        <v>762</v>
      </c>
      <c r="Q1449" t="s">
        <v>762</v>
      </c>
      <c r="AJ1449">
        <v>13796</v>
      </c>
    </row>
    <row r="1450" spans="1:52" hidden="1" x14ac:dyDescent="0.25">
      <c r="A1450" t="s">
        <v>27</v>
      </c>
      <c r="B1450" t="s">
        <v>78</v>
      </c>
      <c r="C1450" t="s">
        <v>410</v>
      </c>
      <c r="D1450">
        <v>21518</v>
      </c>
      <c r="E1450" t="s">
        <v>707</v>
      </c>
      <c r="F1450">
        <v>267.096</v>
      </c>
      <c r="G1450">
        <v>2007</v>
      </c>
      <c r="J1450">
        <f>20000+56500</f>
        <v>76500</v>
      </c>
      <c r="L1450" t="s">
        <v>762</v>
      </c>
      <c r="Q1450">
        <v>42000</v>
      </c>
      <c r="X1450" t="s">
        <v>762</v>
      </c>
      <c r="AJ1450">
        <v>55082</v>
      </c>
      <c r="AN1450" t="s">
        <v>762</v>
      </c>
      <c r="AR1450" t="s">
        <v>762</v>
      </c>
    </row>
    <row r="1451" spans="1:52" hidden="1" x14ac:dyDescent="0.25">
      <c r="A1451" t="s">
        <v>27</v>
      </c>
      <c r="B1451" t="s">
        <v>78</v>
      </c>
      <c r="C1451" t="s">
        <v>406</v>
      </c>
      <c r="D1451">
        <v>5536</v>
      </c>
      <c r="E1451" t="s">
        <v>708</v>
      </c>
      <c r="F1451">
        <v>686.04700000000003</v>
      </c>
      <c r="G1451">
        <v>2008</v>
      </c>
      <c r="J1451">
        <f>13167+184833</f>
        <v>198000</v>
      </c>
      <c r="L1451" t="s">
        <v>762</v>
      </c>
      <c r="Q1451">
        <v>80491</v>
      </c>
      <c r="X1451" t="s">
        <v>762</v>
      </c>
      <c r="AJ1451">
        <v>306859</v>
      </c>
      <c r="AR1451" t="s">
        <v>762</v>
      </c>
    </row>
    <row r="1452" spans="1:52" hidden="1" x14ac:dyDescent="0.25">
      <c r="A1452" t="s">
        <v>27</v>
      </c>
      <c r="B1452" t="s">
        <v>78</v>
      </c>
      <c r="C1452" t="s">
        <v>408</v>
      </c>
      <c r="D1452">
        <v>16461</v>
      </c>
      <c r="E1452" t="s">
        <v>707</v>
      </c>
      <c r="F1452">
        <v>78.754000000000005</v>
      </c>
      <c r="G1452">
        <v>2008</v>
      </c>
      <c r="L1452" t="s">
        <v>762</v>
      </c>
      <c r="Q1452" t="s">
        <v>762</v>
      </c>
      <c r="X1452" t="s">
        <v>762</v>
      </c>
      <c r="Z1452" t="s">
        <v>762</v>
      </c>
      <c r="AJ1452">
        <v>2130</v>
      </c>
    </row>
    <row r="1453" spans="1:52" hidden="1" x14ac:dyDescent="0.25">
      <c r="A1453" t="s">
        <v>27</v>
      </c>
      <c r="B1453" t="s">
        <v>78</v>
      </c>
      <c r="C1453" t="s">
        <v>409</v>
      </c>
      <c r="D1453">
        <v>16462</v>
      </c>
      <c r="E1453" t="s">
        <v>707</v>
      </c>
      <c r="F1453">
        <v>136.46100000000001</v>
      </c>
      <c r="G1453">
        <v>2008</v>
      </c>
      <c r="J1453">
        <f>13800+74175</f>
        <v>87975</v>
      </c>
      <c r="L1453" t="s">
        <v>762</v>
      </c>
      <c r="Q1453" t="s">
        <v>762</v>
      </c>
      <c r="AJ1453">
        <v>15538</v>
      </c>
      <c r="AY1453" t="s">
        <v>762</v>
      </c>
    </row>
    <row r="1454" spans="1:52" hidden="1" x14ac:dyDescent="0.25">
      <c r="A1454" t="s">
        <v>27</v>
      </c>
      <c r="B1454" t="s">
        <v>78</v>
      </c>
      <c r="C1454" t="s">
        <v>410</v>
      </c>
      <c r="D1454">
        <v>21518</v>
      </c>
      <c r="E1454" t="s">
        <v>707</v>
      </c>
      <c r="F1454">
        <v>249.53800000000001</v>
      </c>
      <c r="G1454">
        <v>2008</v>
      </c>
      <c r="J1454">
        <f>9500+81100</f>
        <v>90600</v>
      </c>
      <c r="L1454" t="s">
        <v>762</v>
      </c>
      <c r="Q1454">
        <v>40000</v>
      </c>
      <c r="Z1454" t="s">
        <v>762</v>
      </c>
      <c r="AJ1454">
        <v>67000</v>
      </c>
      <c r="AN1454" t="s">
        <v>762</v>
      </c>
      <c r="AR1454" t="s">
        <v>762</v>
      </c>
    </row>
    <row r="1455" spans="1:52" hidden="1" x14ac:dyDescent="0.25">
      <c r="A1455" t="s">
        <v>27</v>
      </c>
      <c r="B1455" t="s">
        <v>78</v>
      </c>
      <c r="C1455" t="s">
        <v>411</v>
      </c>
      <c r="D1455">
        <v>37373</v>
      </c>
      <c r="E1455" t="s">
        <v>707</v>
      </c>
      <c r="F1455">
        <v>96.302999999999997</v>
      </c>
      <c r="G1455">
        <v>2008</v>
      </c>
      <c r="J1455">
        <f>13800+67050</f>
        <v>80850</v>
      </c>
      <c r="L1455" t="s">
        <v>762</v>
      </c>
      <c r="AJ1455">
        <v>13376</v>
      </c>
    </row>
    <row r="1456" spans="1:52" hidden="1" x14ac:dyDescent="0.25">
      <c r="A1456" t="s">
        <v>27</v>
      </c>
      <c r="B1456" t="s">
        <v>78</v>
      </c>
      <c r="C1456" t="s">
        <v>406</v>
      </c>
      <c r="D1456">
        <v>5536</v>
      </c>
      <c r="E1456" t="s">
        <v>708</v>
      </c>
      <c r="F1456">
        <v>340.78</v>
      </c>
      <c r="G1456">
        <v>2009</v>
      </c>
      <c r="J1456">
        <f>12500+12654</f>
        <v>25154</v>
      </c>
      <c r="L1456" t="s">
        <v>762</v>
      </c>
      <c r="Q1456">
        <v>74996</v>
      </c>
      <c r="X1456">
        <v>8850</v>
      </c>
      <c r="AJ1456">
        <v>147154</v>
      </c>
    </row>
    <row r="1457" spans="1:51" hidden="1" x14ac:dyDescent="0.25">
      <c r="A1457" t="s">
        <v>27</v>
      </c>
      <c r="B1457" t="s">
        <v>78</v>
      </c>
      <c r="C1457" t="s">
        <v>408</v>
      </c>
      <c r="D1457">
        <v>16461</v>
      </c>
      <c r="E1457" t="s">
        <v>707</v>
      </c>
      <c r="F1457">
        <v>41.4</v>
      </c>
      <c r="G1457">
        <v>2009</v>
      </c>
    </row>
    <row r="1458" spans="1:51" hidden="1" x14ac:dyDescent="0.25">
      <c r="A1458" t="s">
        <v>27</v>
      </c>
      <c r="B1458" t="s">
        <v>78</v>
      </c>
      <c r="C1458" t="s">
        <v>409</v>
      </c>
      <c r="D1458">
        <v>16462</v>
      </c>
      <c r="E1458" t="s">
        <v>707</v>
      </c>
      <c r="F1458">
        <v>63.728000000000002</v>
      </c>
      <c r="G1458">
        <v>2009</v>
      </c>
      <c r="J1458">
        <f>14700+16152</f>
        <v>30852</v>
      </c>
      <c r="L1458" t="s">
        <v>762</v>
      </c>
      <c r="Q1458" t="s">
        <v>762</v>
      </c>
      <c r="AJ1458">
        <v>5860</v>
      </c>
    </row>
    <row r="1459" spans="1:51" hidden="1" x14ac:dyDescent="0.25">
      <c r="A1459" t="s">
        <v>27</v>
      </c>
      <c r="B1459" t="s">
        <v>78</v>
      </c>
      <c r="C1459" t="s">
        <v>410</v>
      </c>
      <c r="D1459">
        <v>21518</v>
      </c>
      <c r="E1459" t="s">
        <v>707</v>
      </c>
      <c r="F1459">
        <v>178.27500000000001</v>
      </c>
      <c r="G1459">
        <v>2009</v>
      </c>
      <c r="J1459">
        <f>12000+21288</f>
        <v>33288</v>
      </c>
      <c r="L1459" t="s">
        <v>762</v>
      </c>
      <c r="Q1459">
        <v>40008</v>
      </c>
      <c r="X1459">
        <v>9024</v>
      </c>
      <c r="AJ1459">
        <v>32067</v>
      </c>
    </row>
    <row r="1460" spans="1:51" hidden="1" x14ac:dyDescent="0.25">
      <c r="A1460" t="s">
        <v>27</v>
      </c>
      <c r="B1460" t="s">
        <v>78</v>
      </c>
      <c r="C1460" t="s">
        <v>411</v>
      </c>
      <c r="D1460">
        <v>37373</v>
      </c>
      <c r="E1460" t="s">
        <v>707</v>
      </c>
      <c r="F1460">
        <v>67.334000000000003</v>
      </c>
      <c r="G1460">
        <v>2009</v>
      </c>
      <c r="J1460">
        <f>14700+20914</f>
        <v>35614</v>
      </c>
      <c r="L1460" t="s">
        <v>762</v>
      </c>
      <c r="AJ1460">
        <v>30305</v>
      </c>
    </row>
    <row r="1461" spans="1:51" hidden="1" x14ac:dyDescent="0.25">
      <c r="A1461" t="s">
        <v>27</v>
      </c>
      <c r="B1461" t="s">
        <v>78</v>
      </c>
      <c r="C1461" t="s">
        <v>412</v>
      </c>
      <c r="D1461">
        <v>39363</v>
      </c>
      <c r="E1461" t="s">
        <v>707</v>
      </c>
      <c r="F1461">
        <v>110.58199999999999</v>
      </c>
      <c r="G1461">
        <v>2009</v>
      </c>
      <c r="J1461">
        <f>8339</f>
        <v>8339</v>
      </c>
      <c r="Q1461" t="s">
        <v>762</v>
      </c>
      <c r="AJ1461">
        <v>11833</v>
      </c>
      <c r="AY1461" t="s">
        <v>762</v>
      </c>
    </row>
    <row r="1462" spans="1:51" hidden="1" x14ac:dyDescent="0.25">
      <c r="A1462" t="s">
        <v>27</v>
      </c>
      <c r="B1462" t="s">
        <v>78</v>
      </c>
      <c r="C1462" t="s">
        <v>406</v>
      </c>
      <c r="D1462">
        <v>5536</v>
      </c>
      <c r="E1462" t="s">
        <v>708</v>
      </c>
      <c r="F1462">
        <v>473.08300000000003</v>
      </c>
      <c r="G1462">
        <v>2010</v>
      </c>
      <c r="J1462" t="s">
        <v>762</v>
      </c>
      <c r="L1462" t="s">
        <v>762</v>
      </c>
      <c r="Q1462">
        <f>8333+59952</f>
        <v>68285</v>
      </c>
      <c r="X1462" t="s">
        <v>762</v>
      </c>
      <c r="AJ1462">
        <v>60307</v>
      </c>
      <c r="AN1462" t="s">
        <v>762</v>
      </c>
      <c r="AR1462">
        <v>51525</v>
      </c>
      <c r="AY1462">
        <v>250000</v>
      </c>
    </row>
    <row r="1463" spans="1:51" hidden="1" x14ac:dyDescent="0.25">
      <c r="A1463" t="s">
        <v>27</v>
      </c>
      <c r="B1463" t="s">
        <v>78</v>
      </c>
      <c r="C1463" t="s">
        <v>408</v>
      </c>
      <c r="D1463">
        <v>16461</v>
      </c>
      <c r="E1463" t="s">
        <v>707</v>
      </c>
      <c r="F1463">
        <v>56.728000000000002</v>
      </c>
      <c r="G1463">
        <v>2010</v>
      </c>
      <c r="L1463" t="s">
        <v>762</v>
      </c>
      <c r="Q1463">
        <f>23187+5874</f>
        <v>29061</v>
      </c>
      <c r="AJ1463" t="s">
        <v>762</v>
      </c>
      <c r="AY1463">
        <v>22985</v>
      </c>
    </row>
    <row r="1464" spans="1:51" hidden="1" x14ac:dyDescent="0.25">
      <c r="A1464" t="s">
        <v>27</v>
      </c>
      <c r="B1464" t="s">
        <v>78</v>
      </c>
      <c r="C1464" t="s">
        <v>409</v>
      </c>
      <c r="D1464">
        <v>16462</v>
      </c>
      <c r="E1464" t="s">
        <v>707</v>
      </c>
      <c r="F1464">
        <v>52.847999999999999</v>
      </c>
      <c r="G1464">
        <v>2010</v>
      </c>
      <c r="H1464">
        <v>1</v>
      </c>
    </row>
    <row r="1465" spans="1:51" hidden="1" x14ac:dyDescent="0.25">
      <c r="A1465" t="s">
        <v>27</v>
      </c>
      <c r="B1465" t="s">
        <v>78</v>
      </c>
      <c r="C1465" t="s">
        <v>410</v>
      </c>
      <c r="D1465">
        <v>21518</v>
      </c>
      <c r="E1465" t="s">
        <v>707</v>
      </c>
      <c r="F1465">
        <v>132.57300000000001</v>
      </c>
      <c r="G1465">
        <v>2010</v>
      </c>
      <c r="J1465" t="s">
        <v>762</v>
      </c>
      <c r="L1465" t="s">
        <v>762</v>
      </c>
      <c r="Q1465">
        <v>75000</v>
      </c>
      <c r="X1465">
        <v>29329</v>
      </c>
      <c r="AJ1465" t="s">
        <v>762</v>
      </c>
      <c r="AN1465" t="s">
        <v>762</v>
      </c>
    </row>
    <row r="1466" spans="1:51" hidden="1" x14ac:dyDescent="0.25">
      <c r="A1466" t="s">
        <v>27</v>
      </c>
      <c r="B1466" t="s">
        <v>78</v>
      </c>
      <c r="C1466" t="s">
        <v>411</v>
      </c>
      <c r="D1466">
        <v>37373</v>
      </c>
      <c r="E1466" t="s">
        <v>707</v>
      </c>
      <c r="F1466">
        <v>49.363999999999997</v>
      </c>
      <c r="G1466">
        <v>2010</v>
      </c>
      <c r="J1466" t="s">
        <v>762</v>
      </c>
      <c r="L1466" t="s">
        <v>762</v>
      </c>
      <c r="AJ1466" t="s">
        <v>762</v>
      </c>
      <c r="AN1466" t="s">
        <v>762</v>
      </c>
    </row>
    <row r="1467" spans="1:51" hidden="1" x14ac:dyDescent="0.25">
      <c r="A1467" t="s">
        <v>27</v>
      </c>
      <c r="B1467" t="s">
        <v>78</v>
      </c>
      <c r="C1467" t="s">
        <v>412</v>
      </c>
      <c r="D1467">
        <v>39363</v>
      </c>
      <c r="E1467" t="s">
        <v>707</v>
      </c>
      <c r="F1467">
        <v>121.64</v>
      </c>
      <c r="G1467">
        <v>2010</v>
      </c>
      <c r="J1467">
        <v>62744</v>
      </c>
      <c r="Q1467">
        <v>29602</v>
      </c>
      <c r="AJ1467" t="s">
        <v>762</v>
      </c>
      <c r="AY1467">
        <v>23663</v>
      </c>
    </row>
    <row r="1468" spans="1:51" hidden="1" x14ac:dyDescent="0.25">
      <c r="A1468" t="s">
        <v>27</v>
      </c>
      <c r="B1468" t="s">
        <v>78</v>
      </c>
      <c r="C1468" t="s">
        <v>406</v>
      </c>
      <c r="D1468">
        <v>5536</v>
      </c>
      <c r="E1468" t="s">
        <v>708</v>
      </c>
      <c r="F1468">
        <v>230.05600000000001</v>
      </c>
      <c r="G1468">
        <v>2011</v>
      </c>
      <c r="J1468">
        <f>17150+111017</f>
        <v>128167</v>
      </c>
      <c r="L1468" t="s">
        <v>762</v>
      </c>
      <c r="Q1468">
        <v>25000</v>
      </c>
      <c r="X1468" t="s">
        <v>762</v>
      </c>
      <c r="AJ1468">
        <v>34494</v>
      </c>
      <c r="AN1468" t="s">
        <v>762</v>
      </c>
    </row>
    <row r="1469" spans="1:51" hidden="1" x14ac:dyDescent="0.25">
      <c r="A1469" t="s">
        <v>27</v>
      </c>
      <c r="B1469" t="s">
        <v>78</v>
      </c>
      <c r="C1469" t="s">
        <v>409</v>
      </c>
      <c r="D1469">
        <v>16462</v>
      </c>
      <c r="E1469" t="s">
        <v>707</v>
      </c>
      <c r="F1469">
        <v>95.135000000000005</v>
      </c>
      <c r="G1469">
        <v>2011</v>
      </c>
      <c r="J1469">
        <f>17150+45043</f>
        <v>62193</v>
      </c>
      <c r="L1469" t="s">
        <v>762</v>
      </c>
      <c r="Q1469" t="s">
        <v>762</v>
      </c>
      <c r="AJ1469" t="s">
        <v>762</v>
      </c>
    </row>
    <row r="1470" spans="1:51" hidden="1" x14ac:dyDescent="0.25">
      <c r="A1470" t="s">
        <v>27</v>
      </c>
      <c r="B1470" t="s">
        <v>78</v>
      </c>
      <c r="C1470" t="s">
        <v>410</v>
      </c>
      <c r="D1470">
        <v>21518</v>
      </c>
      <c r="E1470" t="s">
        <v>707</v>
      </c>
      <c r="F1470">
        <v>171.30699999999999</v>
      </c>
      <c r="G1470">
        <v>2011</v>
      </c>
      <c r="J1470">
        <f>15800+136750</f>
        <v>152550</v>
      </c>
      <c r="L1470" t="s">
        <v>762</v>
      </c>
      <c r="Q1470">
        <v>75000</v>
      </c>
      <c r="X1470" t="s">
        <v>762</v>
      </c>
      <c r="AJ1470" t="s">
        <v>762</v>
      </c>
      <c r="AN1470" t="s">
        <v>762</v>
      </c>
    </row>
    <row r="1471" spans="1:51" hidden="1" x14ac:dyDescent="0.25">
      <c r="A1471" t="s">
        <v>27</v>
      </c>
      <c r="B1471" t="s">
        <v>78</v>
      </c>
      <c r="C1471" t="s">
        <v>411</v>
      </c>
      <c r="D1471">
        <v>37373</v>
      </c>
      <c r="E1471" t="s">
        <v>707</v>
      </c>
      <c r="F1471">
        <v>112.705</v>
      </c>
      <c r="G1471">
        <v>2011</v>
      </c>
      <c r="J1471">
        <f>17150+71983</f>
        <v>89133</v>
      </c>
      <c r="L1471" t="s">
        <v>762</v>
      </c>
      <c r="AJ1471">
        <v>11382</v>
      </c>
      <c r="AN1471" t="s">
        <v>762</v>
      </c>
    </row>
    <row r="1472" spans="1:51" hidden="1" x14ac:dyDescent="0.25">
      <c r="A1472" t="s">
        <v>27</v>
      </c>
      <c r="B1472" t="s">
        <v>78</v>
      </c>
      <c r="C1472" t="s">
        <v>412</v>
      </c>
      <c r="D1472">
        <v>39363</v>
      </c>
      <c r="E1472" t="s">
        <v>707</v>
      </c>
      <c r="F1472">
        <v>113.794</v>
      </c>
      <c r="G1472">
        <v>2011</v>
      </c>
      <c r="J1472">
        <f>64230+17495</f>
        <v>81725</v>
      </c>
      <c r="Q1472">
        <v>29545</v>
      </c>
      <c r="AJ1472" t="s">
        <v>762</v>
      </c>
    </row>
    <row r="1473" spans="1:51" hidden="1" x14ac:dyDescent="0.25">
      <c r="A1473" t="s">
        <v>27</v>
      </c>
      <c r="B1473" t="s">
        <v>78</v>
      </c>
      <c r="C1473" t="s">
        <v>406</v>
      </c>
      <c r="D1473">
        <v>5536</v>
      </c>
      <c r="E1473" t="s">
        <v>708</v>
      </c>
      <c r="F1473">
        <v>282.959</v>
      </c>
      <c r="G1473">
        <v>2012</v>
      </c>
      <c r="J1473" t="s">
        <v>762</v>
      </c>
      <c r="L1473" t="s">
        <v>762</v>
      </c>
      <c r="Q1473">
        <v>25000</v>
      </c>
      <c r="X1473" t="s">
        <v>762</v>
      </c>
      <c r="AJ1473">
        <v>36992</v>
      </c>
      <c r="AN1473" t="s">
        <v>762</v>
      </c>
    </row>
    <row r="1474" spans="1:51" hidden="1" x14ac:dyDescent="0.25">
      <c r="A1474" t="s">
        <v>27</v>
      </c>
      <c r="B1474" t="s">
        <v>78</v>
      </c>
      <c r="C1474" t="s">
        <v>409</v>
      </c>
      <c r="D1474">
        <v>16462</v>
      </c>
      <c r="E1474" t="s">
        <v>707</v>
      </c>
      <c r="F1474">
        <v>100.943</v>
      </c>
      <c r="G1474">
        <v>2012</v>
      </c>
      <c r="J1474" t="s">
        <v>762</v>
      </c>
      <c r="L1474" t="s">
        <v>762</v>
      </c>
      <c r="Q1474" t="s">
        <v>762</v>
      </c>
      <c r="AJ1474" t="s">
        <v>762</v>
      </c>
      <c r="AY1474" t="s">
        <v>762</v>
      </c>
    </row>
    <row r="1475" spans="1:51" hidden="1" x14ac:dyDescent="0.25">
      <c r="A1475" t="s">
        <v>27</v>
      </c>
      <c r="B1475" t="s">
        <v>78</v>
      </c>
      <c r="C1475" t="s">
        <v>410</v>
      </c>
      <c r="D1475">
        <v>21518</v>
      </c>
      <c r="E1475" t="s">
        <v>707</v>
      </c>
      <c r="F1475">
        <v>213.202</v>
      </c>
      <c r="G1475">
        <v>2012</v>
      </c>
      <c r="J1475" t="s">
        <v>762</v>
      </c>
      <c r="L1475" t="s">
        <v>762</v>
      </c>
      <c r="Q1475">
        <v>75000</v>
      </c>
      <c r="X1475" t="s">
        <v>762</v>
      </c>
      <c r="AJ1475" t="s">
        <v>762</v>
      </c>
      <c r="AN1475" t="s">
        <v>762</v>
      </c>
      <c r="AY1475" t="s">
        <v>762</v>
      </c>
    </row>
    <row r="1476" spans="1:51" hidden="1" x14ac:dyDescent="0.25">
      <c r="A1476" t="s">
        <v>27</v>
      </c>
      <c r="B1476" t="s">
        <v>78</v>
      </c>
      <c r="C1476" t="s">
        <v>411</v>
      </c>
      <c r="D1476">
        <v>37373</v>
      </c>
      <c r="E1476" t="s">
        <v>707</v>
      </c>
      <c r="F1476">
        <v>151.41300000000001</v>
      </c>
      <c r="G1476">
        <v>2012</v>
      </c>
      <c r="J1476" t="s">
        <v>762</v>
      </c>
      <c r="L1476" t="s">
        <v>762</v>
      </c>
      <c r="AJ1476" t="s">
        <v>762</v>
      </c>
      <c r="AN1476" t="s">
        <v>762</v>
      </c>
      <c r="AY1476" t="s">
        <v>762</v>
      </c>
    </row>
    <row r="1477" spans="1:51" hidden="1" x14ac:dyDescent="0.25">
      <c r="A1477" t="s">
        <v>27</v>
      </c>
      <c r="B1477" t="s">
        <v>78</v>
      </c>
      <c r="C1477" t="s">
        <v>412</v>
      </c>
      <c r="D1477">
        <v>39363</v>
      </c>
      <c r="E1477" t="s">
        <v>707</v>
      </c>
      <c r="F1477">
        <v>127.935</v>
      </c>
      <c r="G1477">
        <v>2012</v>
      </c>
      <c r="J1477" t="s">
        <v>762</v>
      </c>
      <c r="Q1477">
        <v>29650</v>
      </c>
      <c r="AJ1477" t="s">
        <v>762</v>
      </c>
    </row>
    <row r="1478" spans="1:51" hidden="1" x14ac:dyDescent="0.25">
      <c r="A1478" t="s">
        <v>27</v>
      </c>
      <c r="B1478" t="s">
        <v>78</v>
      </c>
      <c r="C1478" t="s">
        <v>406</v>
      </c>
      <c r="D1478">
        <v>5536</v>
      </c>
      <c r="E1478" t="s">
        <v>708</v>
      </c>
      <c r="F1478">
        <v>176.53800000000001</v>
      </c>
      <c r="G1478">
        <v>2013</v>
      </c>
      <c r="H1478">
        <v>1</v>
      </c>
    </row>
    <row r="1479" spans="1:51" hidden="1" x14ac:dyDescent="0.25">
      <c r="A1479" t="s">
        <v>27</v>
      </c>
      <c r="B1479" t="s">
        <v>78</v>
      </c>
      <c r="C1479" t="s">
        <v>409</v>
      </c>
      <c r="D1479">
        <v>16462</v>
      </c>
      <c r="E1479" t="s">
        <v>707</v>
      </c>
      <c r="F1479">
        <v>84.501999999999995</v>
      </c>
      <c r="G1479">
        <v>2013</v>
      </c>
      <c r="H1479">
        <v>1</v>
      </c>
    </row>
    <row r="1480" spans="1:51" hidden="1" x14ac:dyDescent="0.25">
      <c r="A1480" t="s">
        <v>27</v>
      </c>
      <c r="B1480" t="s">
        <v>78</v>
      </c>
      <c r="C1480" t="s">
        <v>410</v>
      </c>
      <c r="D1480">
        <v>21518</v>
      </c>
      <c r="E1480" t="s">
        <v>707</v>
      </c>
      <c r="F1480">
        <v>186.86500000000001</v>
      </c>
      <c r="G1480">
        <v>2013</v>
      </c>
      <c r="H1480">
        <v>1</v>
      </c>
    </row>
    <row r="1481" spans="1:51" hidden="1" x14ac:dyDescent="0.25">
      <c r="A1481" t="s">
        <v>27</v>
      </c>
      <c r="B1481" t="s">
        <v>78</v>
      </c>
      <c r="C1481" t="s">
        <v>411</v>
      </c>
      <c r="D1481">
        <v>37373</v>
      </c>
      <c r="E1481" t="s">
        <v>707</v>
      </c>
      <c r="F1481">
        <v>93.748999999999995</v>
      </c>
      <c r="G1481">
        <v>2013</v>
      </c>
      <c r="H1481">
        <v>1</v>
      </c>
    </row>
    <row r="1482" spans="1:51" hidden="1" x14ac:dyDescent="0.25">
      <c r="A1482" t="s">
        <v>27</v>
      </c>
      <c r="B1482" t="s">
        <v>78</v>
      </c>
      <c r="C1482" t="s">
        <v>412</v>
      </c>
      <c r="D1482">
        <v>39363</v>
      </c>
      <c r="E1482" t="s">
        <v>707</v>
      </c>
      <c r="F1482">
        <v>110.39700000000001</v>
      </c>
      <c r="G1482">
        <v>2013</v>
      </c>
      <c r="H1482">
        <v>1</v>
      </c>
    </row>
    <row r="1483" spans="1:51" hidden="1" x14ac:dyDescent="0.25">
      <c r="A1483" t="s">
        <v>27</v>
      </c>
      <c r="B1483" t="s">
        <v>78</v>
      </c>
      <c r="C1483" t="s">
        <v>413</v>
      </c>
      <c r="D1483">
        <v>48874</v>
      </c>
      <c r="E1483" t="s">
        <v>707</v>
      </c>
      <c r="F1483">
        <v>34.631</v>
      </c>
      <c r="G1483">
        <v>2013</v>
      </c>
      <c r="H1483">
        <v>1</v>
      </c>
    </row>
    <row r="1484" spans="1:51" hidden="1" x14ac:dyDescent="0.25">
      <c r="A1484" t="s">
        <v>27</v>
      </c>
      <c r="B1484" t="s">
        <v>78</v>
      </c>
      <c r="C1484" t="s">
        <v>406</v>
      </c>
      <c r="D1484">
        <v>5536</v>
      </c>
      <c r="E1484" t="s">
        <v>708</v>
      </c>
      <c r="F1484">
        <v>178.71700000000001</v>
      </c>
      <c r="G1484">
        <v>2014</v>
      </c>
      <c r="J1484">
        <f>12900+96920</f>
        <v>109820</v>
      </c>
      <c r="L1484" t="s">
        <v>763</v>
      </c>
      <c r="Q1484">
        <v>25000</v>
      </c>
      <c r="X1484" t="s">
        <v>763</v>
      </c>
      <c r="AJ1484">
        <v>419688</v>
      </c>
      <c r="AN1484" t="s">
        <v>763</v>
      </c>
    </row>
    <row r="1485" spans="1:51" hidden="1" x14ac:dyDescent="0.25">
      <c r="A1485" t="s">
        <v>27</v>
      </c>
      <c r="B1485" t="s">
        <v>78</v>
      </c>
      <c r="C1485" t="s">
        <v>411</v>
      </c>
      <c r="D1485">
        <v>37373</v>
      </c>
      <c r="E1485" t="s">
        <v>707</v>
      </c>
      <c r="F1485">
        <v>93.98</v>
      </c>
      <c r="G1485">
        <v>2014</v>
      </c>
      <c r="J1485">
        <f>68924</f>
        <v>68924</v>
      </c>
      <c r="Q1485">
        <v>29658</v>
      </c>
      <c r="AJ1485">
        <v>79209</v>
      </c>
    </row>
    <row r="1486" spans="1:51" hidden="1" x14ac:dyDescent="0.25">
      <c r="A1486" t="s">
        <v>27</v>
      </c>
      <c r="B1486" t="s">
        <v>78</v>
      </c>
      <c r="C1486" t="s">
        <v>412</v>
      </c>
      <c r="D1486">
        <v>39363</v>
      </c>
      <c r="E1486" t="s">
        <v>707</v>
      </c>
      <c r="F1486">
        <v>201.917</v>
      </c>
      <c r="G1486">
        <v>2014</v>
      </c>
      <c r="J1486">
        <f>12900+70091</f>
        <v>82991</v>
      </c>
      <c r="L1486" t="s">
        <v>763</v>
      </c>
      <c r="AJ1486">
        <v>131492</v>
      </c>
      <c r="AN1486" t="s">
        <v>763</v>
      </c>
      <c r="AY1486">
        <v>24127</v>
      </c>
    </row>
    <row r="1487" spans="1:51" hidden="1" x14ac:dyDescent="0.25">
      <c r="A1487" t="s">
        <v>27</v>
      </c>
      <c r="B1487" t="s">
        <v>78</v>
      </c>
      <c r="C1487" t="s">
        <v>413</v>
      </c>
      <c r="D1487">
        <v>48874</v>
      </c>
      <c r="E1487" t="s">
        <v>707</v>
      </c>
      <c r="F1487">
        <v>63.421999999999997</v>
      </c>
      <c r="G1487">
        <v>2014</v>
      </c>
      <c r="J1487">
        <f>7000+15750</f>
        <v>22750</v>
      </c>
      <c r="L1487" t="s">
        <v>763</v>
      </c>
      <c r="Q1487">
        <v>25000</v>
      </c>
      <c r="AJ1487">
        <v>45532</v>
      </c>
      <c r="AN1487" t="s">
        <v>763</v>
      </c>
    </row>
    <row r="1488" spans="1:51" hidden="1" x14ac:dyDescent="0.25">
      <c r="A1488" t="s">
        <v>27</v>
      </c>
      <c r="B1488" t="s">
        <v>78</v>
      </c>
      <c r="C1488" t="s">
        <v>414</v>
      </c>
      <c r="D1488">
        <v>50663</v>
      </c>
      <c r="E1488" t="s">
        <v>707</v>
      </c>
      <c r="F1488">
        <v>22.933</v>
      </c>
      <c r="G1488">
        <v>2014</v>
      </c>
      <c r="J1488">
        <f>7800+1825</f>
        <v>9625</v>
      </c>
      <c r="AJ1488" t="s">
        <v>763</v>
      </c>
      <c r="AN1488" t="s">
        <v>763</v>
      </c>
    </row>
    <row r="1489" spans="1:51" hidden="1" x14ac:dyDescent="0.25">
      <c r="A1489" t="s">
        <v>27</v>
      </c>
      <c r="B1489" t="s">
        <v>78</v>
      </c>
      <c r="C1489" t="s">
        <v>406</v>
      </c>
      <c r="D1489">
        <v>5536</v>
      </c>
      <c r="E1489" t="s">
        <v>707</v>
      </c>
      <c r="F1489">
        <v>4181.683</v>
      </c>
      <c r="G1489">
        <v>2015</v>
      </c>
      <c r="J1489">
        <f>13150+98780</f>
        <v>111930</v>
      </c>
      <c r="L1489" t="s">
        <v>763</v>
      </c>
      <c r="Q1489">
        <v>25000</v>
      </c>
      <c r="X1489">
        <v>20000</v>
      </c>
      <c r="AN1489">
        <v>15000</v>
      </c>
      <c r="AX1489">
        <v>4000000</v>
      </c>
    </row>
    <row r="1490" spans="1:51" hidden="1" x14ac:dyDescent="0.25">
      <c r="A1490" t="s">
        <v>27</v>
      </c>
      <c r="B1490" t="s">
        <v>78</v>
      </c>
      <c r="C1490" t="s">
        <v>411</v>
      </c>
      <c r="D1490">
        <v>37373</v>
      </c>
      <c r="E1490" t="s">
        <v>707</v>
      </c>
      <c r="F1490">
        <v>3208.85</v>
      </c>
      <c r="G1490">
        <v>2015</v>
      </c>
      <c r="J1490">
        <f>13150+72310</f>
        <v>85460</v>
      </c>
      <c r="L1490" t="s">
        <v>763</v>
      </c>
      <c r="AX1490">
        <v>3122583</v>
      </c>
    </row>
    <row r="1491" spans="1:51" hidden="1" x14ac:dyDescent="0.25">
      <c r="A1491" t="s">
        <v>27</v>
      </c>
      <c r="B1491" t="s">
        <v>78</v>
      </c>
      <c r="C1491" t="s">
        <v>413</v>
      </c>
      <c r="D1491">
        <v>48874</v>
      </c>
      <c r="E1491" t="s">
        <v>707</v>
      </c>
      <c r="F1491">
        <v>108.663</v>
      </c>
      <c r="G1491">
        <v>2015</v>
      </c>
      <c r="J1491" t="s">
        <v>763</v>
      </c>
      <c r="L1491" t="s">
        <v>763</v>
      </c>
      <c r="Q1491">
        <v>25000</v>
      </c>
      <c r="AN1491">
        <v>15000</v>
      </c>
    </row>
    <row r="1492" spans="1:51" hidden="1" x14ac:dyDescent="0.25">
      <c r="A1492" t="s">
        <v>27</v>
      </c>
      <c r="B1492" t="s">
        <v>78</v>
      </c>
      <c r="C1492" t="s">
        <v>414</v>
      </c>
      <c r="D1492">
        <v>50663</v>
      </c>
      <c r="E1492" t="s">
        <v>707</v>
      </c>
      <c r="F1492">
        <v>2677.0990000000002</v>
      </c>
      <c r="G1492">
        <v>2015</v>
      </c>
      <c r="J1492" t="s">
        <v>763</v>
      </c>
      <c r="L1492" t="s">
        <v>763</v>
      </c>
      <c r="AX1492">
        <v>2654167</v>
      </c>
    </row>
    <row r="1493" spans="1:51" hidden="1" x14ac:dyDescent="0.25">
      <c r="A1493" t="s">
        <v>27</v>
      </c>
      <c r="B1493" t="s">
        <v>78</v>
      </c>
      <c r="C1493" t="s">
        <v>415</v>
      </c>
      <c r="D1493">
        <v>52648</v>
      </c>
      <c r="E1493" t="s">
        <v>707</v>
      </c>
      <c r="F1493">
        <v>1.502</v>
      </c>
      <c r="G1493">
        <v>2015</v>
      </c>
      <c r="J1493" t="s">
        <v>763</v>
      </c>
      <c r="L1493" t="s">
        <v>763</v>
      </c>
    </row>
    <row r="1494" spans="1:51" hidden="1" x14ac:dyDescent="0.25">
      <c r="A1494" t="s">
        <v>27</v>
      </c>
      <c r="B1494" t="s">
        <v>78</v>
      </c>
      <c r="C1494" t="s">
        <v>416</v>
      </c>
      <c r="D1494">
        <v>52649</v>
      </c>
      <c r="E1494" t="s">
        <v>708</v>
      </c>
      <c r="F1494">
        <v>22.212</v>
      </c>
      <c r="G1494">
        <v>2015</v>
      </c>
      <c r="J1494">
        <v>21000</v>
      </c>
      <c r="L1494" t="s">
        <v>763</v>
      </c>
    </row>
    <row r="1495" spans="1:51" hidden="1" x14ac:dyDescent="0.25">
      <c r="A1495" t="s">
        <v>27</v>
      </c>
      <c r="B1495" t="s">
        <v>78</v>
      </c>
      <c r="C1495" t="s">
        <v>417</v>
      </c>
      <c r="D1495">
        <v>52650</v>
      </c>
      <c r="E1495" t="s">
        <v>707</v>
      </c>
      <c r="F1495">
        <v>60.929000000000002</v>
      </c>
      <c r="G1495">
        <v>2015</v>
      </c>
      <c r="J1495">
        <f>13150+15690</f>
        <v>28840</v>
      </c>
      <c r="L1495" t="s">
        <v>763</v>
      </c>
      <c r="AN1495">
        <v>10000</v>
      </c>
      <c r="AY1495">
        <v>19142</v>
      </c>
    </row>
    <row r="1496" spans="1:51" hidden="1" x14ac:dyDescent="0.25">
      <c r="A1496" t="s">
        <v>27</v>
      </c>
      <c r="B1496" t="s">
        <v>78</v>
      </c>
      <c r="C1496" t="s">
        <v>418</v>
      </c>
      <c r="D1496">
        <v>52651</v>
      </c>
      <c r="E1496" t="s">
        <v>707</v>
      </c>
      <c r="F1496">
        <v>7.1840000000000002</v>
      </c>
      <c r="G1496">
        <v>2015</v>
      </c>
      <c r="J1496" t="s">
        <v>763</v>
      </c>
      <c r="L1496" t="s">
        <v>763</v>
      </c>
    </row>
    <row r="1497" spans="1:51" hidden="1" x14ac:dyDescent="0.25">
      <c r="A1497" t="s">
        <v>27</v>
      </c>
      <c r="B1497" t="s">
        <v>78</v>
      </c>
      <c r="C1497" t="s">
        <v>415</v>
      </c>
      <c r="D1497">
        <v>52648</v>
      </c>
      <c r="E1497" t="s">
        <v>707</v>
      </c>
      <c r="F1497">
        <v>18.033000000000001</v>
      </c>
      <c r="G1497">
        <v>2016</v>
      </c>
      <c r="J1497">
        <f>8733+8500</f>
        <v>17233</v>
      </c>
      <c r="L1497" t="s">
        <v>763</v>
      </c>
    </row>
    <row r="1498" spans="1:51" hidden="1" x14ac:dyDescent="0.25">
      <c r="A1498" t="s">
        <v>27</v>
      </c>
      <c r="B1498" t="s">
        <v>78</v>
      </c>
      <c r="C1498" t="s">
        <v>416</v>
      </c>
      <c r="D1498">
        <v>52649</v>
      </c>
      <c r="E1498" t="s">
        <v>708</v>
      </c>
      <c r="F1498">
        <v>58.173999999999999</v>
      </c>
      <c r="G1498">
        <v>2016</v>
      </c>
      <c r="J1498">
        <f>13250+42750</f>
        <v>56000</v>
      </c>
      <c r="L1498" t="s">
        <v>763</v>
      </c>
      <c r="AN1498" t="s">
        <v>763</v>
      </c>
    </row>
    <row r="1499" spans="1:51" hidden="1" x14ac:dyDescent="0.25">
      <c r="A1499" t="s">
        <v>27</v>
      </c>
      <c r="B1499" t="s">
        <v>78</v>
      </c>
      <c r="C1499" t="s">
        <v>417</v>
      </c>
      <c r="D1499">
        <v>52650</v>
      </c>
      <c r="E1499" t="s">
        <v>707</v>
      </c>
      <c r="F1499">
        <v>45.865000000000002</v>
      </c>
      <c r="G1499">
        <v>2016</v>
      </c>
      <c r="J1499">
        <f>13250+42750</f>
        <v>56000</v>
      </c>
      <c r="L1499" t="s">
        <v>763</v>
      </c>
    </row>
    <row r="1500" spans="1:51" hidden="1" x14ac:dyDescent="0.25">
      <c r="A1500" t="s">
        <v>27</v>
      </c>
      <c r="B1500" t="s">
        <v>78</v>
      </c>
      <c r="C1500" t="s">
        <v>418</v>
      </c>
      <c r="D1500">
        <v>52651</v>
      </c>
      <c r="E1500" t="s">
        <v>707</v>
      </c>
      <c r="F1500">
        <v>33.281999999999996</v>
      </c>
      <c r="G1500">
        <v>2016</v>
      </c>
      <c r="J1500">
        <f>13250+18735</f>
        <v>31985</v>
      </c>
      <c r="L1500" t="s">
        <v>763</v>
      </c>
    </row>
    <row r="1501" spans="1:51" hidden="1" x14ac:dyDescent="0.25">
      <c r="A1501" t="s">
        <v>27</v>
      </c>
      <c r="B1501" t="s">
        <v>78</v>
      </c>
      <c r="C1501" t="s">
        <v>419</v>
      </c>
      <c r="D1501">
        <v>54750</v>
      </c>
      <c r="E1501" t="s">
        <v>707</v>
      </c>
      <c r="F1501">
        <v>76.875</v>
      </c>
      <c r="G1501">
        <v>2016</v>
      </c>
    </row>
    <row r="1502" spans="1:51" hidden="1" x14ac:dyDescent="0.25">
      <c r="A1502" t="s">
        <v>27</v>
      </c>
      <c r="B1502" t="s">
        <v>78</v>
      </c>
      <c r="C1502" t="s">
        <v>420</v>
      </c>
      <c r="D1502">
        <v>54751</v>
      </c>
      <c r="E1502" t="s">
        <v>707</v>
      </c>
      <c r="F1502">
        <v>13.004</v>
      </c>
      <c r="G1502">
        <v>2016</v>
      </c>
      <c r="J1502">
        <f>7950+3300</f>
        <v>11250</v>
      </c>
      <c r="L1502" t="s">
        <v>763</v>
      </c>
    </row>
    <row r="1503" spans="1:51" hidden="1" x14ac:dyDescent="0.25">
      <c r="A1503" t="s">
        <v>27</v>
      </c>
      <c r="B1503" t="s">
        <v>78</v>
      </c>
      <c r="C1503" t="s">
        <v>416</v>
      </c>
      <c r="D1503">
        <v>52649</v>
      </c>
      <c r="E1503" t="s">
        <v>708</v>
      </c>
      <c r="F1503">
        <v>122.83199999999999</v>
      </c>
      <c r="G1503">
        <v>2017</v>
      </c>
      <c r="J1503">
        <f>13400+107000</f>
        <v>120400</v>
      </c>
      <c r="L1503" t="s">
        <v>763</v>
      </c>
    </row>
    <row r="1504" spans="1:51" hidden="1" x14ac:dyDescent="0.25">
      <c r="A1504" t="s">
        <v>27</v>
      </c>
      <c r="B1504" t="s">
        <v>78</v>
      </c>
      <c r="C1504" t="s">
        <v>418</v>
      </c>
      <c r="D1504">
        <v>52651</v>
      </c>
      <c r="E1504" t="s">
        <v>707</v>
      </c>
      <c r="F1504">
        <v>60.213000000000001</v>
      </c>
      <c r="G1504">
        <v>2017</v>
      </c>
      <c r="J1504">
        <f>13400+45092</f>
        <v>58492</v>
      </c>
      <c r="L1504" t="s">
        <v>763</v>
      </c>
    </row>
    <row r="1505" spans="1:15" hidden="1" x14ac:dyDescent="0.25">
      <c r="A1505" t="s">
        <v>27</v>
      </c>
      <c r="B1505" t="s">
        <v>78</v>
      </c>
      <c r="C1505" t="s">
        <v>420</v>
      </c>
      <c r="D1505">
        <v>54751</v>
      </c>
      <c r="E1505" t="s">
        <v>707</v>
      </c>
      <c r="F1505">
        <v>32.661999999999999</v>
      </c>
      <c r="G1505">
        <v>2017</v>
      </c>
      <c r="J1505">
        <f>13400+16600</f>
        <v>30000</v>
      </c>
      <c r="L1505" t="s">
        <v>763</v>
      </c>
    </row>
    <row r="1506" spans="1:15" hidden="1" x14ac:dyDescent="0.25">
      <c r="A1506" t="s">
        <v>27</v>
      </c>
      <c r="B1506" t="s">
        <v>78</v>
      </c>
      <c r="C1506" t="s">
        <v>421</v>
      </c>
      <c r="D1506">
        <v>60014</v>
      </c>
      <c r="E1506" t="s">
        <v>707</v>
      </c>
      <c r="F1506">
        <v>0.33100000000000002</v>
      </c>
      <c r="G1506">
        <v>2017</v>
      </c>
      <c r="L1506" t="s">
        <v>763</v>
      </c>
    </row>
    <row r="1507" spans="1:15" hidden="1" x14ac:dyDescent="0.25">
      <c r="A1507" t="s">
        <v>27</v>
      </c>
      <c r="B1507" t="s">
        <v>78</v>
      </c>
      <c r="C1507" t="s">
        <v>422</v>
      </c>
      <c r="D1507">
        <v>60015</v>
      </c>
      <c r="E1507" t="s">
        <v>707</v>
      </c>
      <c r="F1507">
        <v>51.682000000000002</v>
      </c>
      <c r="G1507">
        <v>2017</v>
      </c>
      <c r="J1507">
        <f>13400+36350</f>
        <v>49750</v>
      </c>
      <c r="L1507" t="s">
        <v>763</v>
      </c>
    </row>
    <row r="1508" spans="1:15" hidden="1" x14ac:dyDescent="0.25">
      <c r="A1508" t="s">
        <v>27</v>
      </c>
      <c r="B1508" t="s">
        <v>78</v>
      </c>
      <c r="C1508" t="s">
        <v>416</v>
      </c>
      <c r="D1508">
        <v>52649</v>
      </c>
      <c r="E1508" t="s">
        <v>708</v>
      </c>
      <c r="F1508">
        <v>246.422</v>
      </c>
      <c r="G1508">
        <v>2018</v>
      </c>
      <c r="J1508">
        <f>16350+227250</f>
        <v>243600</v>
      </c>
      <c r="L1508" t="s">
        <v>763</v>
      </c>
    </row>
    <row r="1509" spans="1:15" hidden="1" x14ac:dyDescent="0.25">
      <c r="A1509" t="s">
        <v>27</v>
      </c>
      <c r="B1509" t="s">
        <v>78</v>
      </c>
      <c r="C1509" t="s">
        <v>418</v>
      </c>
      <c r="D1509">
        <v>52651</v>
      </c>
      <c r="E1509" t="s">
        <v>707</v>
      </c>
      <c r="F1509">
        <v>87.566999999999993</v>
      </c>
      <c r="G1509">
        <v>2018</v>
      </c>
      <c r="J1509">
        <f>16350+42150</f>
        <v>58500</v>
      </c>
      <c r="L1509" t="s">
        <v>763</v>
      </c>
    </row>
    <row r="1510" spans="1:15" hidden="1" x14ac:dyDescent="0.25">
      <c r="A1510" t="s">
        <v>27</v>
      </c>
      <c r="B1510" t="s">
        <v>78</v>
      </c>
      <c r="C1510" t="s">
        <v>420</v>
      </c>
      <c r="D1510">
        <v>54751</v>
      </c>
      <c r="E1510" t="s">
        <v>707</v>
      </c>
      <c r="F1510">
        <v>61.561999999999998</v>
      </c>
      <c r="G1510">
        <v>2018</v>
      </c>
      <c r="J1510">
        <f>8250</f>
        <v>8250</v>
      </c>
      <c r="L1510" t="s">
        <v>763</v>
      </c>
    </row>
    <row r="1511" spans="1:15" hidden="1" x14ac:dyDescent="0.25">
      <c r="A1511" t="s">
        <v>27</v>
      </c>
      <c r="B1511" t="s">
        <v>78</v>
      </c>
      <c r="C1511" t="s">
        <v>421</v>
      </c>
      <c r="D1511">
        <v>60014</v>
      </c>
      <c r="E1511" t="s">
        <v>707</v>
      </c>
      <c r="F1511">
        <v>9.3219999999999992</v>
      </c>
      <c r="G1511">
        <v>2018</v>
      </c>
      <c r="J1511">
        <f>16350+61275</f>
        <v>77625</v>
      </c>
      <c r="L1511" t="s">
        <v>763</v>
      </c>
    </row>
    <row r="1512" spans="1:15" hidden="1" x14ac:dyDescent="0.25">
      <c r="A1512" t="s">
        <v>27</v>
      </c>
      <c r="B1512" t="s">
        <v>78</v>
      </c>
      <c r="C1512" t="s">
        <v>422</v>
      </c>
      <c r="D1512">
        <v>60015</v>
      </c>
      <c r="E1512" t="s">
        <v>707</v>
      </c>
      <c r="F1512">
        <v>79.813999999999993</v>
      </c>
      <c r="G1512">
        <v>2018</v>
      </c>
      <c r="J1512">
        <f>16350+68475</f>
        <v>84825</v>
      </c>
      <c r="L1512" t="s">
        <v>763</v>
      </c>
    </row>
    <row r="1513" spans="1:15" hidden="1" x14ac:dyDescent="0.25">
      <c r="A1513" t="s">
        <v>28</v>
      </c>
      <c r="B1513" t="s">
        <v>79</v>
      </c>
      <c r="C1513" t="s">
        <v>423</v>
      </c>
      <c r="D1513">
        <v>23744</v>
      </c>
      <c r="E1513" t="s">
        <v>708</v>
      </c>
      <c r="F1513">
        <v>1087.2059999999999</v>
      </c>
      <c r="G1513">
        <v>2006</v>
      </c>
      <c r="J1513">
        <f>6600+73400+716956</f>
        <v>796956</v>
      </c>
      <c r="L1513">
        <v>38382</v>
      </c>
      <c r="O1513">
        <v>251868</v>
      </c>
    </row>
    <row r="1514" spans="1:15" hidden="1" x14ac:dyDescent="0.25">
      <c r="A1514" t="s">
        <v>28</v>
      </c>
      <c r="B1514" t="s">
        <v>79</v>
      </c>
      <c r="C1514" t="s">
        <v>424</v>
      </c>
      <c r="D1514">
        <v>23746</v>
      </c>
      <c r="E1514" t="s">
        <v>707</v>
      </c>
      <c r="F1514">
        <v>474.786</v>
      </c>
      <c r="G1514">
        <v>2006</v>
      </c>
      <c r="J1514">
        <f>6600+53400+374904</f>
        <v>434904</v>
      </c>
      <c r="L1514">
        <v>39882</v>
      </c>
    </row>
    <row r="1515" spans="1:15" hidden="1" x14ac:dyDescent="0.25">
      <c r="A1515" t="s">
        <v>28</v>
      </c>
      <c r="B1515" t="s">
        <v>79</v>
      </c>
      <c r="C1515" t="s">
        <v>425</v>
      </c>
      <c r="D1515">
        <v>23747</v>
      </c>
      <c r="E1515" t="s">
        <v>707</v>
      </c>
      <c r="F1515">
        <v>335.08499999999998</v>
      </c>
      <c r="G1515">
        <v>2006</v>
      </c>
      <c r="J1515">
        <f>6600+53400+258733</f>
        <v>318733</v>
      </c>
      <c r="L1515">
        <v>16352</v>
      </c>
    </row>
    <row r="1516" spans="1:15" hidden="1" x14ac:dyDescent="0.25">
      <c r="A1516" t="s">
        <v>28</v>
      </c>
      <c r="B1516" t="s">
        <v>79</v>
      </c>
      <c r="C1516" t="s">
        <v>426</v>
      </c>
      <c r="D1516">
        <v>23748</v>
      </c>
      <c r="E1516" t="s">
        <v>707</v>
      </c>
      <c r="F1516">
        <v>266.57</v>
      </c>
      <c r="G1516">
        <v>2006</v>
      </c>
      <c r="J1516">
        <f>6600+21400+151018</f>
        <v>179018</v>
      </c>
      <c r="L1516">
        <v>86167</v>
      </c>
      <c r="O1516">
        <v>1385</v>
      </c>
    </row>
    <row r="1517" spans="1:15" hidden="1" x14ac:dyDescent="0.25">
      <c r="A1517" t="s">
        <v>28</v>
      </c>
      <c r="B1517" t="s">
        <v>79</v>
      </c>
      <c r="C1517" t="s">
        <v>427</v>
      </c>
      <c r="D1517">
        <v>23752</v>
      </c>
      <c r="E1517" t="s">
        <v>707</v>
      </c>
      <c r="F1517">
        <v>352.32100000000003</v>
      </c>
      <c r="G1517">
        <v>2006</v>
      </c>
      <c r="J1517">
        <f>6600+53400+230124</f>
        <v>290124</v>
      </c>
      <c r="L1517">
        <v>62197</v>
      </c>
    </row>
    <row r="1518" spans="1:15" hidden="1" x14ac:dyDescent="0.25">
      <c r="A1518" t="s">
        <v>28</v>
      </c>
      <c r="B1518" t="s">
        <v>79</v>
      </c>
      <c r="C1518" t="s">
        <v>423</v>
      </c>
      <c r="D1518">
        <v>23744</v>
      </c>
      <c r="E1518" t="s">
        <v>708</v>
      </c>
      <c r="F1518">
        <v>1244.8489999999999</v>
      </c>
      <c r="G1518">
        <v>2007</v>
      </c>
      <c r="J1518">
        <f>6750+73400+716956</f>
        <v>797106</v>
      </c>
      <c r="L1518">
        <v>59438</v>
      </c>
      <c r="O1518">
        <v>388305</v>
      </c>
    </row>
    <row r="1519" spans="1:15" hidden="1" x14ac:dyDescent="0.25">
      <c r="A1519" t="s">
        <v>28</v>
      </c>
      <c r="B1519" t="s">
        <v>79</v>
      </c>
      <c r="C1519" t="s">
        <v>424</v>
      </c>
      <c r="D1519">
        <v>23746</v>
      </c>
      <c r="E1519" t="s">
        <v>707</v>
      </c>
      <c r="F1519">
        <v>474.55200000000002</v>
      </c>
      <c r="G1519">
        <v>2007</v>
      </c>
      <c r="J1519">
        <f>6750+53400+374904</f>
        <v>435054</v>
      </c>
      <c r="L1519">
        <v>39498</v>
      </c>
    </row>
    <row r="1520" spans="1:15" hidden="1" x14ac:dyDescent="0.25">
      <c r="A1520" t="s">
        <v>28</v>
      </c>
      <c r="B1520" t="s">
        <v>79</v>
      </c>
      <c r="C1520" t="s">
        <v>425</v>
      </c>
      <c r="D1520">
        <v>23747</v>
      </c>
      <c r="E1520" t="s">
        <v>707</v>
      </c>
      <c r="F1520">
        <v>369.96100000000001</v>
      </c>
      <c r="G1520">
        <v>2007</v>
      </c>
      <c r="J1520">
        <f>6750+53400+258733</f>
        <v>318883</v>
      </c>
      <c r="L1520">
        <v>51078</v>
      </c>
    </row>
    <row r="1521" spans="1:51" hidden="1" x14ac:dyDescent="0.25">
      <c r="A1521" t="s">
        <v>28</v>
      </c>
      <c r="B1521" t="s">
        <v>79</v>
      </c>
      <c r="C1521" t="s">
        <v>426</v>
      </c>
      <c r="D1521">
        <v>23748</v>
      </c>
      <c r="E1521" t="s">
        <v>707</v>
      </c>
      <c r="F1521">
        <v>235.47200000000001</v>
      </c>
      <c r="G1521">
        <v>2007</v>
      </c>
      <c r="J1521">
        <f>6750+21400+151018</f>
        <v>179168</v>
      </c>
      <c r="L1521">
        <v>55699</v>
      </c>
      <c r="O1521">
        <v>605</v>
      </c>
    </row>
    <row r="1522" spans="1:51" hidden="1" x14ac:dyDescent="0.25">
      <c r="A1522" t="s">
        <v>28</v>
      </c>
      <c r="B1522" t="s">
        <v>79</v>
      </c>
      <c r="C1522" t="s">
        <v>427</v>
      </c>
      <c r="D1522">
        <v>23752</v>
      </c>
      <c r="E1522" t="s">
        <v>707</v>
      </c>
      <c r="F1522">
        <v>351.26900000000001</v>
      </c>
      <c r="G1522">
        <v>2007</v>
      </c>
      <c r="J1522">
        <f>6750+53400+230124</f>
        <v>290274</v>
      </c>
      <c r="L1522">
        <v>60995</v>
      </c>
    </row>
    <row r="1523" spans="1:51" hidden="1" x14ac:dyDescent="0.25">
      <c r="A1523" t="s">
        <v>28</v>
      </c>
      <c r="B1523" t="s">
        <v>79</v>
      </c>
      <c r="C1523" t="s">
        <v>428</v>
      </c>
      <c r="D1523">
        <v>34829</v>
      </c>
      <c r="E1523" t="s">
        <v>707</v>
      </c>
      <c r="F1523">
        <v>96.433999999999997</v>
      </c>
      <c r="G1523">
        <v>2007</v>
      </c>
      <c r="J1523">
        <f>6750+7400+49544</f>
        <v>63694</v>
      </c>
      <c r="L1523">
        <v>32740</v>
      </c>
    </row>
    <row r="1524" spans="1:51" hidden="1" x14ac:dyDescent="0.25">
      <c r="A1524" t="s">
        <v>28</v>
      </c>
      <c r="B1524" t="s">
        <v>79</v>
      </c>
      <c r="C1524" t="s">
        <v>429</v>
      </c>
      <c r="D1524">
        <v>34830</v>
      </c>
      <c r="E1524" t="s">
        <v>707</v>
      </c>
      <c r="F1524">
        <v>397.959</v>
      </c>
      <c r="G1524">
        <v>2007</v>
      </c>
      <c r="J1524">
        <f>37621</f>
        <v>37621</v>
      </c>
      <c r="L1524">
        <v>29226</v>
      </c>
      <c r="O1524">
        <v>380</v>
      </c>
      <c r="AB1524" t="s">
        <v>763</v>
      </c>
      <c r="AP1524" t="s">
        <v>763</v>
      </c>
    </row>
    <row r="1525" spans="1:51" hidden="1" x14ac:dyDescent="0.25">
      <c r="A1525" t="s">
        <v>28</v>
      </c>
      <c r="B1525" t="s">
        <v>79</v>
      </c>
      <c r="C1525" t="s">
        <v>423</v>
      </c>
      <c r="D1525">
        <v>23744</v>
      </c>
      <c r="E1525" t="s">
        <v>708</v>
      </c>
      <c r="F1525">
        <v>1342.09</v>
      </c>
      <c r="G1525">
        <v>2008</v>
      </c>
      <c r="J1525">
        <f>6900+73250+716956</f>
        <v>797106</v>
      </c>
      <c r="L1525">
        <v>63208</v>
      </c>
      <c r="O1525">
        <v>481776</v>
      </c>
    </row>
    <row r="1526" spans="1:51" hidden="1" x14ac:dyDescent="0.25">
      <c r="A1526" t="s">
        <v>28</v>
      </c>
      <c r="B1526" t="s">
        <v>79</v>
      </c>
      <c r="C1526" t="s">
        <v>424</v>
      </c>
      <c r="D1526">
        <v>23746</v>
      </c>
      <c r="E1526" t="s">
        <v>707</v>
      </c>
      <c r="F1526">
        <v>460.88799999999998</v>
      </c>
      <c r="G1526">
        <v>2008</v>
      </c>
      <c r="J1526">
        <f>6800+53250+374904</f>
        <v>434954</v>
      </c>
      <c r="L1526">
        <v>25834</v>
      </c>
    </row>
    <row r="1527" spans="1:51" hidden="1" x14ac:dyDescent="0.25">
      <c r="A1527" t="s">
        <v>28</v>
      </c>
      <c r="B1527" t="s">
        <v>79</v>
      </c>
      <c r="C1527" t="s">
        <v>426</v>
      </c>
      <c r="D1527">
        <v>23748</v>
      </c>
      <c r="E1527" t="s">
        <v>707</v>
      </c>
      <c r="F1527">
        <v>245.339</v>
      </c>
      <c r="G1527">
        <v>2008</v>
      </c>
      <c r="J1527">
        <f>6900+21250+151018</f>
        <v>179168</v>
      </c>
      <c r="L1527">
        <v>64352</v>
      </c>
      <c r="O1527">
        <v>1819</v>
      </c>
    </row>
    <row r="1528" spans="1:51" hidden="1" x14ac:dyDescent="0.25">
      <c r="A1528" t="s">
        <v>28</v>
      </c>
      <c r="B1528" t="s">
        <v>79</v>
      </c>
      <c r="C1528" t="s">
        <v>427</v>
      </c>
      <c r="D1528">
        <v>23752</v>
      </c>
      <c r="E1528" t="s">
        <v>707</v>
      </c>
      <c r="F1528">
        <v>442.03899999999999</v>
      </c>
      <c r="G1528">
        <v>2008</v>
      </c>
      <c r="J1528">
        <f>6900+53250+230124</f>
        <v>290274</v>
      </c>
      <c r="L1528">
        <v>44922</v>
      </c>
      <c r="O1528">
        <v>106843</v>
      </c>
    </row>
    <row r="1529" spans="1:51" hidden="1" x14ac:dyDescent="0.25">
      <c r="A1529" t="s">
        <v>28</v>
      </c>
      <c r="B1529" t="s">
        <v>79</v>
      </c>
      <c r="C1529" t="s">
        <v>428</v>
      </c>
      <c r="D1529">
        <v>34829</v>
      </c>
      <c r="E1529" t="s">
        <v>707</v>
      </c>
      <c r="F1529">
        <v>116.53100000000001</v>
      </c>
      <c r="G1529">
        <v>2008</v>
      </c>
      <c r="J1529">
        <f>6900+13250+63928</f>
        <v>84078</v>
      </c>
      <c r="L1529">
        <v>32453</v>
      </c>
    </row>
    <row r="1530" spans="1:51" hidden="1" x14ac:dyDescent="0.25">
      <c r="A1530" t="s">
        <v>28</v>
      </c>
      <c r="B1530" t="s">
        <v>79</v>
      </c>
      <c r="C1530" t="s">
        <v>429</v>
      </c>
      <c r="D1530">
        <v>34830</v>
      </c>
      <c r="E1530" t="s">
        <v>707</v>
      </c>
      <c r="F1530">
        <v>127.366</v>
      </c>
      <c r="G1530">
        <v>2008</v>
      </c>
      <c r="J1530">
        <f>6900+20000+75241</f>
        <v>102141</v>
      </c>
      <c r="L1530">
        <v>25080</v>
      </c>
      <c r="O1530">
        <v>145</v>
      </c>
    </row>
    <row r="1531" spans="1:51" hidden="1" x14ac:dyDescent="0.25">
      <c r="A1531" t="s">
        <v>28</v>
      </c>
      <c r="B1531" t="s">
        <v>79</v>
      </c>
      <c r="C1531" t="s">
        <v>424</v>
      </c>
      <c r="D1531">
        <v>23746</v>
      </c>
      <c r="E1531" t="s">
        <v>707</v>
      </c>
      <c r="F1531">
        <v>75.477000000000004</v>
      </c>
      <c r="G1531">
        <v>2009</v>
      </c>
      <c r="J1531">
        <f>53100</f>
        <v>53100</v>
      </c>
      <c r="L1531">
        <v>22377</v>
      </c>
    </row>
    <row r="1532" spans="1:51" hidden="1" x14ac:dyDescent="0.25">
      <c r="A1532" t="s">
        <v>28</v>
      </c>
      <c r="B1532" t="s">
        <v>79</v>
      </c>
      <c r="C1532" t="s">
        <v>426</v>
      </c>
      <c r="D1532">
        <v>23748</v>
      </c>
      <c r="E1532" t="s">
        <v>707</v>
      </c>
      <c r="F1532">
        <v>3201.0810000000001</v>
      </c>
      <c r="G1532">
        <v>2009</v>
      </c>
      <c r="J1532">
        <v>21100</v>
      </c>
      <c r="L1532">
        <v>31380</v>
      </c>
      <c r="O1532">
        <v>41623</v>
      </c>
      <c r="Z1532">
        <f>106978-38993</f>
        <v>67985</v>
      </c>
      <c r="AR1532">
        <v>38993</v>
      </c>
      <c r="AX1532">
        <v>3000000</v>
      </c>
    </row>
    <row r="1533" spans="1:51" hidden="1" x14ac:dyDescent="0.25">
      <c r="A1533" t="s">
        <v>28</v>
      </c>
      <c r="B1533" t="s">
        <v>79</v>
      </c>
      <c r="C1533" t="s">
        <v>427</v>
      </c>
      <c r="D1533">
        <v>23752</v>
      </c>
      <c r="E1533" t="s">
        <v>708</v>
      </c>
      <c r="F1533">
        <v>664.21299999999997</v>
      </c>
      <c r="G1533">
        <v>2009</v>
      </c>
      <c r="J1533">
        <v>53100</v>
      </c>
      <c r="L1533">
        <v>136010</v>
      </c>
      <c r="N1533">
        <f>2342-854</f>
        <v>1488</v>
      </c>
      <c r="O1533">
        <v>265783</v>
      </c>
      <c r="Z1533">
        <f>106978-38993</f>
        <v>67985</v>
      </c>
      <c r="AR1533">
        <f>854+38993</f>
        <v>39847</v>
      </c>
      <c r="AY1533">
        <v>100000</v>
      </c>
    </row>
    <row r="1534" spans="1:51" hidden="1" x14ac:dyDescent="0.25">
      <c r="A1534" t="s">
        <v>28</v>
      </c>
      <c r="B1534" t="s">
        <v>79</v>
      </c>
      <c r="C1534" t="s">
        <v>428</v>
      </c>
      <c r="D1534">
        <v>34829</v>
      </c>
      <c r="E1534" t="s">
        <v>707</v>
      </c>
      <c r="F1534">
        <v>37.395000000000003</v>
      </c>
      <c r="G1534">
        <v>2009</v>
      </c>
      <c r="J1534">
        <v>13100</v>
      </c>
      <c r="L1534">
        <v>24295</v>
      </c>
    </row>
    <row r="1535" spans="1:51" hidden="1" x14ac:dyDescent="0.25">
      <c r="A1535" t="s">
        <v>28</v>
      </c>
      <c r="B1535" t="s">
        <v>79</v>
      </c>
      <c r="C1535" t="s">
        <v>430</v>
      </c>
      <c r="D1535">
        <v>42553</v>
      </c>
      <c r="E1535" t="s">
        <v>707</v>
      </c>
      <c r="F1535">
        <v>26.225000000000001</v>
      </c>
      <c r="G1535">
        <v>2009</v>
      </c>
      <c r="L1535">
        <v>2184</v>
      </c>
      <c r="AB1535">
        <f>10891-2701+13150</f>
        <v>21340</v>
      </c>
      <c r="AP1535">
        <f>2701</f>
        <v>2701</v>
      </c>
    </row>
    <row r="1536" spans="1:51" hidden="1" x14ac:dyDescent="0.25">
      <c r="A1536" t="s">
        <v>28</v>
      </c>
      <c r="B1536" t="s">
        <v>79</v>
      </c>
      <c r="C1536" t="s">
        <v>431</v>
      </c>
      <c r="D1536">
        <v>42554</v>
      </c>
      <c r="E1536" t="s">
        <v>707</v>
      </c>
      <c r="F1536">
        <v>30.427</v>
      </c>
      <c r="G1536">
        <v>2009</v>
      </c>
      <c r="J1536">
        <v>9100</v>
      </c>
      <c r="L1536">
        <v>21327</v>
      </c>
    </row>
    <row r="1537" spans="1:51" hidden="1" x14ac:dyDescent="0.25">
      <c r="A1537" t="s">
        <v>28</v>
      </c>
      <c r="B1537" t="s">
        <v>79</v>
      </c>
      <c r="C1537" t="s">
        <v>424</v>
      </c>
      <c r="D1537">
        <v>23746</v>
      </c>
      <c r="E1537" t="s">
        <v>707</v>
      </c>
      <c r="F1537">
        <v>60.978999999999999</v>
      </c>
      <c r="G1537">
        <v>2010</v>
      </c>
      <c r="L1537">
        <v>24660</v>
      </c>
      <c r="Z1537">
        <v>36319</v>
      </c>
    </row>
    <row r="1538" spans="1:51" hidden="1" x14ac:dyDescent="0.25">
      <c r="A1538" t="s">
        <v>28</v>
      </c>
      <c r="B1538" t="s">
        <v>79</v>
      </c>
      <c r="C1538" t="s">
        <v>432</v>
      </c>
      <c r="D1538">
        <v>23749</v>
      </c>
      <c r="E1538" t="s">
        <v>707</v>
      </c>
      <c r="F1538">
        <v>33.893000000000001</v>
      </c>
      <c r="G1538">
        <v>2010</v>
      </c>
      <c r="L1538">
        <v>33893</v>
      </c>
    </row>
    <row r="1539" spans="1:51" hidden="1" x14ac:dyDescent="0.25">
      <c r="A1539" t="s">
        <v>28</v>
      </c>
      <c r="B1539" t="s">
        <v>79</v>
      </c>
      <c r="C1539" t="s">
        <v>427</v>
      </c>
      <c r="D1539">
        <v>23752</v>
      </c>
      <c r="E1539" t="s">
        <v>708</v>
      </c>
      <c r="F1539">
        <v>585.274</v>
      </c>
      <c r="G1539">
        <v>2010</v>
      </c>
      <c r="L1539">
        <v>108673</v>
      </c>
      <c r="O1539">
        <v>374514</v>
      </c>
      <c r="AC1539">
        <v>2087</v>
      </c>
      <c r="AY1539">
        <v>100000</v>
      </c>
    </row>
    <row r="1540" spans="1:51" hidden="1" x14ac:dyDescent="0.25">
      <c r="A1540" t="s">
        <v>28</v>
      </c>
      <c r="B1540" t="s">
        <v>79</v>
      </c>
      <c r="C1540" t="s">
        <v>428</v>
      </c>
      <c r="D1540">
        <v>34829</v>
      </c>
      <c r="E1540" t="s">
        <v>707</v>
      </c>
      <c r="F1540">
        <v>26.443000000000001</v>
      </c>
      <c r="G1540">
        <v>2010</v>
      </c>
      <c r="L1540">
        <v>26443</v>
      </c>
    </row>
    <row r="1541" spans="1:51" hidden="1" x14ac:dyDescent="0.25">
      <c r="A1541" t="s">
        <v>28</v>
      </c>
      <c r="B1541" t="s">
        <v>79</v>
      </c>
      <c r="C1541" t="s">
        <v>433</v>
      </c>
      <c r="D1541">
        <v>43838</v>
      </c>
      <c r="E1541" t="s">
        <v>707</v>
      </c>
      <c r="F1541">
        <v>22.263999999999999</v>
      </c>
      <c r="G1541">
        <v>2010</v>
      </c>
      <c r="L1541">
        <v>16830</v>
      </c>
      <c r="O1541">
        <v>5434</v>
      </c>
    </row>
    <row r="1542" spans="1:51" hidden="1" x14ac:dyDescent="0.25">
      <c r="A1542" t="s">
        <v>28</v>
      </c>
      <c r="B1542" t="s">
        <v>79</v>
      </c>
      <c r="C1542" t="s">
        <v>424</v>
      </c>
      <c r="D1542">
        <v>23746</v>
      </c>
      <c r="E1542" t="s">
        <v>707</v>
      </c>
      <c r="F1542">
        <v>13.923999999999999</v>
      </c>
      <c r="G1542">
        <v>2011</v>
      </c>
      <c r="J1542">
        <v>500</v>
      </c>
      <c r="L1542">
        <v>13424</v>
      </c>
    </row>
    <row r="1543" spans="1:51" hidden="1" x14ac:dyDescent="0.25">
      <c r="A1543" t="s">
        <v>28</v>
      </c>
      <c r="B1543" t="s">
        <v>79</v>
      </c>
      <c r="C1543" t="s">
        <v>432</v>
      </c>
      <c r="D1543">
        <v>23749</v>
      </c>
      <c r="E1543" t="s">
        <v>707</v>
      </c>
      <c r="F1543">
        <v>34.223999999999997</v>
      </c>
      <c r="G1543">
        <v>2011</v>
      </c>
      <c r="J1543">
        <v>500</v>
      </c>
      <c r="L1543">
        <v>33724</v>
      </c>
    </row>
    <row r="1544" spans="1:51" hidden="1" x14ac:dyDescent="0.25">
      <c r="A1544" t="s">
        <v>28</v>
      </c>
      <c r="B1544" t="s">
        <v>79</v>
      </c>
      <c r="C1544" t="s">
        <v>427</v>
      </c>
      <c r="D1544">
        <v>23752</v>
      </c>
      <c r="E1544" t="s">
        <v>708</v>
      </c>
      <c r="F1544">
        <v>880.13</v>
      </c>
      <c r="G1544">
        <v>2011</v>
      </c>
      <c r="J1544">
        <v>500</v>
      </c>
      <c r="L1544">
        <v>88688</v>
      </c>
      <c r="O1544">
        <v>422023</v>
      </c>
      <c r="AL1544">
        <v>268919</v>
      </c>
      <c r="AY1544">
        <v>100000</v>
      </c>
    </row>
    <row r="1545" spans="1:51" hidden="1" x14ac:dyDescent="0.25">
      <c r="A1545" t="s">
        <v>28</v>
      </c>
      <c r="B1545" t="s">
        <v>79</v>
      </c>
      <c r="C1545" t="s">
        <v>428</v>
      </c>
      <c r="D1545">
        <v>34829</v>
      </c>
      <c r="E1545" t="s">
        <v>707</v>
      </c>
      <c r="F1545">
        <v>38.406999999999996</v>
      </c>
      <c r="G1545">
        <v>2011</v>
      </c>
      <c r="J1545">
        <v>500</v>
      </c>
      <c r="L1545">
        <v>37907</v>
      </c>
    </row>
    <row r="1546" spans="1:51" hidden="1" x14ac:dyDescent="0.25">
      <c r="A1546" t="s">
        <v>28</v>
      </c>
      <c r="B1546" t="s">
        <v>79</v>
      </c>
      <c r="C1546" t="s">
        <v>433</v>
      </c>
      <c r="D1546">
        <v>43838</v>
      </c>
      <c r="E1546" t="s">
        <v>707</v>
      </c>
      <c r="F1546">
        <v>6.5209999999999999</v>
      </c>
      <c r="G1546">
        <v>2011</v>
      </c>
      <c r="J1546">
        <v>500</v>
      </c>
      <c r="L1546">
        <v>6021</v>
      </c>
    </row>
    <row r="1547" spans="1:51" hidden="1" x14ac:dyDescent="0.25">
      <c r="A1547" t="s">
        <v>28</v>
      </c>
      <c r="B1547" t="s">
        <v>79</v>
      </c>
      <c r="C1547" t="s">
        <v>424</v>
      </c>
      <c r="D1547">
        <v>23746</v>
      </c>
      <c r="E1547" t="s">
        <v>707</v>
      </c>
      <c r="F1547">
        <v>100.042</v>
      </c>
      <c r="G1547">
        <v>2012</v>
      </c>
      <c r="J1547">
        <v>750</v>
      </c>
      <c r="L1547">
        <v>99292</v>
      </c>
    </row>
    <row r="1548" spans="1:51" hidden="1" x14ac:dyDescent="0.25">
      <c r="A1548" t="s">
        <v>28</v>
      </c>
      <c r="B1548" t="s">
        <v>79</v>
      </c>
      <c r="C1548" t="s">
        <v>432</v>
      </c>
      <c r="D1548">
        <v>23749</v>
      </c>
      <c r="E1548" t="s">
        <v>707</v>
      </c>
      <c r="F1548">
        <v>82.396000000000001</v>
      </c>
      <c r="G1548">
        <v>2012</v>
      </c>
      <c r="J1548">
        <v>750</v>
      </c>
      <c r="L1548">
        <v>70627</v>
      </c>
      <c r="O1548">
        <v>4793</v>
      </c>
      <c r="AR1548">
        <v>6226</v>
      </c>
    </row>
    <row r="1549" spans="1:51" hidden="1" x14ac:dyDescent="0.25">
      <c r="A1549" t="s">
        <v>28</v>
      </c>
      <c r="B1549" t="s">
        <v>79</v>
      </c>
      <c r="C1549" t="s">
        <v>427</v>
      </c>
      <c r="D1549">
        <v>23752</v>
      </c>
      <c r="E1549" t="s">
        <v>708</v>
      </c>
      <c r="F1549">
        <v>1023.686</v>
      </c>
      <c r="G1549">
        <v>2012</v>
      </c>
      <c r="J1549">
        <v>750</v>
      </c>
      <c r="L1549">
        <v>36174</v>
      </c>
      <c r="O1549">
        <v>259651</v>
      </c>
      <c r="Z1549">
        <v>284372</v>
      </c>
      <c r="AL1549">
        <v>325025</v>
      </c>
      <c r="AR1549">
        <v>17714</v>
      </c>
      <c r="AY1549">
        <v>100000</v>
      </c>
    </row>
    <row r="1550" spans="1:51" hidden="1" x14ac:dyDescent="0.25">
      <c r="A1550" t="s">
        <v>28</v>
      </c>
      <c r="B1550" t="s">
        <v>79</v>
      </c>
      <c r="C1550" t="s">
        <v>428</v>
      </c>
      <c r="D1550">
        <v>34829</v>
      </c>
      <c r="E1550" t="s">
        <v>707</v>
      </c>
      <c r="F1550">
        <v>57.195</v>
      </c>
      <c r="G1550">
        <v>2012</v>
      </c>
      <c r="J1550">
        <v>750</v>
      </c>
      <c r="L1550">
        <v>56445</v>
      </c>
    </row>
    <row r="1551" spans="1:51" hidden="1" x14ac:dyDescent="0.25">
      <c r="A1551" t="s">
        <v>28</v>
      </c>
      <c r="B1551" t="s">
        <v>79</v>
      </c>
      <c r="C1551" t="s">
        <v>433</v>
      </c>
      <c r="D1551">
        <v>43838</v>
      </c>
      <c r="E1551" t="s">
        <v>707</v>
      </c>
      <c r="F1551">
        <v>50.265999999999998</v>
      </c>
      <c r="G1551">
        <v>2012</v>
      </c>
      <c r="J1551">
        <v>750</v>
      </c>
      <c r="L1551">
        <v>47914</v>
      </c>
      <c r="AR1551">
        <v>1602</v>
      </c>
    </row>
    <row r="1552" spans="1:51" hidden="1" x14ac:dyDescent="0.25">
      <c r="A1552" t="s">
        <v>28</v>
      </c>
      <c r="B1552" t="s">
        <v>79</v>
      </c>
      <c r="C1552" t="s">
        <v>424</v>
      </c>
      <c r="D1552">
        <v>23746</v>
      </c>
      <c r="E1552" t="s">
        <v>707</v>
      </c>
      <c r="F1552">
        <v>57.619</v>
      </c>
      <c r="G1552">
        <v>2013</v>
      </c>
      <c r="J1552">
        <v>750</v>
      </c>
      <c r="L1552">
        <v>56869</v>
      </c>
    </row>
    <row r="1553" spans="1:44" hidden="1" x14ac:dyDescent="0.25">
      <c r="A1553" t="s">
        <v>28</v>
      </c>
      <c r="B1553" t="s">
        <v>79</v>
      </c>
      <c r="C1553" t="s">
        <v>432</v>
      </c>
      <c r="D1553">
        <v>23749</v>
      </c>
      <c r="E1553" t="s">
        <v>707</v>
      </c>
      <c r="F1553">
        <v>44.521000000000001</v>
      </c>
      <c r="G1553">
        <v>2013</v>
      </c>
      <c r="J1553">
        <v>750</v>
      </c>
      <c r="L1553">
        <v>27412</v>
      </c>
      <c r="O1553">
        <v>4383</v>
      </c>
      <c r="AR1553">
        <v>11976</v>
      </c>
    </row>
    <row r="1554" spans="1:44" hidden="1" x14ac:dyDescent="0.25">
      <c r="A1554" t="s">
        <v>28</v>
      </c>
      <c r="B1554" t="s">
        <v>79</v>
      </c>
      <c r="C1554" t="s">
        <v>427</v>
      </c>
      <c r="D1554">
        <v>23752</v>
      </c>
      <c r="E1554" t="s">
        <v>708</v>
      </c>
      <c r="F1554">
        <v>563.74300000000005</v>
      </c>
      <c r="G1554">
        <v>2013</v>
      </c>
      <c r="J1554">
        <v>750</v>
      </c>
      <c r="L1554">
        <v>81872</v>
      </c>
      <c r="O1554">
        <v>250000</v>
      </c>
      <c r="AL1554">
        <v>218278</v>
      </c>
      <c r="AR1554">
        <v>12843</v>
      </c>
    </row>
    <row r="1555" spans="1:44" hidden="1" x14ac:dyDescent="0.25">
      <c r="A1555" t="s">
        <v>28</v>
      </c>
      <c r="B1555" t="s">
        <v>79</v>
      </c>
      <c r="C1555" t="s">
        <v>428</v>
      </c>
      <c r="D1555">
        <v>34829</v>
      </c>
      <c r="E1555" t="s">
        <v>707</v>
      </c>
      <c r="F1555">
        <v>41.329000000000001</v>
      </c>
      <c r="G1555">
        <v>2013</v>
      </c>
      <c r="J1555">
        <v>750</v>
      </c>
      <c r="L1555">
        <v>40579</v>
      </c>
    </row>
    <row r="1556" spans="1:44" hidden="1" x14ac:dyDescent="0.25">
      <c r="A1556" t="s">
        <v>28</v>
      </c>
      <c r="B1556" t="s">
        <v>79</v>
      </c>
      <c r="C1556" t="s">
        <v>433</v>
      </c>
      <c r="D1556">
        <v>43838</v>
      </c>
      <c r="E1556" t="s">
        <v>707</v>
      </c>
      <c r="F1556">
        <v>11.862</v>
      </c>
      <c r="G1556">
        <v>2013</v>
      </c>
      <c r="J1556">
        <v>750</v>
      </c>
      <c r="L1556">
        <v>11112</v>
      </c>
    </row>
    <row r="1557" spans="1:44" hidden="1" x14ac:dyDescent="0.25">
      <c r="A1557" t="s">
        <v>28</v>
      </c>
      <c r="B1557" t="s">
        <v>79</v>
      </c>
      <c r="C1557" t="s">
        <v>424</v>
      </c>
      <c r="D1557">
        <v>23746</v>
      </c>
      <c r="E1557" t="s">
        <v>707</v>
      </c>
      <c r="F1557">
        <v>49.912999999999997</v>
      </c>
      <c r="G1557">
        <v>2014</v>
      </c>
      <c r="H1557">
        <v>1</v>
      </c>
    </row>
    <row r="1558" spans="1:44" hidden="1" x14ac:dyDescent="0.25">
      <c r="A1558" t="s">
        <v>28</v>
      </c>
      <c r="B1558" t="s">
        <v>79</v>
      </c>
      <c r="C1558" t="s">
        <v>432</v>
      </c>
      <c r="D1558">
        <v>23749</v>
      </c>
      <c r="E1558" t="s">
        <v>707</v>
      </c>
      <c r="F1558">
        <v>60.454999999999998</v>
      </c>
      <c r="G1558">
        <v>2014</v>
      </c>
      <c r="H1558">
        <v>1</v>
      </c>
    </row>
    <row r="1559" spans="1:44" hidden="1" x14ac:dyDescent="0.25">
      <c r="A1559" t="s">
        <v>28</v>
      </c>
      <c r="B1559" t="s">
        <v>79</v>
      </c>
      <c r="C1559" t="s">
        <v>427</v>
      </c>
      <c r="D1559">
        <v>23752</v>
      </c>
      <c r="E1559" t="s">
        <v>708</v>
      </c>
      <c r="F1559">
        <v>601.63</v>
      </c>
      <c r="G1559">
        <v>2014</v>
      </c>
      <c r="H1559">
        <v>1</v>
      </c>
    </row>
    <row r="1560" spans="1:44" hidden="1" x14ac:dyDescent="0.25">
      <c r="A1560" t="s">
        <v>28</v>
      </c>
      <c r="B1560" t="s">
        <v>79</v>
      </c>
      <c r="C1560" t="s">
        <v>428</v>
      </c>
      <c r="D1560">
        <v>34829</v>
      </c>
      <c r="E1560" t="s">
        <v>707</v>
      </c>
      <c r="F1560">
        <v>76.254000000000005</v>
      </c>
      <c r="G1560">
        <v>2014</v>
      </c>
      <c r="H1560">
        <v>1</v>
      </c>
    </row>
    <row r="1561" spans="1:44" hidden="1" x14ac:dyDescent="0.25">
      <c r="A1561" t="s">
        <v>28</v>
      </c>
      <c r="B1561" t="s">
        <v>79</v>
      </c>
      <c r="C1561" t="s">
        <v>433</v>
      </c>
      <c r="D1561">
        <v>43838</v>
      </c>
      <c r="E1561" t="s">
        <v>707</v>
      </c>
      <c r="F1561">
        <v>12.041</v>
      </c>
      <c r="G1561">
        <v>2014</v>
      </c>
      <c r="H1561">
        <v>1</v>
      </c>
    </row>
    <row r="1562" spans="1:44" hidden="1" x14ac:dyDescent="0.25">
      <c r="A1562" t="s">
        <v>28</v>
      </c>
      <c r="B1562" t="s">
        <v>79</v>
      </c>
      <c r="C1562" t="s">
        <v>424</v>
      </c>
      <c r="D1562">
        <v>23746</v>
      </c>
      <c r="E1562" t="s">
        <v>707</v>
      </c>
      <c r="F1562">
        <v>56.960999999999999</v>
      </c>
      <c r="G1562">
        <v>2015</v>
      </c>
      <c r="J1562">
        <v>1000</v>
      </c>
      <c r="L1562">
        <v>55961</v>
      </c>
    </row>
    <row r="1563" spans="1:44" hidden="1" x14ac:dyDescent="0.25">
      <c r="A1563" t="s">
        <v>28</v>
      </c>
      <c r="B1563" t="s">
        <v>79</v>
      </c>
      <c r="C1563" t="s">
        <v>432</v>
      </c>
      <c r="D1563">
        <v>23749</v>
      </c>
      <c r="E1563" t="s">
        <v>707</v>
      </c>
      <c r="F1563">
        <v>25.867000000000001</v>
      </c>
      <c r="G1563">
        <v>2015</v>
      </c>
      <c r="J1563">
        <v>1000</v>
      </c>
      <c r="L1563">
        <v>21426</v>
      </c>
      <c r="O1563">
        <v>3441</v>
      </c>
    </row>
    <row r="1564" spans="1:44" hidden="1" x14ac:dyDescent="0.25">
      <c r="A1564" t="s">
        <v>28</v>
      </c>
      <c r="B1564" t="s">
        <v>79</v>
      </c>
      <c r="C1564" t="s">
        <v>427</v>
      </c>
      <c r="D1564">
        <v>23752</v>
      </c>
      <c r="E1564" t="s">
        <v>708</v>
      </c>
      <c r="F1564">
        <v>568.14700000000005</v>
      </c>
      <c r="G1564">
        <v>2015</v>
      </c>
      <c r="J1564">
        <v>1000</v>
      </c>
      <c r="L1564">
        <v>43151</v>
      </c>
      <c r="O1564">
        <v>159456</v>
      </c>
      <c r="AL1564">
        <v>364540</v>
      </c>
    </row>
    <row r="1565" spans="1:44" hidden="1" x14ac:dyDescent="0.25">
      <c r="A1565" t="s">
        <v>28</v>
      </c>
      <c r="B1565" t="s">
        <v>79</v>
      </c>
      <c r="C1565" t="s">
        <v>428</v>
      </c>
      <c r="D1565">
        <v>34829</v>
      </c>
      <c r="E1565" t="s">
        <v>707</v>
      </c>
      <c r="F1565">
        <v>40.616</v>
      </c>
      <c r="G1565">
        <v>2015</v>
      </c>
      <c r="J1565">
        <v>1000</v>
      </c>
      <c r="L1565">
        <v>38254</v>
      </c>
      <c r="O1565">
        <v>1362</v>
      </c>
    </row>
    <row r="1566" spans="1:44" hidden="1" x14ac:dyDescent="0.25">
      <c r="A1566" t="s">
        <v>28</v>
      </c>
      <c r="B1566" t="s">
        <v>79</v>
      </c>
      <c r="C1566" t="s">
        <v>433</v>
      </c>
      <c r="D1566">
        <v>43838</v>
      </c>
      <c r="E1566" t="s">
        <v>707</v>
      </c>
      <c r="F1566">
        <v>11.224</v>
      </c>
      <c r="G1566">
        <v>2015</v>
      </c>
      <c r="J1566">
        <v>1000</v>
      </c>
      <c r="L1566">
        <v>8855</v>
      </c>
      <c r="O1566">
        <v>1369</v>
      </c>
    </row>
    <row r="1567" spans="1:44" hidden="1" x14ac:dyDescent="0.25">
      <c r="A1567" t="s">
        <v>28</v>
      </c>
      <c r="B1567" t="s">
        <v>79</v>
      </c>
      <c r="C1567" t="s">
        <v>424</v>
      </c>
      <c r="D1567">
        <v>23746</v>
      </c>
      <c r="E1567" t="s">
        <v>707</v>
      </c>
      <c r="F1567">
        <v>277.423</v>
      </c>
      <c r="G1567">
        <v>2016</v>
      </c>
      <c r="J1567">
        <v>1500</v>
      </c>
      <c r="L1567">
        <v>123208</v>
      </c>
      <c r="AI1567">
        <v>150000</v>
      </c>
      <c r="AR1567">
        <v>2715</v>
      </c>
    </row>
    <row r="1568" spans="1:44" hidden="1" x14ac:dyDescent="0.25">
      <c r="A1568" t="s">
        <v>28</v>
      </c>
      <c r="B1568" t="s">
        <v>79</v>
      </c>
      <c r="C1568" t="s">
        <v>432</v>
      </c>
      <c r="D1568">
        <v>23749</v>
      </c>
      <c r="E1568" t="s">
        <v>707</v>
      </c>
      <c r="F1568">
        <v>193.893</v>
      </c>
      <c r="G1568">
        <v>2016</v>
      </c>
      <c r="J1568">
        <v>1500</v>
      </c>
      <c r="L1568">
        <v>31760</v>
      </c>
      <c r="AI1568">
        <v>150000</v>
      </c>
      <c r="AR1568">
        <v>10633</v>
      </c>
    </row>
    <row r="1569" spans="1:52" hidden="1" x14ac:dyDescent="0.25">
      <c r="A1569" t="s">
        <v>28</v>
      </c>
      <c r="B1569" t="s">
        <v>79</v>
      </c>
      <c r="C1569" t="s">
        <v>427</v>
      </c>
      <c r="D1569">
        <v>23752</v>
      </c>
      <c r="E1569" t="s">
        <v>708</v>
      </c>
      <c r="F1569">
        <v>1519.7380000000001</v>
      </c>
      <c r="G1569">
        <v>2016</v>
      </c>
      <c r="J1569">
        <v>1500</v>
      </c>
      <c r="L1569">
        <v>57416</v>
      </c>
      <c r="O1569">
        <v>250000</v>
      </c>
      <c r="Z1569">
        <v>61560</v>
      </c>
      <c r="AI1569">
        <v>750000</v>
      </c>
      <c r="AL1569">
        <v>391814</v>
      </c>
      <c r="AR1569">
        <v>7448</v>
      </c>
    </row>
    <row r="1570" spans="1:52" hidden="1" x14ac:dyDescent="0.25">
      <c r="A1570" t="s">
        <v>28</v>
      </c>
      <c r="B1570" t="s">
        <v>79</v>
      </c>
      <c r="C1570" t="s">
        <v>428</v>
      </c>
      <c r="D1570">
        <v>34829</v>
      </c>
      <c r="E1570" t="s">
        <v>707</v>
      </c>
      <c r="F1570">
        <v>475.137</v>
      </c>
      <c r="G1570">
        <v>2016</v>
      </c>
      <c r="J1570">
        <v>1500</v>
      </c>
      <c r="L1570">
        <v>22300</v>
      </c>
      <c r="AI1570">
        <v>450000</v>
      </c>
      <c r="AR1570">
        <v>1337</v>
      </c>
    </row>
    <row r="1571" spans="1:52" hidden="1" x14ac:dyDescent="0.25">
      <c r="A1571" t="s">
        <v>28</v>
      </c>
      <c r="B1571" t="s">
        <v>79</v>
      </c>
      <c r="C1571" t="s">
        <v>433</v>
      </c>
      <c r="D1571">
        <v>43838</v>
      </c>
      <c r="E1571" t="s">
        <v>707</v>
      </c>
      <c r="F1571">
        <v>176.24600000000001</v>
      </c>
      <c r="G1571">
        <v>2016</v>
      </c>
      <c r="J1571">
        <v>1500</v>
      </c>
      <c r="L1571">
        <v>9838</v>
      </c>
      <c r="O1571">
        <v>7838</v>
      </c>
      <c r="AI1571">
        <v>150000</v>
      </c>
      <c r="AR1571">
        <v>7070</v>
      </c>
    </row>
    <row r="1572" spans="1:52" hidden="1" x14ac:dyDescent="0.25">
      <c r="A1572" t="s">
        <v>28</v>
      </c>
      <c r="B1572" t="s">
        <v>79</v>
      </c>
      <c r="C1572" t="s">
        <v>424</v>
      </c>
      <c r="D1572">
        <v>23746</v>
      </c>
      <c r="E1572" t="s">
        <v>707</v>
      </c>
      <c r="F1572">
        <v>95.936999999999998</v>
      </c>
      <c r="G1572">
        <v>2017</v>
      </c>
      <c r="J1572">
        <v>1500</v>
      </c>
      <c r="L1572">
        <v>94437</v>
      </c>
    </row>
    <row r="1573" spans="1:52" hidden="1" x14ac:dyDescent="0.25">
      <c r="A1573" t="s">
        <v>28</v>
      </c>
      <c r="B1573" t="s">
        <v>79</v>
      </c>
      <c r="C1573" t="s">
        <v>432</v>
      </c>
      <c r="D1573">
        <v>23749</v>
      </c>
      <c r="E1573" t="s">
        <v>707</v>
      </c>
      <c r="F1573">
        <v>61.344999999999999</v>
      </c>
      <c r="G1573">
        <v>2017</v>
      </c>
      <c r="J1573">
        <v>1500</v>
      </c>
      <c r="L1573">
        <v>53812</v>
      </c>
      <c r="AR1573">
        <v>6033</v>
      </c>
    </row>
    <row r="1574" spans="1:52" hidden="1" x14ac:dyDescent="0.25">
      <c r="A1574" t="s">
        <v>28</v>
      </c>
      <c r="B1574" t="s">
        <v>79</v>
      </c>
      <c r="C1574" t="s">
        <v>427</v>
      </c>
      <c r="D1574">
        <v>23752</v>
      </c>
      <c r="E1574" t="s">
        <v>708</v>
      </c>
      <c r="F1574">
        <v>667.18700000000001</v>
      </c>
      <c r="G1574">
        <v>2017</v>
      </c>
      <c r="J1574">
        <v>1500</v>
      </c>
      <c r="L1574">
        <v>25372</v>
      </c>
      <c r="O1574">
        <v>250000</v>
      </c>
      <c r="AL1574">
        <v>390315</v>
      </c>
    </row>
    <row r="1575" spans="1:52" hidden="1" x14ac:dyDescent="0.25">
      <c r="A1575" t="s">
        <v>28</v>
      </c>
      <c r="B1575" t="s">
        <v>79</v>
      </c>
      <c r="C1575" t="s">
        <v>428</v>
      </c>
      <c r="D1575">
        <v>34829</v>
      </c>
      <c r="E1575" t="s">
        <v>707</v>
      </c>
      <c r="F1575">
        <v>19.95</v>
      </c>
      <c r="G1575">
        <v>2017</v>
      </c>
      <c r="J1575">
        <v>1500</v>
      </c>
      <c r="L1575">
        <v>17976</v>
      </c>
      <c r="AR1575">
        <v>474</v>
      </c>
    </row>
    <row r="1576" spans="1:52" hidden="1" x14ac:dyDescent="0.25">
      <c r="A1576" t="s">
        <v>28</v>
      </c>
      <c r="B1576" t="s">
        <v>79</v>
      </c>
      <c r="C1576" t="s">
        <v>433</v>
      </c>
      <c r="D1576">
        <v>43838</v>
      </c>
      <c r="E1576" t="s">
        <v>707</v>
      </c>
      <c r="F1576">
        <v>23.216999999999999</v>
      </c>
      <c r="G1576">
        <v>2017</v>
      </c>
      <c r="J1576">
        <v>1500</v>
      </c>
      <c r="L1576">
        <v>17283</v>
      </c>
      <c r="AR1576">
        <v>4434</v>
      </c>
    </row>
    <row r="1577" spans="1:52" hidden="1" x14ac:dyDescent="0.25">
      <c r="A1577" t="s">
        <v>28</v>
      </c>
      <c r="B1577" t="s">
        <v>79</v>
      </c>
      <c r="C1577" t="s">
        <v>424</v>
      </c>
      <c r="D1577">
        <v>23746</v>
      </c>
      <c r="E1577" t="s">
        <v>707</v>
      </c>
      <c r="F1577">
        <v>3276.5770000000002</v>
      </c>
      <c r="G1577">
        <v>2018</v>
      </c>
      <c r="J1577">
        <v>1500</v>
      </c>
      <c r="L1577">
        <v>240613</v>
      </c>
      <c r="AM1577">
        <v>34464</v>
      </c>
      <c r="AX1577">
        <v>3000000</v>
      </c>
    </row>
    <row r="1578" spans="1:52" hidden="1" x14ac:dyDescent="0.25">
      <c r="A1578" t="s">
        <v>28</v>
      </c>
      <c r="B1578" t="s">
        <v>79</v>
      </c>
      <c r="C1578" t="s">
        <v>432</v>
      </c>
      <c r="D1578">
        <v>23749</v>
      </c>
      <c r="E1578" t="s">
        <v>707</v>
      </c>
      <c r="F1578">
        <v>57.079000000000001</v>
      </c>
      <c r="G1578">
        <v>2018</v>
      </c>
      <c r="L1578">
        <v>57079</v>
      </c>
    </row>
    <row r="1579" spans="1:52" hidden="1" x14ac:dyDescent="0.25">
      <c r="A1579" t="s">
        <v>28</v>
      </c>
      <c r="B1579" t="s">
        <v>79</v>
      </c>
      <c r="C1579" t="s">
        <v>427</v>
      </c>
      <c r="D1579">
        <v>23752</v>
      </c>
      <c r="E1579" t="s">
        <v>708</v>
      </c>
      <c r="F1579">
        <v>700.20699999999999</v>
      </c>
      <c r="G1579">
        <v>2018</v>
      </c>
      <c r="J1579">
        <v>1500</v>
      </c>
      <c r="L1579">
        <v>43325</v>
      </c>
      <c r="O1579">
        <v>250000</v>
      </c>
    </row>
    <row r="1580" spans="1:52" hidden="1" x14ac:dyDescent="0.25">
      <c r="A1580" t="s">
        <v>28</v>
      </c>
      <c r="B1580" t="s">
        <v>79</v>
      </c>
      <c r="C1580" t="s">
        <v>428</v>
      </c>
      <c r="D1580">
        <v>34829</v>
      </c>
      <c r="E1580" t="s">
        <v>707</v>
      </c>
      <c r="F1580">
        <v>43.061999999999998</v>
      </c>
      <c r="G1580">
        <v>2018</v>
      </c>
      <c r="J1580">
        <v>1500</v>
      </c>
      <c r="L1580">
        <v>41046</v>
      </c>
      <c r="AR1580">
        <v>516</v>
      </c>
    </row>
    <row r="1581" spans="1:52" hidden="1" x14ac:dyDescent="0.25">
      <c r="A1581" t="s">
        <v>28</v>
      </c>
      <c r="B1581" t="s">
        <v>79</v>
      </c>
      <c r="C1581" t="s">
        <v>433</v>
      </c>
      <c r="D1581">
        <v>43838</v>
      </c>
      <c r="E1581" t="s">
        <v>707</v>
      </c>
      <c r="F1581">
        <v>24.201000000000001</v>
      </c>
      <c r="G1581">
        <v>2018</v>
      </c>
      <c r="J1581">
        <v>1500</v>
      </c>
      <c r="L1581">
        <v>18016</v>
      </c>
      <c r="AR1581">
        <v>4685</v>
      </c>
    </row>
    <row r="1582" spans="1:52" hidden="1" x14ac:dyDescent="0.25">
      <c r="A1582" t="s">
        <v>28</v>
      </c>
      <c r="B1582" t="s">
        <v>79</v>
      </c>
      <c r="C1582" t="s">
        <v>434</v>
      </c>
      <c r="D1582">
        <v>61135</v>
      </c>
      <c r="E1582" t="s">
        <v>707</v>
      </c>
      <c r="F1582">
        <v>39.289000000000001</v>
      </c>
      <c r="G1582">
        <v>2018</v>
      </c>
      <c r="J1582">
        <v>1500</v>
      </c>
      <c r="L1582">
        <v>37789</v>
      </c>
    </row>
    <row r="1583" spans="1:52" s="4" customFormat="1" hidden="1" x14ac:dyDescent="0.25">
      <c r="A1583" s="4" t="s">
        <v>29</v>
      </c>
      <c r="B1583" s="4" t="s">
        <v>80</v>
      </c>
      <c r="C1583" s="4" t="s">
        <v>435</v>
      </c>
      <c r="D1583" s="4">
        <v>46344</v>
      </c>
      <c r="E1583" s="4" t="s">
        <v>707</v>
      </c>
      <c r="F1583" s="4">
        <v>98.957999999999998</v>
      </c>
      <c r="G1583" s="4">
        <v>2011</v>
      </c>
      <c r="H1583" s="4">
        <v>1</v>
      </c>
      <c r="AZ1583" s="8"/>
    </row>
    <row r="1584" spans="1:52" hidden="1" x14ac:dyDescent="0.25">
      <c r="A1584" t="s">
        <v>29</v>
      </c>
      <c r="B1584" t="s">
        <v>80</v>
      </c>
      <c r="C1584" t="s">
        <v>436</v>
      </c>
      <c r="D1584">
        <v>46345</v>
      </c>
      <c r="E1584" t="s">
        <v>707</v>
      </c>
      <c r="F1584">
        <v>6.3049999999999997</v>
      </c>
      <c r="G1584">
        <v>2011</v>
      </c>
      <c r="J1584">
        <v>6305</v>
      </c>
    </row>
    <row r="1585" spans="1:52" hidden="1" x14ac:dyDescent="0.25">
      <c r="A1585" t="s">
        <v>29</v>
      </c>
      <c r="B1585" t="s">
        <v>80</v>
      </c>
      <c r="C1585" t="s">
        <v>437</v>
      </c>
      <c r="D1585">
        <v>46346</v>
      </c>
      <c r="E1585" t="s">
        <v>707</v>
      </c>
      <c r="F1585">
        <v>61.963000000000001</v>
      </c>
      <c r="G1585">
        <v>2011</v>
      </c>
      <c r="J1585">
        <v>27928</v>
      </c>
      <c r="AY1585">
        <v>34000</v>
      </c>
      <c r="AZ1585" s="7" t="s">
        <v>765</v>
      </c>
    </row>
    <row r="1586" spans="1:52" hidden="1" x14ac:dyDescent="0.25">
      <c r="A1586" t="s">
        <v>29</v>
      </c>
      <c r="B1586" t="s">
        <v>80</v>
      </c>
      <c r="C1586" t="s">
        <v>438</v>
      </c>
      <c r="D1586">
        <v>46347</v>
      </c>
      <c r="E1586" t="s">
        <v>708</v>
      </c>
      <c r="F1586">
        <v>200.42099999999999</v>
      </c>
      <c r="G1586">
        <v>2011</v>
      </c>
      <c r="J1586">
        <v>70225</v>
      </c>
      <c r="L1586">
        <f>10019+15008+19274</f>
        <v>44301</v>
      </c>
      <c r="S1586" t="s">
        <v>764</v>
      </c>
      <c r="AY1586">
        <v>59750</v>
      </c>
      <c r="AZ1586" s="7" t="s">
        <v>765</v>
      </c>
    </row>
    <row r="1587" spans="1:52" hidden="1" x14ac:dyDescent="0.25">
      <c r="A1587" t="s">
        <v>29</v>
      </c>
      <c r="B1587" t="s">
        <v>80</v>
      </c>
      <c r="C1587" t="s">
        <v>435</v>
      </c>
      <c r="D1587">
        <v>46344</v>
      </c>
      <c r="E1587" t="s">
        <v>707</v>
      </c>
      <c r="F1587">
        <v>34.915999999999997</v>
      </c>
      <c r="G1587">
        <v>2012</v>
      </c>
      <c r="H1587">
        <v>1</v>
      </c>
    </row>
    <row r="1588" spans="1:52" hidden="1" x14ac:dyDescent="0.25">
      <c r="A1588" t="s">
        <v>29</v>
      </c>
      <c r="B1588" t="s">
        <v>80</v>
      </c>
      <c r="C1588" t="s">
        <v>436</v>
      </c>
      <c r="D1588">
        <v>46345</v>
      </c>
      <c r="E1588" t="s">
        <v>707</v>
      </c>
      <c r="F1588">
        <v>64.087000000000003</v>
      </c>
      <c r="G1588">
        <v>2012</v>
      </c>
      <c r="J1588">
        <v>35091</v>
      </c>
      <c r="AB1588" t="s">
        <v>764</v>
      </c>
      <c r="AM1588" t="s">
        <v>764</v>
      </c>
      <c r="AP1588">
        <v>5877</v>
      </c>
    </row>
    <row r="1589" spans="1:52" hidden="1" x14ac:dyDescent="0.25">
      <c r="A1589" t="s">
        <v>29</v>
      </c>
      <c r="B1589" t="s">
        <v>80</v>
      </c>
      <c r="C1589" t="s">
        <v>437</v>
      </c>
      <c r="D1589">
        <v>46346</v>
      </c>
      <c r="E1589" t="s">
        <v>707</v>
      </c>
      <c r="F1589">
        <v>39.225999999999999</v>
      </c>
      <c r="G1589">
        <v>2012</v>
      </c>
      <c r="J1589">
        <v>28726</v>
      </c>
      <c r="S1589" t="s">
        <v>764</v>
      </c>
      <c r="AY1589">
        <v>8500</v>
      </c>
    </row>
    <row r="1590" spans="1:52" hidden="1" x14ac:dyDescent="0.25">
      <c r="A1590" t="s">
        <v>29</v>
      </c>
      <c r="B1590" t="s">
        <v>80</v>
      </c>
      <c r="C1590" t="s">
        <v>438</v>
      </c>
      <c r="D1590">
        <v>46347</v>
      </c>
      <c r="E1590" t="s">
        <v>708</v>
      </c>
      <c r="F1590">
        <v>152.95699999999999</v>
      </c>
      <c r="G1590">
        <v>2012</v>
      </c>
      <c r="J1590">
        <v>86665</v>
      </c>
      <c r="L1590">
        <f>10019+15008+19274</f>
        <v>44301</v>
      </c>
      <c r="S1590" t="s">
        <v>764</v>
      </c>
      <c r="AB1590" t="s">
        <v>764</v>
      </c>
      <c r="AY1590">
        <v>15250</v>
      </c>
    </row>
    <row r="1591" spans="1:52" hidden="1" x14ac:dyDescent="0.25">
      <c r="A1591" t="s">
        <v>29</v>
      </c>
      <c r="B1591" t="s">
        <v>80</v>
      </c>
      <c r="C1591" t="s">
        <v>439</v>
      </c>
      <c r="D1591">
        <v>46348</v>
      </c>
      <c r="E1591" t="s">
        <v>707</v>
      </c>
      <c r="F1591">
        <v>12.395</v>
      </c>
      <c r="G1591">
        <v>2012</v>
      </c>
      <c r="J1591">
        <v>7395</v>
      </c>
      <c r="AB1591" t="s">
        <v>764</v>
      </c>
    </row>
    <row r="1592" spans="1:52" hidden="1" x14ac:dyDescent="0.25">
      <c r="A1592" t="s">
        <v>29</v>
      </c>
      <c r="B1592" t="s">
        <v>80</v>
      </c>
      <c r="C1592" t="s">
        <v>440</v>
      </c>
      <c r="D1592">
        <v>46802</v>
      </c>
      <c r="E1592" t="s">
        <v>707</v>
      </c>
      <c r="F1592">
        <v>36.526000000000003</v>
      </c>
      <c r="G1592">
        <v>2012</v>
      </c>
      <c r="J1592">
        <v>23517</v>
      </c>
      <c r="S1592" t="s">
        <v>764</v>
      </c>
      <c r="AY1592">
        <v>8009</v>
      </c>
    </row>
    <row r="1593" spans="1:52" hidden="1" x14ac:dyDescent="0.25">
      <c r="A1593" t="s">
        <v>29</v>
      </c>
      <c r="B1593" t="s">
        <v>80</v>
      </c>
      <c r="C1593" t="s">
        <v>435</v>
      </c>
      <c r="D1593">
        <v>46344</v>
      </c>
      <c r="E1593" t="s">
        <v>707</v>
      </c>
      <c r="F1593">
        <v>126.404</v>
      </c>
      <c r="G1593">
        <v>2013</v>
      </c>
      <c r="J1593">
        <v>24868</v>
      </c>
      <c r="AB1593" t="s">
        <v>764</v>
      </c>
      <c r="AM1593" t="s">
        <v>764</v>
      </c>
      <c r="AP1593">
        <v>4993</v>
      </c>
    </row>
    <row r="1594" spans="1:52" hidden="1" x14ac:dyDescent="0.25">
      <c r="A1594" t="s">
        <v>29</v>
      </c>
      <c r="B1594" t="s">
        <v>80</v>
      </c>
      <c r="C1594" t="s">
        <v>436</v>
      </c>
      <c r="D1594">
        <v>46345</v>
      </c>
      <c r="E1594" t="s">
        <v>707</v>
      </c>
      <c r="F1594">
        <v>32.475000000000001</v>
      </c>
      <c r="G1594">
        <v>2013</v>
      </c>
      <c r="J1594">
        <v>28906</v>
      </c>
      <c r="AP1594">
        <v>3268</v>
      </c>
    </row>
    <row r="1595" spans="1:52" hidden="1" x14ac:dyDescent="0.25">
      <c r="A1595" t="s">
        <v>29</v>
      </c>
      <c r="B1595" t="s">
        <v>80</v>
      </c>
      <c r="C1595" t="s">
        <v>438</v>
      </c>
      <c r="D1595">
        <v>46347</v>
      </c>
      <c r="E1595" t="s">
        <v>708</v>
      </c>
      <c r="F1595">
        <v>267.286</v>
      </c>
      <c r="G1595">
        <v>2013</v>
      </c>
      <c r="J1595">
        <v>53607</v>
      </c>
      <c r="AB1595">
        <v>161514</v>
      </c>
      <c r="AP1595">
        <v>52165</v>
      </c>
    </row>
    <row r="1596" spans="1:52" hidden="1" x14ac:dyDescent="0.25">
      <c r="A1596" t="s">
        <v>29</v>
      </c>
      <c r="B1596" t="s">
        <v>80</v>
      </c>
      <c r="C1596" t="s">
        <v>439</v>
      </c>
      <c r="D1596">
        <v>46348</v>
      </c>
      <c r="E1596" t="s">
        <v>707</v>
      </c>
      <c r="F1596">
        <v>27.009</v>
      </c>
      <c r="G1596">
        <v>2013</v>
      </c>
      <c r="J1596">
        <v>27009</v>
      </c>
    </row>
    <row r="1597" spans="1:52" hidden="1" x14ac:dyDescent="0.25">
      <c r="A1597" t="s">
        <v>29</v>
      </c>
      <c r="B1597" t="s">
        <v>80</v>
      </c>
      <c r="C1597" t="s">
        <v>441</v>
      </c>
      <c r="D1597">
        <v>48510</v>
      </c>
      <c r="E1597" t="s">
        <v>707</v>
      </c>
      <c r="F1597">
        <v>47.843000000000004</v>
      </c>
      <c r="G1597">
        <v>2013</v>
      </c>
      <c r="J1597">
        <v>7500</v>
      </c>
      <c r="AB1597">
        <v>34644</v>
      </c>
      <c r="AP1597">
        <v>5699</v>
      </c>
    </row>
    <row r="1598" spans="1:52" hidden="1" x14ac:dyDescent="0.25">
      <c r="A1598" t="s">
        <v>29</v>
      </c>
      <c r="B1598" t="s">
        <v>80</v>
      </c>
      <c r="C1598" t="s">
        <v>435</v>
      </c>
      <c r="D1598">
        <v>46344</v>
      </c>
      <c r="E1598" t="s">
        <v>707</v>
      </c>
      <c r="F1598">
        <v>337.53100000000001</v>
      </c>
      <c r="G1598">
        <v>2014</v>
      </c>
      <c r="J1598">
        <v>29415</v>
      </c>
      <c r="AB1598">
        <v>232976</v>
      </c>
      <c r="AP1598">
        <v>75140</v>
      </c>
    </row>
    <row r="1599" spans="1:52" hidden="1" x14ac:dyDescent="0.25">
      <c r="A1599" t="s">
        <v>29</v>
      </c>
      <c r="B1599" t="s">
        <v>80</v>
      </c>
      <c r="C1599" t="s">
        <v>438</v>
      </c>
      <c r="D1599">
        <v>46347</v>
      </c>
      <c r="E1599" t="s">
        <v>708</v>
      </c>
      <c r="F1599">
        <v>70.400000000000006</v>
      </c>
      <c r="G1599">
        <v>2014</v>
      </c>
      <c r="J1599">
        <v>68400</v>
      </c>
      <c r="AM1599" t="s">
        <v>764</v>
      </c>
    </row>
    <row r="1600" spans="1:52" hidden="1" x14ac:dyDescent="0.25">
      <c r="A1600" t="s">
        <v>29</v>
      </c>
      <c r="B1600" t="s">
        <v>80</v>
      </c>
      <c r="C1600" t="s">
        <v>441</v>
      </c>
      <c r="D1600">
        <v>48510</v>
      </c>
      <c r="E1600" t="s">
        <v>707</v>
      </c>
      <c r="F1600">
        <v>22.975000000000001</v>
      </c>
      <c r="G1600">
        <v>2014</v>
      </c>
      <c r="J1600">
        <v>20873</v>
      </c>
      <c r="AB1600">
        <v>2102</v>
      </c>
    </row>
    <row r="1601" spans="1:52" hidden="1" x14ac:dyDescent="0.25">
      <c r="A1601" t="s">
        <v>29</v>
      </c>
      <c r="B1601" t="s">
        <v>80</v>
      </c>
      <c r="C1601" t="s">
        <v>442</v>
      </c>
      <c r="D1601">
        <v>50168</v>
      </c>
      <c r="E1601" t="s">
        <v>707</v>
      </c>
      <c r="F1601">
        <v>102.057</v>
      </c>
      <c r="G1601">
        <v>2014</v>
      </c>
      <c r="J1601">
        <v>17972</v>
      </c>
      <c r="AB1601">
        <v>63244</v>
      </c>
      <c r="AM1601" t="s">
        <v>764</v>
      </c>
      <c r="AP1601">
        <v>20391</v>
      </c>
    </row>
    <row r="1602" spans="1:52" hidden="1" x14ac:dyDescent="0.25">
      <c r="A1602" t="s">
        <v>29</v>
      </c>
      <c r="B1602" t="s">
        <v>80</v>
      </c>
      <c r="C1602" t="s">
        <v>443</v>
      </c>
      <c r="D1602">
        <v>50169</v>
      </c>
      <c r="E1602" t="s">
        <v>707</v>
      </c>
      <c r="F1602">
        <v>90.552000000000007</v>
      </c>
      <c r="G1602">
        <v>2014</v>
      </c>
      <c r="J1602">
        <v>6458</v>
      </c>
      <c r="AB1602">
        <v>65905</v>
      </c>
      <c r="AP1602">
        <v>18189</v>
      </c>
    </row>
    <row r="1603" spans="1:52" hidden="1" x14ac:dyDescent="0.25">
      <c r="A1603" t="s">
        <v>29</v>
      </c>
      <c r="B1603" t="s">
        <v>80</v>
      </c>
      <c r="C1603" t="s">
        <v>435</v>
      </c>
      <c r="D1603">
        <v>46344</v>
      </c>
      <c r="E1603" t="s">
        <v>707</v>
      </c>
      <c r="F1603">
        <v>42.811</v>
      </c>
      <c r="G1603">
        <v>2015</v>
      </c>
      <c r="J1603">
        <v>31840</v>
      </c>
      <c r="AP1603">
        <v>10971</v>
      </c>
    </row>
    <row r="1604" spans="1:52" hidden="1" x14ac:dyDescent="0.25">
      <c r="A1604" t="s">
        <v>29</v>
      </c>
      <c r="B1604" t="s">
        <v>80</v>
      </c>
      <c r="C1604" t="s">
        <v>438</v>
      </c>
      <c r="D1604">
        <v>46347</v>
      </c>
      <c r="E1604" t="s">
        <v>708</v>
      </c>
      <c r="F1604">
        <v>76.501999999999995</v>
      </c>
      <c r="G1604">
        <v>2015</v>
      </c>
      <c r="J1604">
        <v>76502</v>
      </c>
    </row>
    <row r="1605" spans="1:52" hidden="1" x14ac:dyDescent="0.25">
      <c r="A1605" t="s">
        <v>29</v>
      </c>
      <c r="B1605" t="s">
        <v>80</v>
      </c>
      <c r="C1605" t="s">
        <v>441</v>
      </c>
      <c r="D1605">
        <v>48510</v>
      </c>
      <c r="E1605" t="s">
        <v>707</v>
      </c>
      <c r="F1605">
        <v>35.713999999999999</v>
      </c>
      <c r="G1605">
        <v>2015</v>
      </c>
      <c r="J1605">
        <v>33218</v>
      </c>
      <c r="AM1605">
        <v>2496</v>
      </c>
    </row>
    <row r="1606" spans="1:52" hidden="1" x14ac:dyDescent="0.25">
      <c r="A1606" t="s">
        <v>29</v>
      </c>
      <c r="B1606" t="s">
        <v>80</v>
      </c>
      <c r="C1606" t="s">
        <v>442</v>
      </c>
      <c r="D1606">
        <v>50168</v>
      </c>
      <c r="E1606" t="s">
        <v>707</v>
      </c>
      <c r="F1606">
        <v>81.156000000000006</v>
      </c>
      <c r="G1606">
        <v>2015</v>
      </c>
      <c r="J1606">
        <v>64664</v>
      </c>
      <c r="AM1606">
        <v>1860</v>
      </c>
      <c r="AP1606">
        <v>14632</v>
      </c>
    </row>
    <row r="1607" spans="1:52" hidden="1" x14ac:dyDescent="0.25">
      <c r="A1607" t="s">
        <v>29</v>
      </c>
      <c r="B1607" t="s">
        <v>80</v>
      </c>
      <c r="C1607" t="s">
        <v>443</v>
      </c>
      <c r="D1607">
        <v>50169</v>
      </c>
      <c r="E1607" t="s">
        <v>707</v>
      </c>
      <c r="F1607">
        <v>63.735999999999997</v>
      </c>
      <c r="G1607">
        <v>2015</v>
      </c>
      <c r="J1607">
        <v>14695</v>
      </c>
      <c r="AB1607">
        <v>17638</v>
      </c>
      <c r="AM1607">
        <f>19857-17638</f>
        <v>2219</v>
      </c>
      <c r="AP1607">
        <v>29184</v>
      </c>
    </row>
    <row r="1608" spans="1:52" s="4" customFormat="1" hidden="1" x14ac:dyDescent="0.25">
      <c r="A1608" s="4" t="s">
        <v>30</v>
      </c>
      <c r="B1608" s="4" t="s">
        <v>81</v>
      </c>
      <c r="C1608" s="4" t="s">
        <v>444</v>
      </c>
      <c r="D1608" s="4">
        <v>10552</v>
      </c>
      <c r="E1608" s="4" t="s">
        <v>707</v>
      </c>
      <c r="F1608" s="4">
        <v>77.762</v>
      </c>
      <c r="G1608" s="4">
        <v>2006</v>
      </c>
      <c r="J1608" s="4">
        <f>6600</f>
        <v>6600</v>
      </c>
      <c r="L1608" s="4">
        <f>64956+1806</f>
        <v>66762</v>
      </c>
      <c r="AN1608" s="4">
        <v>4400</v>
      </c>
      <c r="AZ1608" s="8"/>
    </row>
    <row r="1609" spans="1:52" hidden="1" x14ac:dyDescent="0.25">
      <c r="A1609" t="s">
        <v>30</v>
      </c>
      <c r="B1609" t="s">
        <v>81</v>
      </c>
      <c r="C1609" t="s">
        <v>445</v>
      </c>
      <c r="D1609">
        <v>16892</v>
      </c>
      <c r="E1609" t="s">
        <v>708</v>
      </c>
      <c r="F1609">
        <v>40.866</v>
      </c>
      <c r="G1609">
        <v>2006</v>
      </c>
      <c r="J1609">
        <f>6600+2346</f>
        <v>8946</v>
      </c>
      <c r="L1609">
        <f>16390+630</f>
        <v>17020</v>
      </c>
      <c r="Q1609">
        <v>10500</v>
      </c>
      <c r="AN1609">
        <v>4400</v>
      </c>
    </row>
    <row r="1610" spans="1:52" hidden="1" x14ac:dyDescent="0.25">
      <c r="A1610" t="s">
        <v>30</v>
      </c>
      <c r="B1610" t="s">
        <v>81</v>
      </c>
      <c r="C1610" t="s">
        <v>446</v>
      </c>
      <c r="D1610">
        <v>19536</v>
      </c>
      <c r="E1610" t="s">
        <v>707</v>
      </c>
      <c r="F1610">
        <v>43.476999999999997</v>
      </c>
      <c r="G1610">
        <v>2006</v>
      </c>
      <c r="J1610">
        <f>5921+2298</f>
        <v>8219</v>
      </c>
      <c r="L1610">
        <f>22128+630</f>
        <v>22758</v>
      </c>
      <c r="Q1610">
        <v>8100</v>
      </c>
      <c r="AN1610">
        <v>4400</v>
      </c>
    </row>
    <row r="1611" spans="1:52" hidden="1" x14ac:dyDescent="0.25">
      <c r="A1611" t="s">
        <v>30</v>
      </c>
      <c r="B1611" t="s">
        <v>81</v>
      </c>
      <c r="C1611" t="s">
        <v>447</v>
      </c>
      <c r="D1611">
        <v>31104</v>
      </c>
      <c r="E1611" t="s">
        <v>707</v>
      </c>
      <c r="F1611">
        <v>32.78</v>
      </c>
      <c r="G1611">
        <v>2006</v>
      </c>
      <c r="J1611">
        <f>5220+2247</f>
        <v>7467</v>
      </c>
      <c r="L1611">
        <f>13848+966</f>
        <v>14814</v>
      </c>
      <c r="Q1611">
        <v>10500</v>
      </c>
    </row>
    <row r="1612" spans="1:52" hidden="1" x14ac:dyDescent="0.25">
      <c r="A1612" t="s">
        <v>30</v>
      </c>
      <c r="B1612" t="s">
        <v>81</v>
      </c>
      <c r="C1612" t="s">
        <v>448</v>
      </c>
      <c r="D1612">
        <v>33357</v>
      </c>
      <c r="E1612" t="s">
        <v>707</v>
      </c>
      <c r="F1612">
        <v>14.256</v>
      </c>
      <c r="G1612">
        <v>2006</v>
      </c>
      <c r="J1612">
        <v>4412</v>
      </c>
      <c r="L1612">
        <f>1500+544</f>
        <v>2044</v>
      </c>
      <c r="Q1612">
        <v>7800</v>
      </c>
    </row>
    <row r="1613" spans="1:52" hidden="1" x14ac:dyDescent="0.25">
      <c r="A1613" t="s">
        <v>30</v>
      </c>
      <c r="B1613" t="s">
        <v>81</v>
      </c>
      <c r="C1613" t="s">
        <v>444</v>
      </c>
      <c r="D1613">
        <v>10552</v>
      </c>
      <c r="E1613" t="s">
        <v>707</v>
      </c>
      <c r="F1613">
        <v>570.77499999999998</v>
      </c>
      <c r="G1613">
        <v>2007</v>
      </c>
      <c r="H1613">
        <v>1</v>
      </c>
    </row>
    <row r="1614" spans="1:52" hidden="1" x14ac:dyDescent="0.25">
      <c r="A1614" t="s">
        <v>30</v>
      </c>
      <c r="B1614" t="s">
        <v>81</v>
      </c>
      <c r="C1614" t="s">
        <v>445</v>
      </c>
      <c r="D1614">
        <v>16892</v>
      </c>
      <c r="E1614" t="s">
        <v>708</v>
      </c>
      <c r="F1614">
        <v>2570.0030000000002</v>
      </c>
      <c r="G1614">
        <v>2007</v>
      </c>
      <c r="H1614">
        <v>1</v>
      </c>
    </row>
    <row r="1615" spans="1:52" hidden="1" x14ac:dyDescent="0.25">
      <c r="A1615" t="s">
        <v>30</v>
      </c>
      <c r="B1615" t="s">
        <v>81</v>
      </c>
      <c r="C1615" t="s">
        <v>446</v>
      </c>
      <c r="D1615">
        <v>19536</v>
      </c>
      <c r="E1615" t="s">
        <v>707</v>
      </c>
      <c r="F1615">
        <v>1882.0609999999999</v>
      </c>
      <c r="G1615">
        <v>2007</v>
      </c>
      <c r="H1615">
        <v>1</v>
      </c>
    </row>
    <row r="1616" spans="1:52" hidden="1" x14ac:dyDescent="0.25">
      <c r="A1616" t="s">
        <v>30</v>
      </c>
      <c r="B1616" t="s">
        <v>81</v>
      </c>
      <c r="C1616" t="s">
        <v>447</v>
      </c>
      <c r="D1616">
        <v>31104</v>
      </c>
      <c r="E1616" t="s">
        <v>707</v>
      </c>
      <c r="F1616">
        <v>209.36699999999999</v>
      </c>
      <c r="G1616">
        <v>2007</v>
      </c>
      <c r="H1616">
        <v>1</v>
      </c>
    </row>
    <row r="1617" spans="1:52" hidden="1" x14ac:dyDescent="0.25">
      <c r="A1617" t="s">
        <v>30</v>
      </c>
      <c r="B1617" t="s">
        <v>81</v>
      </c>
      <c r="C1617" t="s">
        <v>449</v>
      </c>
      <c r="D1617">
        <v>37005</v>
      </c>
      <c r="E1617" t="s">
        <v>707</v>
      </c>
      <c r="F1617">
        <v>233.64599999999999</v>
      </c>
      <c r="G1617">
        <v>2007</v>
      </c>
      <c r="H1617">
        <v>1</v>
      </c>
    </row>
    <row r="1618" spans="1:52" hidden="1" x14ac:dyDescent="0.25">
      <c r="A1618" t="s">
        <v>30</v>
      </c>
      <c r="B1618" t="s">
        <v>81</v>
      </c>
      <c r="C1618" t="s">
        <v>450</v>
      </c>
      <c r="D1618">
        <v>38408</v>
      </c>
      <c r="E1618" t="s">
        <v>707</v>
      </c>
      <c r="F1618">
        <v>31.821999999999999</v>
      </c>
      <c r="G1618">
        <v>2007</v>
      </c>
      <c r="H1618">
        <v>1</v>
      </c>
    </row>
    <row r="1619" spans="1:52" hidden="1" x14ac:dyDescent="0.25">
      <c r="A1619" t="s">
        <v>30</v>
      </c>
      <c r="B1619" t="s">
        <v>81</v>
      </c>
      <c r="C1619" t="s">
        <v>447</v>
      </c>
      <c r="D1619">
        <v>31104</v>
      </c>
      <c r="E1619" t="s">
        <v>707</v>
      </c>
      <c r="F1619">
        <v>34.03</v>
      </c>
      <c r="G1619">
        <v>2008</v>
      </c>
      <c r="H1619">
        <v>1</v>
      </c>
    </row>
    <row r="1620" spans="1:52" hidden="1" x14ac:dyDescent="0.25">
      <c r="A1620" t="s">
        <v>30</v>
      </c>
      <c r="B1620" t="s">
        <v>81</v>
      </c>
      <c r="C1620" t="s">
        <v>449</v>
      </c>
      <c r="D1620">
        <v>37005</v>
      </c>
      <c r="E1620" t="s">
        <v>708</v>
      </c>
      <c r="F1620">
        <v>46.493000000000002</v>
      </c>
      <c r="G1620">
        <v>2008</v>
      </c>
      <c r="H1620">
        <v>1</v>
      </c>
    </row>
    <row r="1621" spans="1:52" hidden="1" x14ac:dyDescent="0.25">
      <c r="A1621" t="s">
        <v>30</v>
      </c>
      <c r="B1621" t="s">
        <v>81</v>
      </c>
      <c r="C1621" t="s">
        <v>450</v>
      </c>
      <c r="D1621">
        <v>38408</v>
      </c>
      <c r="E1621" t="s">
        <v>707</v>
      </c>
      <c r="F1621">
        <v>103.872</v>
      </c>
      <c r="G1621">
        <v>2008</v>
      </c>
      <c r="H1621">
        <v>1</v>
      </c>
    </row>
    <row r="1622" spans="1:52" s="4" customFormat="1" hidden="1" x14ac:dyDescent="0.25">
      <c r="A1622" s="4" t="s">
        <v>31</v>
      </c>
      <c r="B1622" s="4" t="s">
        <v>82</v>
      </c>
      <c r="C1622" s="4" t="s">
        <v>451</v>
      </c>
      <c r="D1622" s="4">
        <v>30985</v>
      </c>
      <c r="E1622" s="4" t="s">
        <v>708</v>
      </c>
      <c r="F1622" s="4">
        <v>229.79</v>
      </c>
      <c r="G1622" s="4">
        <v>2006</v>
      </c>
      <c r="J1622" s="4">
        <f>112500+47978</f>
        <v>160478</v>
      </c>
      <c r="L1622" s="4" t="s">
        <v>766</v>
      </c>
      <c r="Q1622" s="4">
        <v>25000</v>
      </c>
      <c r="X1622" s="4" t="s">
        <v>766</v>
      </c>
      <c r="AN1622" s="4" t="s">
        <v>766</v>
      </c>
      <c r="AR1622" s="4" t="s">
        <v>766</v>
      </c>
      <c r="AZ1622" s="8"/>
    </row>
    <row r="1623" spans="1:52" hidden="1" x14ac:dyDescent="0.25">
      <c r="A1623" t="s">
        <v>31</v>
      </c>
      <c r="B1623" t="s">
        <v>82</v>
      </c>
      <c r="C1623" t="s">
        <v>452</v>
      </c>
      <c r="D1623">
        <v>30986</v>
      </c>
      <c r="E1623" t="s">
        <v>707</v>
      </c>
      <c r="F1623">
        <v>171.61099999999999</v>
      </c>
      <c r="G1623">
        <v>2006</v>
      </c>
      <c r="J1623">
        <f>40020+15537</f>
        <v>55557</v>
      </c>
      <c r="Q1623">
        <v>18754</v>
      </c>
      <c r="AB1623">
        <v>89800</v>
      </c>
      <c r="AN1623" t="s">
        <v>766</v>
      </c>
    </row>
    <row r="1624" spans="1:52" hidden="1" x14ac:dyDescent="0.25">
      <c r="A1624" t="s">
        <v>31</v>
      </c>
      <c r="B1624" t="s">
        <v>82</v>
      </c>
      <c r="C1624" t="s">
        <v>453</v>
      </c>
      <c r="D1624">
        <v>30987</v>
      </c>
      <c r="E1624" t="s">
        <v>707</v>
      </c>
      <c r="F1624">
        <v>75.319999999999993</v>
      </c>
      <c r="G1624">
        <v>2006</v>
      </c>
      <c r="J1624">
        <f>45235+12246</f>
        <v>57481</v>
      </c>
      <c r="Q1624">
        <v>12750</v>
      </c>
      <c r="AN1624" t="s">
        <v>766</v>
      </c>
    </row>
    <row r="1625" spans="1:52" hidden="1" x14ac:dyDescent="0.25">
      <c r="A1625" t="s">
        <v>31</v>
      </c>
      <c r="B1625" t="s">
        <v>82</v>
      </c>
      <c r="C1625" t="s">
        <v>454</v>
      </c>
      <c r="D1625">
        <v>30988</v>
      </c>
      <c r="E1625" t="s">
        <v>707</v>
      </c>
      <c r="F1625">
        <v>34.317999999999998</v>
      </c>
      <c r="G1625">
        <v>2006</v>
      </c>
      <c r="J1625">
        <f>12250+4400</f>
        <v>16650</v>
      </c>
      <c r="Q1625">
        <v>14250</v>
      </c>
      <c r="AN1625" t="s">
        <v>766</v>
      </c>
    </row>
    <row r="1626" spans="1:52" hidden="1" x14ac:dyDescent="0.25">
      <c r="A1626" t="s">
        <v>31</v>
      </c>
      <c r="B1626" t="s">
        <v>82</v>
      </c>
      <c r="C1626" t="s">
        <v>455</v>
      </c>
      <c r="D1626">
        <v>32794</v>
      </c>
      <c r="E1626" t="s">
        <v>707</v>
      </c>
      <c r="F1626">
        <v>17.088000000000001</v>
      </c>
      <c r="G1626">
        <v>2006</v>
      </c>
      <c r="J1626">
        <f>4400</f>
        <v>4400</v>
      </c>
      <c r="Q1626">
        <v>12250</v>
      </c>
      <c r="AN1626" t="s">
        <v>766</v>
      </c>
    </row>
    <row r="1627" spans="1:52" hidden="1" x14ac:dyDescent="0.25">
      <c r="A1627" t="s">
        <v>31</v>
      </c>
      <c r="B1627" t="s">
        <v>82</v>
      </c>
      <c r="C1627" t="s">
        <v>456</v>
      </c>
      <c r="D1627">
        <v>32795</v>
      </c>
      <c r="E1627" t="s">
        <v>707</v>
      </c>
      <c r="F1627">
        <v>401.91300000000001</v>
      </c>
      <c r="G1627">
        <v>2006</v>
      </c>
      <c r="H1627">
        <v>1</v>
      </c>
    </row>
    <row r="1628" spans="1:52" s="4" customFormat="1" hidden="1" x14ac:dyDescent="0.25">
      <c r="A1628" s="4" t="s">
        <v>32</v>
      </c>
      <c r="B1628" s="4" t="s">
        <v>83</v>
      </c>
      <c r="C1628" s="4" t="s">
        <v>457</v>
      </c>
      <c r="D1628" s="4">
        <v>21522</v>
      </c>
      <c r="E1628" s="4" t="s">
        <v>707</v>
      </c>
      <c r="F1628" s="4">
        <v>2273.665</v>
      </c>
      <c r="G1628" s="4">
        <v>2006</v>
      </c>
      <c r="J1628" s="4">
        <f>9900+5342</f>
        <v>15242</v>
      </c>
      <c r="L1628" s="4">
        <v>1151</v>
      </c>
      <c r="Q1628" s="4">
        <f>5538</f>
        <v>5538</v>
      </c>
      <c r="X1628" s="4">
        <v>1940</v>
      </c>
      <c r="AX1628" s="4">
        <v>2249794</v>
      </c>
      <c r="AZ1628" s="8"/>
    </row>
    <row r="1629" spans="1:52" hidden="1" x14ac:dyDescent="0.25">
      <c r="A1629" t="s">
        <v>32</v>
      </c>
      <c r="B1629" t="s">
        <v>83</v>
      </c>
      <c r="C1629" t="s">
        <v>458</v>
      </c>
      <c r="D1629">
        <v>21523</v>
      </c>
      <c r="E1629" t="s">
        <v>707</v>
      </c>
      <c r="F1629">
        <v>43.183</v>
      </c>
      <c r="G1629">
        <v>2006</v>
      </c>
      <c r="H1629">
        <v>1</v>
      </c>
    </row>
    <row r="1630" spans="1:52" hidden="1" x14ac:dyDescent="0.25">
      <c r="A1630" t="s">
        <v>32</v>
      </c>
      <c r="B1630" t="s">
        <v>83</v>
      </c>
      <c r="C1630" t="s">
        <v>459</v>
      </c>
      <c r="D1630">
        <v>23679</v>
      </c>
      <c r="E1630" t="s">
        <v>707</v>
      </c>
      <c r="F1630">
        <v>99.567999999999998</v>
      </c>
      <c r="G1630">
        <v>2006</v>
      </c>
      <c r="J1630">
        <f>9900+25064</f>
        <v>34964</v>
      </c>
      <c r="L1630">
        <v>1540</v>
      </c>
      <c r="Q1630">
        <f>12000+876</f>
        <v>12876</v>
      </c>
      <c r="X1630">
        <f>38672+9894</f>
        <v>48566</v>
      </c>
      <c r="AL1630">
        <v>492</v>
      </c>
      <c r="AM1630">
        <v>1130</v>
      </c>
    </row>
    <row r="1631" spans="1:52" hidden="1" x14ac:dyDescent="0.25">
      <c r="A1631" t="s">
        <v>32</v>
      </c>
      <c r="B1631" t="s">
        <v>83</v>
      </c>
      <c r="C1631" t="s">
        <v>460</v>
      </c>
      <c r="D1631">
        <v>27377</v>
      </c>
      <c r="E1631" t="s">
        <v>708</v>
      </c>
      <c r="F1631">
        <v>164.27</v>
      </c>
      <c r="G1631">
        <v>2006</v>
      </c>
      <c r="J1631">
        <f>9900+24597</f>
        <v>34497</v>
      </c>
      <c r="L1631">
        <v>1948</v>
      </c>
      <c r="O1631">
        <v>101309</v>
      </c>
      <c r="Q1631">
        <f>12000+876</f>
        <v>12876</v>
      </c>
      <c r="X1631">
        <f>11653</f>
        <v>11653</v>
      </c>
      <c r="AL1631">
        <v>317</v>
      </c>
      <c r="AM1631">
        <v>1670</v>
      </c>
    </row>
    <row r="1632" spans="1:52" hidden="1" x14ac:dyDescent="0.25">
      <c r="A1632" t="s">
        <v>32</v>
      </c>
      <c r="B1632" t="s">
        <v>83</v>
      </c>
      <c r="C1632" t="s">
        <v>461</v>
      </c>
      <c r="D1632">
        <v>29042</v>
      </c>
      <c r="E1632" t="s">
        <v>707</v>
      </c>
      <c r="F1632">
        <v>77.111999999999995</v>
      </c>
      <c r="G1632">
        <v>2006</v>
      </c>
      <c r="J1632">
        <f>9900+18699</f>
        <v>28599</v>
      </c>
      <c r="L1632">
        <v>1151</v>
      </c>
      <c r="O1632">
        <v>11970</v>
      </c>
      <c r="Q1632">
        <v>12000</v>
      </c>
      <c r="X1632">
        <f>5916</f>
        <v>5916</v>
      </c>
      <c r="AL1632">
        <v>317</v>
      </c>
      <c r="AM1632">
        <v>659</v>
      </c>
    </row>
    <row r="1633" spans="1:40" hidden="1" x14ac:dyDescent="0.25">
      <c r="A1633" t="s">
        <v>32</v>
      </c>
      <c r="B1633" t="s">
        <v>83</v>
      </c>
      <c r="C1633" t="s">
        <v>462</v>
      </c>
      <c r="D1633">
        <v>30534</v>
      </c>
      <c r="E1633" t="s">
        <v>707</v>
      </c>
      <c r="F1633">
        <v>44.424999999999997</v>
      </c>
      <c r="G1633">
        <v>2006</v>
      </c>
      <c r="J1633">
        <f>9900+15874</f>
        <v>25774</v>
      </c>
      <c r="L1633">
        <v>1068</v>
      </c>
      <c r="Q1633">
        <v>12000</v>
      </c>
      <c r="X1633">
        <f>4650</f>
        <v>4650</v>
      </c>
      <c r="AL1633">
        <v>250</v>
      </c>
      <c r="AM1633">
        <v>683</v>
      </c>
    </row>
    <row r="1634" spans="1:40" hidden="1" x14ac:dyDescent="0.25">
      <c r="A1634" t="s">
        <v>32</v>
      </c>
      <c r="B1634" t="s">
        <v>83</v>
      </c>
      <c r="C1634" t="s">
        <v>463</v>
      </c>
      <c r="D1634">
        <v>32279</v>
      </c>
      <c r="E1634" t="s">
        <v>707</v>
      </c>
      <c r="F1634">
        <v>55.192999999999998</v>
      </c>
      <c r="G1634">
        <v>2006</v>
      </c>
      <c r="J1634">
        <f>9900+17063</f>
        <v>26963</v>
      </c>
      <c r="L1634">
        <v>988</v>
      </c>
      <c r="Q1634">
        <v>12876</v>
      </c>
      <c r="X1634">
        <f>2510</f>
        <v>2510</v>
      </c>
      <c r="AL1634">
        <v>227</v>
      </c>
      <c r="AM1634">
        <v>629</v>
      </c>
      <c r="AN1634">
        <v>11000</v>
      </c>
    </row>
    <row r="1635" spans="1:40" hidden="1" x14ac:dyDescent="0.25">
      <c r="A1635" t="s">
        <v>32</v>
      </c>
      <c r="B1635" t="s">
        <v>83</v>
      </c>
      <c r="C1635" t="s">
        <v>458</v>
      </c>
      <c r="D1635">
        <v>21523</v>
      </c>
      <c r="E1635" t="s">
        <v>707</v>
      </c>
      <c r="F1635">
        <v>2097.7139999999999</v>
      </c>
      <c r="G1635">
        <v>2007</v>
      </c>
      <c r="J1635">
        <f>10125</f>
        <v>10125</v>
      </c>
      <c r="L1635">
        <v>1191</v>
      </c>
      <c r="Q1635">
        <v>6000</v>
      </c>
      <c r="X1635">
        <v>388</v>
      </c>
    </row>
    <row r="1636" spans="1:40" hidden="1" x14ac:dyDescent="0.25">
      <c r="A1636" t="s">
        <v>32</v>
      </c>
      <c r="B1636" t="s">
        <v>83</v>
      </c>
      <c r="C1636" t="s">
        <v>459</v>
      </c>
      <c r="D1636">
        <v>23679</v>
      </c>
      <c r="E1636" t="s">
        <v>707</v>
      </c>
      <c r="F1636">
        <v>64.748999999999995</v>
      </c>
      <c r="G1636">
        <v>2007</v>
      </c>
      <c r="J1636">
        <f>10125+26498</f>
        <v>36623</v>
      </c>
      <c r="L1636">
        <v>1594</v>
      </c>
      <c r="Q1636">
        <v>12876</v>
      </c>
      <c r="X1636">
        <v>10122</v>
      </c>
      <c r="AL1636">
        <v>884</v>
      </c>
      <c r="AM1636">
        <v>250</v>
      </c>
      <c r="AN1636">
        <v>2400</v>
      </c>
    </row>
    <row r="1637" spans="1:40" hidden="1" x14ac:dyDescent="0.25">
      <c r="A1637" t="s">
        <v>32</v>
      </c>
      <c r="B1637" t="s">
        <v>83</v>
      </c>
      <c r="C1637" t="s">
        <v>460</v>
      </c>
      <c r="D1637">
        <v>27377</v>
      </c>
      <c r="E1637" t="s">
        <v>708</v>
      </c>
      <c r="F1637">
        <v>131.05799999999999</v>
      </c>
      <c r="G1637">
        <v>2007</v>
      </c>
      <c r="J1637">
        <f>10125+31587</f>
        <v>41712</v>
      </c>
      <c r="L1637">
        <v>2131</v>
      </c>
      <c r="O1637">
        <v>51074</v>
      </c>
      <c r="Q1637">
        <v>12876</v>
      </c>
      <c r="X1637">
        <v>12714</v>
      </c>
      <c r="AL1637">
        <v>7277</v>
      </c>
      <c r="AN1637">
        <v>3301</v>
      </c>
    </row>
    <row r="1638" spans="1:40" hidden="1" x14ac:dyDescent="0.25">
      <c r="A1638" t="s">
        <v>32</v>
      </c>
      <c r="B1638" t="s">
        <v>83</v>
      </c>
      <c r="C1638" t="s">
        <v>461</v>
      </c>
      <c r="D1638">
        <v>29042</v>
      </c>
      <c r="E1638" t="s">
        <v>707</v>
      </c>
      <c r="F1638">
        <v>53.706000000000003</v>
      </c>
      <c r="G1638">
        <v>2007</v>
      </c>
      <c r="J1638">
        <f>10125+19287</f>
        <v>29412</v>
      </c>
      <c r="L1638">
        <v>1191</v>
      </c>
      <c r="Q1638">
        <v>12000</v>
      </c>
      <c r="X1638">
        <v>5066</v>
      </c>
      <c r="AL1638">
        <v>6037</v>
      </c>
    </row>
    <row r="1639" spans="1:40" hidden="1" x14ac:dyDescent="0.25">
      <c r="A1639" t="s">
        <v>32</v>
      </c>
      <c r="B1639" t="s">
        <v>83</v>
      </c>
      <c r="C1639" t="s">
        <v>462</v>
      </c>
      <c r="D1639">
        <v>30534</v>
      </c>
      <c r="E1639" t="s">
        <v>707</v>
      </c>
      <c r="F1639">
        <v>58.649000000000001</v>
      </c>
      <c r="G1639">
        <v>2007</v>
      </c>
      <c r="J1639">
        <f>10125+26458</f>
        <v>36583</v>
      </c>
      <c r="L1639">
        <v>1134</v>
      </c>
      <c r="Q1639">
        <v>12000</v>
      </c>
      <c r="X1639">
        <v>3389</v>
      </c>
      <c r="AL1639">
        <v>90</v>
      </c>
      <c r="AM1639">
        <v>250</v>
      </c>
      <c r="AN1639">
        <v>3053</v>
      </c>
    </row>
    <row r="1640" spans="1:40" hidden="1" x14ac:dyDescent="0.25">
      <c r="A1640" t="s">
        <v>32</v>
      </c>
      <c r="B1640" t="s">
        <v>83</v>
      </c>
      <c r="C1640" t="s">
        <v>463</v>
      </c>
      <c r="D1640">
        <v>32279</v>
      </c>
      <c r="E1640" t="s">
        <v>707</v>
      </c>
      <c r="F1640">
        <v>55.863</v>
      </c>
      <c r="G1640">
        <v>2007</v>
      </c>
      <c r="J1640">
        <f>10125+17679</f>
        <v>27804</v>
      </c>
      <c r="L1640">
        <v>1092</v>
      </c>
      <c r="Q1640">
        <v>12876</v>
      </c>
      <c r="X1640">
        <v>2614</v>
      </c>
      <c r="AL1640">
        <v>227</v>
      </c>
      <c r="AM1640">
        <v>250</v>
      </c>
      <c r="AN1640">
        <v>11000</v>
      </c>
    </row>
    <row r="1641" spans="1:40" hidden="1" x14ac:dyDescent="0.25">
      <c r="A1641" t="s">
        <v>32</v>
      </c>
      <c r="B1641" t="s">
        <v>83</v>
      </c>
      <c r="C1641" t="s">
        <v>459</v>
      </c>
      <c r="D1641">
        <v>23679</v>
      </c>
      <c r="E1641" t="s">
        <v>707</v>
      </c>
      <c r="F1641">
        <v>83.289000000000001</v>
      </c>
      <c r="G1641">
        <v>2008</v>
      </c>
      <c r="J1641">
        <f>10350+69856</f>
        <v>80206</v>
      </c>
      <c r="L1641">
        <v>1682</v>
      </c>
    </row>
    <row r="1642" spans="1:40" hidden="1" x14ac:dyDescent="0.25">
      <c r="A1642" t="s">
        <v>32</v>
      </c>
      <c r="B1642" t="s">
        <v>83</v>
      </c>
      <c r="C1642" t="s">
        <v>460</v>
      </c>
      <c r="D1642">
        <v>27377</v>
      </c>
      <c r="E1642" t="s">
        <v>708</v>
      </c>
      <c r="F1642">
        <v>153.976</v>
      </c>
      <c r="G1642">
        <v>2008</v>
      </c>
      <c r="J1642">
        <f>10350+34011</f>
        <v>44361</v>
      </c>
      <c r="L1642">
        <v>2349</v>
      </c>
      <c r="O1642">
        <v>105629</v>
      </c>
      <c r="AM1642">
        <v>250</v>
      </c>
    </row>
    <row r="1643" spans="1:40" hidden="1" x14ac:dyDescent="0.25">
      <c r="A1643" t="s">
        <v>32</v>
      </c>
      <c r="B1643" t="s">
        <v>83</v>
      </c>
      <c r="C1643" t="s">
        <v>461</v>
      </c>
      <c r="D1643">
        <v>29042</v>
      </c>
      <c r="E1643" t="s">
        <v>707</v>
      </c>
      <c r="F1643">
        <v>32.854999999999997</v>
      </c>
      <c r="G1643">
        <v>2008</v>
      </c>
      <c r="J1643">
        <f>10350+20540</f>
        <v>30890</v>
      </c>
      <c r="L1643">
        <v>1219</v>
      </c>
      <c r="AM1643">
        <v>250</v>
      </c>
    </row>
    <row r="1644" spans="1:40" hidden="1" x14ac:dyDescent="0.25">
      <c r="A1644" t="s">
        <v>32</v>
      </c>
      <c r="B1644" t="s">
        <v>83</v>
      </c>
      <c r="C1644" t="s">
        <v>462</v>
      </c>
      <c r="D1644">
        <v>30534</v>
      </c>
      <c r="E1644" t="s">
        <v>707</v>
      </c>
      <c r="F1644">
        <v>32.381999999999998</v>
      </c>
      <c r="G1644">
        <v>2008</v>
      </c>
      <c r="J1644">
        <f>10350+16900</f>
        <v>27250</v>
      </c>
      <c r="L1644">
        <v>1219</v>
      </c>
      <c r="AM1644">
        <v>363</v>
      </c>
    </row>
    <row r="1645" spans="1:40" hidden="1" x14ac:dyDescent="0.25">
      <c r="A1645" t="s">
        <v>32</v>
      </c>
      <c r="B1645" t="s">
        <v>83</v>
      </c>
      <c r="C1645" t="s">
        <v>463</v>
      </c>
      <c r="D1645">
        <v>32279</v>
      </c>
      <c r="E1645" t="s">
        <v>707</v>
      </c>
      <c r="F1645">
        <v>31.114000000000001</v>
      </c>
      <c r="G1645">
        <v>2008</v>
      </c>
      <c r="J1645">
        <f>10350+18008</f>
        <v>28358</v>
      </c>
      <c r="L1645">
        <v>1119</v>
      </c>
      <c r="AM1645">
        <v>250</v>
      </c>
    </row>
    <row r="1646" spans="1:40" hidden="1" x14ac:dyDescent="0.25">
      <c r="A1646" t="s">
        <v>32</v>
      </c>
      <c r="B1646" t="s">
        <v>83</v>
      </c>
      <c r="C1646" t="s">
        <v>464</v>
      </c>
      <c r="D1646">
        <v>43839</v>
      </c>
      <c r="E1646" t="s">
        <v>707</v>
      </c>
      <c r="F1646">
        <v>31.132999999999999</v>
      </c>
      <c r="G1646">
        <v>2008</v>
      </c>
      <c r="H1646">
        <v>1</v>
      </c>
    </row>
    <row r="1647" spans="1:40" hidden="1" x14ac:dyDescent="0.25">
      <c r="A1647" t="s">
        <v>32</v>
      </c>
      <c r="B1647" t="s">
        <v>83</v>
      </c>
      <c r="C1647" t="s">
        <v>459</v>
      </c>
      <c r="D1647">
        <v>23679</v>
      </c>
      <c r="E1647" t="s">
        <v>707</v>
      </c>
      <c r="F1647">
        <v>66.817999999999998</v>
      </c>
      <c r="G1647">
        <v>2009</v>
      </c>
      <c r="J1647">
        <f>11025+53514</f>
        <v>64539</v>
      </c>
      <c r="L1647">
        <v>1779</v>
      </c>
      <c r="AM1647">
        <v>500</v>
      </c>
    </row>
    <row r="1648" spans="1:40" hidden="1" x14ac:dyDescent="0.25">
      <c r="A1648" t="s">
        <v>32</v>
      </c>
      <c r="B1648" t="s">
        <v>83</v>
      </c>
      <c r="C1648" t="s">
        <v>460</v>
      </c>
      <c r="D1648">
        <v>27377</v>
      </c>
      <c r="E1648" t="s">
        <v>708</v>
      </c>
      <c r="F1648">
        <v>258.524</v>
      </c>
      <c r="G1648">
        <v>2009</v>
      </c>
      <c r="J1648">
        <f>11025+47868</f>
        <v>58893</v>
      </c>
      <c r="L1648">
        <v>2464</v>
      </c>
      <c r="O1648">
        <v>196777</v>
      </c>
      <c r="AM1648">
        <v>390</v>
      </c>
    </row>
    <row r="1649" spans="1:50" hidden="1" x14ac:dyDescent="0.25">
      <c r="A1649" t="s">
        <v>32</v>
      </c>
      <c r="B1649" t="s">
        <v>83</v>
      </c>
      <c r="C1649" t="s">
        <v>461</v>
      </c>
      <c r="D1649">
        <v>29042</v>
      </c>
      <c r="E1649" t="s">
        <v>707</v>
      </c>
      <c r="F1649">
        <v>12.574999999999999</v>
      </c>
      <c r="G1649">
        <v>2009</v>
      </c>
      <c r="J1649">
        <f>11025</f>
        <v>11025</v>
      </c>
      <c r="L1649">
        <v>1300</v>
      </c>
      <c r="AM1649">
        <v>250</v>
      </c>
    </row>
    <row r="1650" spans="1:50" hidden="1" x14ac:dyDescent="0.25">
      <c r="A1650" t="s">
        <v>32</v>
      </c>
      <c r="B1650" t="s">
        <v>83</v>
      </c>
      <c r="C1650" t="s">
        <v>462</v>
      </c>
      <c r="D1650">
        <v>30534</v>
      </c>
      <c r="E1650" t="s">
        <v>707</v>
      </c>
      <c r="F1650">
        <v>15.263</v>
      </c>
      <c r="G1650">
        <v>2009</v>
      </c>
      <c r="J1650">
        <v>11025</v>
      </c>
      <c r="L1650">
        <v>1297</v>
      </c>
      <c r="AM1650">
        <v>390</v>
      </c>
    </row>
    <row r="1651" spans="1:50" hidden="1" x14ac:dyDescent="0.25">
      <c r="A1651" t="s">
        <v>32</v>
      </c>
      <c r="B1651" t="s">
        <v>83</v>
      </c>
      <c r="C1651" t="s">
        <v>463</v>
      </c>
      <c r="D1651">
        <v>32279</v>
      </c>
      <c r="E1651" t="s">
        <v>707</v>
      </c>
      <c r="F1651">
        <v>31.655000000000001</v>
      </c>
      <c r="G1651">
        <v>2009</v>
      </c>
      <c r="J1651">
        <f>11025+18936</f>
        <v>29961</v>
      </c>
      <c r="L1651">
        <v>1194</v>
      </c>
      <c r="AM1651">
        <v>500</v>
      </c>
    </row>
    <row r="1652" spans="1:50" hidden="1" x14ac:dyDescent="0.25">
      <c r="A1652" t="s">
        <v>32</v>
      </c>
      <c r="B1652" t="s">
        <v>83</v>
      </c>
      <c r="C1652" t="s">
        <v>464</v>
      </c>
      <c r="D1652">
        <v>43839</v>
      </c>
      <c r="E1652" t="s">
        <v>707</v>
      </c>
      <c r="F1652">
        <v>33.194000000000003</v>
      </c>
      <c r="G1652">
        <v>2009</v>
      </c>
      <c r="H1652">
        <v>1</v>
      </c>
    </row>
    <row r="1653" spans="1:50" hidden="1" x14ac:dyDescent="0.25">
      <c r="A1653" t="s">
        <v>32</v>
      </c>
      <c r="B1653" t="s">
        <v>83</v>
      </c>
      <c r="C1653" t="s">
        <v>459</v>
      </c>
      <c r="D1653">
        <v>23679</v>
      </c>
      <c r="E1653" t="s">
        <v>707</v>
      </c>
      <c r="F1653">
        <v>3300.4319999999998</v>
      </c>
      <c r="G1653">
        <v>2010</v>
      </c>
      <c r="J1653">
        <f>11025+34314</f>
        <v>45339</v>
      </c>
      <c r="L1653">
        <v>889</v>
      </c>
      <c r="AX1653">
        <v>3254204</v>
      </c>
    </row>
    <row r="1654" spans="1:50" hidden="1" x14ac:dyDescent="0.25">
      <c r="A1654" t="s">
        <v>32</v>
      </c>
      <c r="B1654" t="s">
        <v>83</v>
      </c>
      <c r="C1654" t="s">
        <v>460</v>
      </c>
      <c r="D1654">
        <v>27377</v>
      </c>
      <c r="E1654" t="s">
        <v>708</v>
      </c>
      <c r="F1654">
        <v>206.50899999999999</v>
      </c>
      <c r="G1654">
        <v>2010</v>
      </c>
      <c r="J1654">
        <f>11025+83882</f>
        <v>94907</v>
      </c>
      <c r="L1654">
        <v>2464</v>
      </c>
      <c r="O1654">
        <v>109138</v>
      </c>
    </row>
    <row r="1655" spans="1:50" hidden="1" x14ac:dyDescent="0.25">
      <c r="A1655" t="s">
        <v>32</v>
      </c>
      <c r="B1655" t="s">
        <v>83</v>
      </c>
      <c r="C1655" t="s">
        <v>461</v>
      </c>
      <c r="D1655">
        <v>29042</v>
      </c>
      <c r="E1655" t="s">
        <v>707</v>
      </c>
      <c r="F1655">
        <v>12.324999999999999</v>
      </c>
      <c r="G1655">
        <v>2010</v>
      </c>
      <c r="J1655">
        <f>11025</f>
        <v>11025</v>
      </c>
      <c r="L1655">
        <v>1300</v>
      </c>
    </row>
    <row r="1656" spans="1:50" hidden="1" x14ac:dyDescent="0.25">
      <c r="A1656" t="s">
        <v>32</v>
      </c>
      <c r="B1656" t="s">
        <v>83</v>
      </c>
      <c r="C1656" t="s">
        <v>462</v>
      </c>
      <c r="D1656">
        <v>30534</v>
      </c>
      <c r="E1656" t="s">
        <v>707</v>
      </c>
      <c r="F1656">
        <v>12.321999999999999</v>
      </c>
      <c r="G1656">
        <v>2010</v>
      </c>
      <c r="J1656">
        <v>11025</v>
      </c>
      <c r="L1656">
        <v>1297</v>
      </c>
    </row>
    <row r="1657" spans="1:50" hidden="1" x14ac:dyDescent="0.25">
      <c r="A1657" t="s">
        <v>32</v>
      </c>
      <c r="B1657" t="s">
        <v>83</v>
      </c>
      <c r="C1657" t="s">
        <v>463</v>
      </c>
      <c r="D1657">
        <v>32279</v>
      </c>
      <c r="E1657" t="s">
        <v>707</v>
      </c>
      <c r="F1657">
        <v>38.356000000000002</v>
      </c>
      <c r="G1657">
        <v>2010</v>
      </c>
      <c r="J1657">
        <f>11025+26137</f>
        <v>37162</v>
      </c>
      <c r="L1657">
        <v>1194</v>
      </c>
    </row>
    <row r="1658" spans="1:50" hidden="1" x14ac:dyDescent="0.25">
      <c r="A1658" t="s">
        <v>32</v>
      </c>
      <c r="B1658" t="s">
        <v>83</v>
      </c>
      <c r="C1658" t="s">
        <v>464</v>
      </c>
      <c r="D1658">
        <v>43839</v>
      </c>
      <c r="E1658" t="s">
        <v>707</v>
      </c>
      <c r="F1658">
        <v>42.552999999999997</v>
      </c>
      <c r="G1658">
        <v>2010</v>
      </c>
      <c r="J1658">
        <f>11025+30297</f>
        <v>41322</v>
      </c>
      <c r="L1658">
        <v>1231</v>
      </c>
    </row>
    <row r="1659" spans="1:50" hidden="1" x14ac:dyDescent="0.25">
      <c r="A1659" t="s">
        <v>32</v>
      </c>
      <c r="B1659" t="s">
        <v>83</v>
      </c>
      <c r="C1659" t="s">
        <v>460</v>
      </c>
      <c r="D1659">
        <v>27377</v>
      </c>
      <c r="E1659" t="s">
        <v>708</v>
      </c>
      <c r="F1659">
        <v>269.92099999999999</v>
      </c>
      <c r="G1659">
        <v>2011</v>
      </c>
      <c r="J1659">
        <f>11025+102741</f>
        <v>113766</v>
      </c>
      <c r="L1659">
        <v>2521</v>
      </c>
      <c r="O1659">
        <v>153634</v>
      </c>
    </row>
    <row r="1660" spans="1:50" hidden="1" x14ac:dyDescent="0.25">
      <c r="A1660" t="s">
        <v>32</v>
      </c>
      <c r="B1660" t="s">
        <v>83</v>
      </c>
      <c r="C1660" t="s">
        <v>461</v>
      </c>
      <c r="D1660">
        <v>29042</v>
      </c>
      <c r="E1660" t="s">
        <v>707</v>
      </c>
      <c r="F1660">
        <v>12.324999999999999</v>
      </c>
      <c r="G1660">
        <v>2011</v>
      </c>
      <c r="J1660">
        <f>11025</f>
        <v>11025</v>
      </c>
      <c r="L1660">
        <v>1300</v>
      </c>
    </row>
    <row r="1661" spans="1:50" hidden="1" x14ac:dyDescent="0.25">
      <c r="A1661" t="s">
        <v>32</v>
      </c>
      <c r="B1661" t="s">
        <v>83</v>
      </c>
      <c r="C1661" t="s">
        <v>462</v>
      </c>
      <c r="D1661">
        <v>30534</v>
      </c>
      <c r="E1661" t="s">
        <v>707</v>
      </c>
      <c r="F1661">
        <v>12.321999999999999</v>
      </c>
      <c r="G1661">
        <v>2011</v>
      </c>
      <c r="J1661">
        <f>11025</f>
        <v>11025</v>
      </c>
      <c r="L1661">
        <v>1297</v>
      </c>
    </row>
    <row r="1662" spans="1:50" hidden="1" x14ac:dyDescent="0.25">
      <c r="A1662" t="s">
        <v>32</v>
      </c>
      <c r="B1662" t="s">
        <v>83</v>
      </c>
      <c r="C1662" t="s">
        <v>463</v>
      </c>
      <c r="D1662">
        <v>32279</v>
      </c>
      <c r="E1662" t="s">
        <v>707</v>
      </c>
      <c r="F1662">
        <v>22.943999999999999</v>
      </c>
      <c r="G1662">
        <v>2011</v>
      </c>
      <c r="J1662">
        <f>11025+11004</f>
        <v>22029</v>
      </c>
      <c r="L1662">
        <v>915</v>
      </c>
    </row>
    <row r="1663" spans="1:50" hidden="1" x14ac:dyDescent="0.25">
      <c r="A1663" t="s">
        <v>32</v>
      </c>
      <c r="B1663" t="s">
        <v>83</v>
      </c>
      <c r="C1663" t="s">
        <v>464</v>
      </c>
      <c r="D1663">
        <v>43839</v>
      </c>
      <c r="E1663" t="s">
        <v>707</v>
      </c>
      <c r="F1663">
        <v>57.371000000000002</v>
      </c>
      <c r="G1663">
        <v>2011</v>
      </c>
      <c r="J1663">
        <f>11025+45115</f>
        <v>56140</v>
      </c>
      <c r="L1663">
        <v>1231</v>
      </c>
    </row>
    <row r="1664" spans="1:50" hidden="1" x14ac:dyDescent="0.25">
      <c r="A1664" t="s">
        <v>32</v>
      </c>
      <c r="B1664" t="s">
        <v>83</v>
      </c>
      <c r="C1664" t="s">
        <v>465</v>
      </c>
      <c r="D1664">
        <v>45431</v>
      </c>
      <c r="E1664" t="s">
        <v>707</v>
      </c>
      <c r="F1664">
        <v>0</v>
      </c>
      <c r="G1664">
        <v>2011</v>
      </c>
    </row>
    <row r="1665" spans="1:50" hidden="1" x14ac:dyDescent="0.25">
      <c r="A1665" t="s">
        <v>32</v>
      </c>
      <c r="B1665" t="s">
        <v>83</v>
      </c>
      <c r="C1665" t="s">
        <v>460</v>
      </c>
      <c r="D1665">
        <v>27377</v>
      </c>
      <c r="E1665" t="s">
        <v>708</v>
      </c>
      <c r="F1665">
        <v>228.45599999999999</v>
      </c>
      <c r="G1665">
        <v>2012</v>
      </c>
      <c r="J1665">
        <f>11250+88779</f>
        <v>100029</v>
      </c>
      <c r="L1665">
        <v>2585</v>
      </c>
      <c r="O1665">
        <v>125842</v>
      </c>
    </row>
    <row r="1666" spans="1:50" hidden="1" x14ac:dyDescent="0.25">
      <c r="A1666" t="s">
        <v>32</v>
      </c>
      <c r="B1666" t="s">
        <v>83</v>
      </c>
      <c r="C1666" t="s">
        <v>461</v>
      </c>
      <c r="D1666">
        <v>29042</v>
      </c>
      <c r="E1666" t="s">
        <v>707</v>
      </c>
      <c r="F1666">
        <v>12.55</v>
      </c>
      <c r="G1666">
        <v>2012</v>
      </c>
      <c r="J1666">
        <f>11250</f>
        <v>11250</v>
      </c>
      <c r="L1666">
        <v>1300</v>
      </c>
    </row>
    <row r="1667" spans="1:50" hidden="1" x14ac:dyDescent="0.25">
      <c r="A1667" t="s">
        <v>32</v>
      </c>
      <c r="B1667" t="s">
        <v>83</v>
      </c>
      <c r="C1667" t="s">
        <v>462</v>
      </c>
      <c r="D1667">
        <v>30534</v>
      </c>
      <c r="E1667" t="s">
        <v>707</v>
      </c>
      <c r="F1667">
        <v>1136.92</v>
      </c>
      <c r="G1667">
        <v>2012</v>
      </c>
      <c r="J1667">
        <f>11250</f>
        <v>11250</v>
      </c>
      <c r="L1667">
        <v>1297</v>
      </c>
      <c r="AX1667">
        <v>1124373</v>
      </c>
    </row>
    <row r="1668" spans="1:50" hidden="1" x14ac:dyDescent="0.25">
      <c r="A1668" t="s">
        <v>32</v>
      </c>
      <c r="B1668" t="s">
        <v>83</v>
      </c>
      <c r="C1668" t="s">
        <v>464</v>
      </c>
      <c r="D1668">
        <v>43839</v>
      </c>
      <c r="E1668" t="s">
        <v>707</v>
      </c>
      <c r="F1668">
        <v>45.134999999999998</v>
      </c>
      <c r="G1668">
        <v>2012</v>
      </c>
      <c r="J1668">
        <f>11250+32654</f>
        <v>43904</v>
      </c>
      <c r="L1668">
        <v>1231</v>
      </c>
    </row>
    <row r="1669" spans="1:50" hidden="1" x14ac:dyDescent="0.25">
      <c r="A1669" t="s">
        <v>32</v>
      </c>
      <c r="B1669" t="s">
        <v>83</v>
      </c>
      <c r="C1669" t="s">
        <v>465</v>
      </c>
      <c r="D1669">
        <v>45431</v>
      </c>
      <c r="E1669" t="s">
        <v>707</v>
      </c>
      <c r="F1669">
        <v>5.78</v>
      </c>
      <c r="G1669">
        <v>2012</v>
      </c>
      <c r="L1669">
        <v>974</v>
      </c>
      <c r="AB1669">
        <v>4806</v>
      </c>
    </row>
    <row r="1670" spans="1:50" hidden="1" x14ac:dyDescent="0.25">
      <c r="A1670" t="s">
        <v>32</v>
      </c>
      <c r="B1670" t="s">
        <v>83</v>
      </c>
      <c r="C1670" t="s">
        <v>466</v>
      </c>
      <c r="D1670">
        <v>47170</v>
      </c>
      <c r="E1670" t="s">
        <v>707</v>
      </c>
      <c r="F1670">
        <v>99.656000000000006</v>
      </c>
      <c r="G1670">
        <v>2012</v>
      </c>
      <c r="J1670">
        <f>11250+17750</f>
        <v>29000</v>
      </c>
      <c r="L1670">
        <v>917</v>
      </c>
      <c r="O1670">
        <v>44933</v>
      </c>
      <c r="AB1670">
        <v>24806</v>
      </c>
    </row>
    <row r="1671" spans="1:50" hidden="1" x14ac:dyDescent="0.25">
      <c r="A1671" t="s">
        <v>32</v>
      </c>
      <c r="B1671" t="s">
        <v>83</v>
      </c>
      <c r="C1671" t="s">
        <v>467</v>
      </c>
      <c r="D1671">
        <v>47171</v>
      </c>
      <c r="E1671" t="s">
        <v>707</v>
      </c>
      <c r="F1671">
        <v>1878.1890000000001</v>
      </c>
      <c r="G1671">
        <v>2012</v>
      </c>
      <c r="J1671">
        <v>11250</v>
      </c>
      <c r="L1671">
        <v>645</v>
      </c>
      <c r="AB1671">
        <v>16294</v>
      </c>
      <c r="AX1671">
        <v>1850000</v>
      </c>
    </row>
    <row r="1672" spans="1:50" hidden="1" x14ac:dyDescent="0.25">
      <c r="A1672" t="s">
        <v>32</v>
      </c>
      <c r="B1672" t="s">
        <v>83</v>
      </c>
      <c r="C1672" t="s">
        <v>468</v>
      </c>
      <c r="D1672">
        <v>47172</v>
      </c>
      <c r="E1672" t="s">
        <v>707</v>
      </c>
      <c r="F1672">
        <v>36.933999999999997</v>
      </c>
      <c r="G1672">
        <v>2012</v>
      </c>
      <c r="J1672">
        <f>11250+24568</f>
        <v>35818</v>
      </c>
      <c r="L1672">
        <v>1116</v>
      </c>
    </row>
    <row r="1673" spans="1:50" hidden="1" x14ac:dyDescent="0.25">
      <c r="A1673" t="s">
        <v>32</v>
      </c>
      <c r="B1673" t="s">
        <v>83</v>
      </c>
      <c r="C1673" t="s">
        <v>460</v>
      </c>
      <c r="D1673">
        <v>27377</v>
      </c>
      <c r="E1673" t="s">
        <v>708</v>
      </c>
      <c r="F1673">
        <v>295.34800000000001</v>
      </c>
      <c r="G1673">
        <v>2013</v>
      </c>
      <c r="J1673">
        <f>11475+40258</f>
        <v>51733</v>
      </c>
      <c r="L1673">
        <v>2301</v>
      </c>
      <c r="O1673">
        <v>241314</v>
      </c>
    </row>
    <row r="1674" spans="1:50" hidden="1" x14ac:dyDescent="0.25">
      <c r="A1674" t="s">
        <v>32</v>
      </c>
      <c r="B1674" t="s">
        <v>83</v>
      </c>
      <c r="C1674" t="s">
        <v>461</v>
      </c>
      <c r="D1674">
        <v>29042</v>
      </c>
      <c r="E1674" t="s">
        <v>707</v>
      </c>
      <c r="F1674">
        <v>12.632</v>
      </c>
      <c r="G1674">
        <v>2013</v>
      </c>
      <c r="J1674">
        <f>11475</f>
        <v>11475</v>
      </c>
      <c r="L1674">
        <v>1157</v>
      </c>
    </row>
    <row r="1675" spans="1:50" hidden="1" x14ac:dyDescent="0.25">
      <c r="A1675" t="s">
        <v>32</v>
      </c>
      <c r="B1675" t="s">
        <v>83</v>
      </c>
      <c r="C1675" t="s">
        <v>464</v>
      </c>
      <c r="D1675">
        <v>43839</v>
      </c>
      <c r="E1675" t="s">
        <v>707</v>
      </c>
      <c r="F1675">
        <v>36.174999999999997</v>
      </c>
      <c r="G1675">
        <v>2013</v>
      </c>
      <c r="J1675">
        <f>11475</f>
        <v>11475</v>
      </c>
      <c r="L1675">
        <v>1095</v>
      </c>
      <c r="O1675">
        <v>2153</v>
      </c>
    </row>
    <row r="1676" spans="1:50" hidden="1" x14ac:dyDescent="0.25">
      <c r="A1676" t="s">
        <v>32</v>
      </c>
      <c r="B1676" t="s">
        <v>83</v>
      </c>
      <c r="C1676" t="s">
        <v>466</v>
      </c>
      <c r="D1676">
        <v>47170</v>
      </c>
      <c r="E1676" t="s">
        <v>707</v>
      </c>
      <c r="F1676">
        <v>93.317999999999998</v>
      </c>
      <c r="G1676">
        <v>2013</v>
      </c>
      <c r="J1676">
        <v>11475</v>
      </c>
      <c r="L1676">
        <v>1020</v>
      </c>
      <c r="O1676">
        <v>19375</v>
      </c>
      <c r="AB1676">
        <v>61448</v>
      </c>
    </row>
    <row r="1677" spans="1:50" hidden="1" x14ac:dyDescent="0.25">
      <c r="A1677" t="s">
        <v>32</v>
      </c>
      <c r="B1677" t="s">
        <v>83</v>
      </c>
      <c r="C1677" t="s">
        <v>469</v>
      </c>
      <c r="D1677">
        <v>48875</v>
      </c>
      <c r="E1677" t="s">
        <v>707</v>
      </c>
      <c r="F1677">
        <v>26.120999999999999</v>
      </c>
      <c r="G1677">
        <v>2013</v>
      </c>
      <c r="J1677">
        <f>11475+9073</f>
        <v>20548</v>
      </c>
      <c r="L1677">
        <v>653</v>
      </c>
      <c r="AB1677">
        <v>4920</v>
      </c>
    </row>
    <row r="1678" spans="1:50" hidden="1" x14ac:dyDescent="0.25">
      <c r="A1678" t="s">
        <v>32</v>
      </c>
      <c r="B1678" t="s">
        <v>83</v>
      </c>
      <c r="C1678" t="s">
        <v>460</v>
      </c>
      <c r="D1678">
        <v>27377</v>
      </c>
      <c r="E1678" t="s">
        <v>708</v>
      </c>
      <c r="F1678">
        <v>395.59699999999998</v>
      </c>
      <c r="G1678">
        <v>2014</v>
      </c>
      <c r="J1678">
        <f>11700+149489</f>
        <v>161189</v>
      </c>
      <c r="L1678">
        <v>2386</v>
      </c>
      <c r="O1678">
        <v>232022</v>
      </c>
    </row>
    <row r="1679" spans="1:50" hidden="1" x14ac:dyDescent="0.25">
      <c r="A1679" t="s">
        <v>32</v>
      </c>
      <c r="B1679" t="s">
        <v>83</v>
      </c>
      <c r="C1679" t="s">
        <v>461</v>
      </c>
      <c r="D1679">
        <v>29042</v>
      </c>
      <c r="E1679" t="s">
        <v>707</v>
      </c>
      <c r="F1679">
        <v>60.960999999999999</v>
      </c>
      <c r="G1679">
        <v>2014</v>
      </c>
      <c r="J1679">
        <f>11700+21756</f>
        <v>33456</v>
      </c>
      <c r="L1679">
        <v>1232</v>
      </c>
      <c r="O1679">
        <v>26273</v>
      </c>
    </row>
    <row r="1680" spans="1:50" hidden="1" x14ac:dyDescent="0.25">
      <c r="A1680" t="s">
        <v>32</v>
      </c>
      <c r="B1680" t="s">
        <v>83</v>
      </c>
      <c r="C1680" t="s">
        <v>464</v>
      </c>
      <c r="D1680">
        <v>43839</v>
      </c>
      <c r="E1680" t="s">
        <v>707</v>
      </c>
      <c r="F1680">
        <v>32.418999999999997</v>
      </c>
      <c r="G1680">
        <v>2014</v>
      </c>
      <c r="J1680">
        <f>11700+19575</f>
        <v>31275</v>
      </c>
      <c r="L1680">
        <v>1144</v>
      </c>
    </row>
    <row r="1681" spans="1:50" hidden="1" x14ac:dyDescent="0.25">
      <c r="A1681" t="s">
        <v>32</v>
      </c>
      <c r="B1681" t="s">
        <v>83</v>
      </c>
      <c r="C1681" t="s">
        <v>466</v>
      </c>
      <c r="D1681">
        <v>47170</v>
      </c>
      <c r="E1681" t="s">
        <v>707</v>
      </c>
      <c r="F1681">
        <v>36.319000000000003</v>
      </c>
      <c r="G1681">
        <v>2014</v>
      </c>
      <c r="J1681">
        <f>11700+19520</f>
        <v>31220</v>
      </c>
      <c r="L1681">
        <v>1066</v>
      </c>
      <c r="O1681">
        <v>4033</v>
      </c>
    </row>
    <row r="1682" spans="1:50" hidden="1" x14ac:dyDescent="0.25">
      <c r="A1682" t="s">
        <v>32</v>
      </c>
      <c r="B1682" t="s">
        <v>83</v>
      </c>
      <c r="C1682" t="s">
        <v>469</v>
      </c>
      <c r="D1682">
        <v>48875</v>
      </c>
      <c r="E1682" t="s">
        <v>707</v>
      </c>
      <c r="F1682">
        <v>47.314999999999998</v>
      </c>
      <c r="G1682">
        <v>2014</v>
      </c>
      <c r="J1682">
        <f>11700+34630</f>
        <v>46330</v>
      </c>
      <c r="L1682">
        <v>985</v>
      </c>
    </row>
    <row r="1683" spans="1:50" hidden="1" x14ac:dyDescent="0.25">
      <c r="A1683" t="s">
        <v>32</v>
      </c>
      <c r="B1683" t="s">
        <v>83</v>
      </c>
      <c r="C1683" t="s">
        <v>470</v>
      </c>
      <c r="D1683">
        <v>50664</v>
      </c>
      <c r="E1683" t="s">
        <v>707</v>
      </c>
      <c r="F1683">
        <v>930.94200000000001</v>
      </c>
      <c r="G1683">
        <v>2014</v>
      </c>
      <c r="J1683">
        <f>11700+26440</f>
        <v>38140</v>
      </c>
      <c r="L1683">
        <v>770</v>
      </c>
      <c r="AX1683">
        <v>892032</v>
      </c>
    </row>
    <row r="1684" spans="1:50" hidden="1" x14ac:dyDescent="0.25">
      <c r="A1684" t="s">
        <v>32</v>
      </c>
      <c r="B1684" t="s">
        <v>83</v>
      </c>
      <c r="C1684" t="s">
        <v>471</v>
      </c>
      <c r="D1684">
        <v>50665</v>
      </c>
      <c r="E1684" t="s">
        <v>707</v>
      </c>
      <c r="F1684">
        <v>25.893000000000001</v>
      </c>
      <c r="G1684">
        <v>2014</v>
      </c>
      <c r="J1684">
        <f>11700+13463</f>
        <v>25163</v>
      </c>
      <c r="L1684">
        <v>730</v>
      </c>
    </row>
    <row r="1685" spans="1:50" hidden="1" x14ac:dyDescent="0.25">
      <c r="A1685" t="s">
        <v>32</v>
      </c>
      <c r="B1685" t="s">
        <v>83</v>
      </c>
      <c r="C1685" t="s">
        <v>460</v>
      </c>
      <c r="D1685">
        <v>27377</v>
      </c>
      <c r="E1685" t="s">
        <v>708</v>
      </c>
      <c r="F1685">
        <v>428.92099999999999</v>
      </c>
      <c r="G1685">
        <v>2015</v>
      </c>
      <c r="J1685">
        <f>11925+167126</f>
        <v>179051</v>
      </c>
      <c r="L1685">
        <v>2457</v>
      </c>
      <c r="O1685">
        <v>247413</v>
      </c>
    </row>
    <row r="1686" spans="1:50" hidden="1" x14ac:dyDescent="0.25">
      <c r="A1686" t="s">
        <v>32</v>
      </c>
      <c r="B1686" t="s">
        <v>83</v>
      </c>
      <c r="C1686" t="s">
        <v>461</v>
      </c>
      <c r="D1686">
        <v>29042</v>
      </c>
      <c r="E1686" t="s">
        <v>707</v>
      </c>
      <c r="F1686">
        <v>77.367999999999995</v>
      </c>
      <c r="G1686">
        <v>2015</v>
      </c>
      <c r="J1686">
        <f>11925+60950</f>
        <v>72875</v>
      </c>
      <c r="L1686">
        <v>1293</v>
      </c>
      <c r="O1686">
        <v>3200</v>
      </c>
    </row>
    <row r="1687" spans="1:50" hidden="1" x14ac:dyDescent="0.25">
      <c r="A1687" t="s">
        <v>32</v>
      </c>
      <c r="B1687" t="s">
        <v>83</v>
      </c>
      <c r="C1687" t="s">
        <v>464</v>
      </c>
      <c r="D1687">
        <v>43839</v>
      </c>
      <c r="E1687" t="s">
        <v>707</v>
      </c>
      <c r="F1687">
        <v>62.786000000000001</v>
      </c>
      <c r="G1687">
        <v>2015</v>
      </c>
      <c r="J1687">
        <f>11925+49691</f>
        <v>61616</v>
      </c>
      <c r="L1687">
        <v>1170</v>
      </c>
    </row>
    <row r="1688" spans="1:50" hidden="1" x14ac:dyDescent="0.25">
      <c r="A1688" t="s">
        <v>32</v>
      </c>
      <c r="B1688" t="s">
        <v>83</v>
      </c>
      <c r="C1688" t="s">
        <v>466</v>
      </c>
      <c r="D1688">
        <v>47170</v>
      </c>
      <c r="E1688" t="s">
        <v>707</v>
      </c>
      <c r="F1688">
        <v>49.06</v>
      </c>
      <c r="G1688">
        <v>2015</v>
      </c>
      <c r="J1688">
        <f>11925+35963</f>
        <v>47888</v>
      </c>
      <c r="L1688">
        <v>1172</v>
      </c>
    </row>
    <row r="1689" spans="1:50" hidden="1" x14ac:dyDescent="0.25">
      <c r="A1689" t="s">
        <v>32</v>
      </c>
      <c r="B1689" t="s">
        <v>83</v>
      </c>
      <c r="C1689" t="s">
        <v>469</v>
      </c>
      <c r="D1689">
        <v>48875</v>
      </c>
      <c r="E1689" t="s">
        <v>707</v>
      </c>
      <c r="F1689">
        <v>64.355999999999995</v>
      </c>
      <c r="G1689">
        <v>2015</v>
      </c>
      <c r="J1689">
        <f>11925+48564</f>
        <v>60489</v>
      </c>
      <c r="L1689">
        <v>1083</v>
      </c>
      <c r="O1689">
        <v>2784</v>
      </c>
    </row>
    <row r="1690" spans="1:50" hidden="1" x14ac:dyDescent="0.25">
      <c r="A1690" t="s">
        <v>32</v>
      </c>
      <c r="B1690" t="s">
        <v>83</v>
      </c>
      <c r="C1690" t="s">
        <v>460</v>
      </c>
      <c r="D1690">
        <v>27377</v>
      </c>
      <c r="E1690" t="s">
        <v>708</v>
      </c>
      <c r="F1690">
        <v>4057.875</v>
      </c>
      <c r="G1690">
        <v>2016</v>
      </c>
      <c r="J1690">
        <f>11925+125930</f>
        <v>137855</v>
      </c>
      <c r="L1690">
        <v>2121</v>
      </c>
      <c r="O1690">
        <v>174272</v>
      </c>
      <c r="AX1690">
        <v>3743627</v>
      </c>
    </row>
    <row r="1691" spans="1:50" hidden="1" x14ac:dyDescent="0.25">
      <c r="A1691" t="s">
        <v>32</v>
      </c>
      <c r="B1691" t="s">
        <v>83</v>
      </c>
      <c r="C1691" t="s">
        <v>461</v>
      </c>
      <c r="D1691">
        <v>29042</v>
      </c>
      <c r="E1691" t="s">
        <v>707</v>
      </c>
      <c r="F1691">
        <v>79.739999999999995</v>
      </c>
      <c r="G1691">
        <v>2016</v>
      </c>
      <c r="J1691">
        <f>11925+49687</f>
        <v>61612</v>
      </c>
      <c r="L1691">
        <v>1358</v>
      </c>
      <c r="O1691">
        <v>16770</v>
      </c>
    </row>
    <row r="1692" spans="1:50" hidden="1" x14ac:dyDescent="0.25">
      <c r="A1692" t="s">
        <v>32</v>
      </c>
      <c r="B1692" t="s">
        <v>83</v>
      </c>
      <c r="C1692" t="s">
        <v>464</v>
      </c>
      <c r="D1692">
        <v>43839</v>
      </c>
      <c r="E1692" t="s">
        <v>707</v>
      </c>
      <c r="F1692">
        <v>54.162999999999997</v>
      </c>
      <c r="G1692">
        <v>2016</v>
      </c>
      <c r="J1692">
        <f>11925+41016</f>
        <v>52941</v>
      </c>
      <c r="L1692">
        <v>1222</v>
      </c>
    </row>
    <row r="1693" spans="1:50" hidden="1" x14ac:dyDescent="0.25">
      <c r="A1693" t="s">
        <v>32</v>
      </c>
      <c r="B1693" t="s">
        <v>83</v>
      </c>
      <c r="C1693" t="s">
        <v>466</v>
      </c>
      <c r="D1693">
        <v>47170</v>
      </c>
      <c r="E1693" t="s">
        <v>707</v>
      </c>
      <c r="F1693">
        <v>59.481999999999999</v>
      </c>
      <c r="G1693">
        <v>2016</v>
      </c>
      <c r="J1693">
        <f>11925+46268</f>
        <v>58193</v>
      </c>
      <c r="L1693">
        <v>1289</v>
      </c>
    </row>
    <row r="1694" spans="1:50" hidden="1" x14ac:dyDescent="0.25">
      <c r="A1694" t="s">
        <v>32</v>
      </c>
      <c r="B1694" t="s">
        <v>83</v>
      </c>
      <c r="C1694" t="s">
        <v>469</v>
      </c>
      <c r="D1694">
        <v>48875</v>
      </c>
      <c r="E1694" t="s">
        <v>707</v>
      </c>
      <c r="F1694">
        <v>52.63</v>
      </c>
      <c r="G1694">
        <v>2016</v>
      </c>
      <c r="J1694">
        <f>11925+39506</f>
        <v>51431</v>
      </c>
      <c r="L1694">
        <v>1199</v>
      </c>
    </row>
    <row r="1695" spans="1:50" hidden="1" x14ac:dyDescent="0.25">
      <c r="A1695" t="s">
        <v>32</v>
      </c>
      <c r="B1695" t="s">
        <v>83</v>
      </c>
      <c r="C1695" t="s">
        <v>461</v>
      </c>
      <c r="D1695">
        <v>29042</v>
      </c>
      <c r="E1695" t="s">
        <v>707</v>
      </c>
      <c r="F1695">
        <v>50.685000000000002</v>
      </c>
      <c r="G1695">
        <v>2017</v>
      </c>
      <c r="J1695">
        <f>12150+37136</f>
        <v>49286</v>
      </c>
      <c r="L1695">
        <v>1399</v>
      </c>
    </row>
    <row r="1696" spans="1:50" hidden="1" x14ac:dyDescent="0.25">
      <c r="A1696" t="s">
        <v>32</v>
      </c>
      <c r="B1696" t="s">
        <v>83</v>
      </c>
      <c r="C1696" t="s">
        <v>464</v>
      </c>
      <c r="D1696">
        <v>43839</v>
      </c>
      <c r="E1696" t="s">
        <v>707</v>
      </c>
      <c r="F1696">
        <v>68.869</v>
      </c>
      <c r="G1696">
        <v>2017</v>
      </c>
      <c r="J1696">
        <f>12150+55461</f>
        <v>67611</v>
      </c>
      <c r="L1696">
        <v>1258</v>
      </c>
    </row>
    <row r="1697" spans="1:52" hidden="1" x14ac:dyDescent="0.25">
      <c r="A1697" t="s">
        <v>32</v>
      </c>
      <c r="B1697" t="s">
        <v>83</v>
      </c>
      <c r="C1697" t="s">
        <v>466</v>
      </c>
      <c r="D1697">
        <v>47170</v>
      </c>
      <c r="E1697" t="s">
        <v>708</v>
      </c>
      <c r="F1697">
        <v>92.394999999999996</v>
      </c>
      <c r="G1697">
        <v>2017</v>
      </c>
      <c r="J1697">
        <f>12150+78801</f>
        <v>90951</v>
      </c>
      <c r="L1697">
        <v>1444</v>
      </c>
    </row>
    <row r="1698" spans="1:52" hidden="1" x14ac:dyDescent="0.25">
      <c r="A1698" t="s">
        <v>32</v>
      </c>
      <c r="B1698" t="s">
        <v>83</v>
      </c>
      <c r="C1698" t="s">
        <v>469</v>
      </c>
      <c r="D1698">
        <v>48875</v>
      </c>
      <c r="E1698" t="s">
        <v>707</v>
      </c>
      <c r="F1698">
        <v>65.941000000000003</v>
      </c>
      <c r="G1698">
        <v>2017</v>
      </c>
      <c r="J1698">
        <f>12150+52555</f>
        <v>64705</v>
      </c>
      <c r="L1698">
        <v>1236</v>
      </c>
    </row>
    <row r="1699" spans="1:52" hidden="1" x14ac:dyDescent="0.25">
      <c r="A1699" t="s">
        <v>32</v>
      </c>
      <c r="B1699" t="s">
        <v>83</v>
      </c>
      <c r="C1699" t="s">
        <v>472</v>
      </c>
      <c r="D1699">
        <v>60016</v>
      </c>
      <c r="E1699" t="s">
        <v>707</v>
      </c>
      <c r="F1699">
        <v>34.061999999999998</v>
      </c>
      <c r="G1699">
        <v>2017</v>
      </c>
      <c r="J1699">
        <f>12150+21288</f>
        <v>33438</v>
      </c>
      <c r="L1699">
        <v>624</v>
      </c>
    </row>
    <row r="1700" spans="1:52" hidden="1" x14ac:dyDescent="0.25">
      <c r="A1700" t="s">
        <v>32</v>
      </c>
      <c r="B1700" t="s">
        <v>83</v>
      </c>
      <c r="C1700" t="s">
        <v>461</v>
      </c>
      <c r="D1700">
        <v>29042</v>
      </c>
      <c r="E1700" t="s">
        <v>707</v>
      </c>
      <c r="F1700">
        <v>141.74600000000001</v>
      </c>
      <c r="G1700">
        <v>2018</v>
      </c>
      <c r="J1700">
        <f>12375+26591</f>
        <v>38966</v>
      </c>
      <c r="L1700">
        <v>911</v>
      </c>
      <c r="O1700">
        <v>46504</v>
      </c>
      <c r="AW1700">
        <v>45000</v>
      </c>
      <c r="AY1700">
        <v>5365</v>
      </c>
    </row>
    <row r="1701" spans="1:52" hidden="1" x14ac:dyDescent="0.25">
      <c r="A1701" t="s">
        <v>32</v>
      </c>
      <c r="B1701" t="s">
        <v>83</v>
      </c>
      <c r="C1701" t="s">
        <v>464</v>
      </c>
      <c r="D1701">
        <v>43839</v>
      </c>
      <c r="E1701" t="s">
        <v>707</v>
      </c>
      <c r="F1701">
        <v>96.879000000000005</v>
      </c>
      <c r="G1701">
        <v>2018</v>
      </c>
      <c r="J1701">
        <f>12375+61222</f>
        <v>73597</v>
      </c>
      <c r="L1701">
        <v>1417</v>
      </c>
      <c r="AW1701">
        <v>16500</v>
      </c>
      <c r="AY1701">
        <v>5365</v>
      </c>
    </row>
    <row r="1702" spans="1:52" hidden="1" x14ac:dyDescent="0.25">
      <c r="A1702" t="s">
        <v>32</v>
      </c>
      <c r="B1702" t="s">
        <v>83</v>
      </c>
      <c r="C1702" t="s">
        <v>466</v>
      </c>
      <c r="D1702">
        <v>47170</v>
      </c>
      <c r="E1702" t="s">
        <v>708</v>
      </c>
      <c r="F1702">
        <v>166.89099999999999</v>
      </c>
      <c r="G1702">
        <v>2018</v>
      </c>
      <c r="J1702">
        <f>12375+135329</f>
        <v>147704</v>
      </c>
      <c r="L1702">
        <v>2260</v>
      </c>
      <c r="O1702">
        <v>11562</v>
      </c>
      <c r="AY1702">
        <v>5365</v>
      </c>
    </row>
    <row r="1703" spans="1:52" hidden="1" x14ac:dyDescent="0.25">
      <c r="A1703" t="s">
        <v>32</v>
      </c>
      <c r="B1703" t="s">
        <v>83</v>
      </c>
      <c r="C1703" t="s">
        <v>469</v>
      </c>
      <c r="D1703">
        <v>48875</v>
      </c>
      <c r="E1703" t="s">
        <v>707</v>
      </c>
      <c r="F1703">
        <v>116.032</v>
      </c>
      <c r="G1703">
        <v>2018</v>
      </c>
      <c r="J1703">
        <f>12375+55273</f>
        <v>67648</v>
      </c>
      <c r="L1703">
        <v>1309</v>
      </c>
      <c r="O1703">
        <v>41710</v>
      </c>
      <c r="AY1703">
        <v>5365</v>
      </c>
    </row>
    <row r="1704" spans="1:52" hidden="1" x14ac:dyDescent="0.25">
      <c r="A1704" t="s">
        <v>32</v>
      </c>
      <c r="B1704" t="s">
        <v>83</v>
      </c>
      <c r="C1704" t="s">
        <v>472</v>
      </c>
      <c r="D1704">
        <v>60016</v>
      </c>
      <c r="E1704" t="s">
        <v>707</v>
      </c>
      <c r="F1704">
        <v>53.956000000000003</v>
      </c>
      <c r="G1704">
        <v>2018</v>
      </c>
      <c r="J1704">
        <f>12375+40561</f>
        <v>52936</v>
      </c>
      <c r="L1704">
        <v>1020</v>
      </c>
    </row>
    <row r="1705" spans="1:52" s="4" customFormat="1" hidden="1" x14ac:dyDescent="0.25">
      <c r="A1705" s="4" t="s">
        <v>33</v>
      </c>
      <c r="B1705" s="4" t="s">
        <v>84</v>
      </c>
      <c r="C1705" s="4" t="s">
        <v>473</v>
      </c>
      <c r="D1705" s="4">
        <v>4471</v>
      </c>
      <c r="E1705" s="4" t="s">
        <v>707</v>
      </c>
      <c r="F1705" s="4">
        <v>1060.8810000000001</v>
      </c>
      <c r="G1705" s="4">
        <v>2006</v>
      </c>
      <c r="H1705" s="4">
        <v>1</v>
      </c>
      <c r="AZ1705" s="8"/>
    </row>
    <row r="1706" spans="1:52" hidden="1" x14ac:dyDescent="0.25">
      <c r="A1706" t="s">
        <v>33</v>
      </c>
      <c r="B1706" t="s">
        <v>84</v>
      </c>
      <c r="C1706" t="s">
        <v>474</v>
      </c>
      <c r="D1706">
        <v>13047</v>
      </c>
      <c r="E1706" t="s">
        <v>708</v>
      </c>
      <c r="F1706">
        <v>23.95</v>
      </c>
      <c r="G1706">
        <v>2006</v>
      </c>
      <c r="H1706">
        <v>1</v>
      </c>
    </row>
    <row r="1707" spans="1:52" hidden="1" x14ac:dyDescent="0.25">
      <c r="A1707" t="s">
        <v>33</v>
      </c>
      <c r="B1707" t="s">
        <v>84</v>
      </c>
      <c r="C1707" t="s">
        <v>475</v>
      </c>
      <c r="D1707">
        <v>24115</v>
      </c>
      <c r="E1707" t="s">
        <v>707</v>
      </c>
      <c r="F1707">
        <v>5414.9160000000002</v>
      </c>
      <c r="G1707">
        <v>2006</v>
      </c>
      <c r="H1707">
        <v>1</v>
      </c>
    </row>
    <row r="1708" spans="1:52" hidden="1" x14ac:dyDescent="0.25">
      <c r="A1708" t="s">
        <v>33</v>
      </c>
      <c r="B1708" t="s">
        <v>84</v>
      </c>
      <c r="C1708" t="s">
        <v>476</v>
      </c>
      <c r="D1708">
        <v>25603</v>
      </c>
      <c r="E1708" t="s">
        <v>707</v>
      </c>
      <c r="F1708">
        <v>4018.2049999999999</v>
      </c>
      <c r="G1708">
        <v>2006</v>
      </c>
      <c r="H1708">
        <v>1</v>
      </c>
    </row>
    <row r="1709" spans="1:52" hidden="1" x14ac:dyDescent="0.25">
      <c r="A1709" t="s">
        <v>33</v>
      </c>
      <c r="B1709" t="s">
        <v>84</v>
      </c>
      <c r="C1709" t="s">
        <v>477</v>
      </c>
      <c r="D1709">
        <v>27896</v>
      </c>
      <c r="E1709" t="s">
        <v>707</v>
      </c>
      <c r="F1709">
        <v>8025.2110000000002</v>
      </c>
      <c r="G1709">
        <v>2006</v>
      </c>
      <c r="H1709">
        <v>1</v>
      </c>
    </row>
    <row r="1710" spans="1:52" hidden="1" x14ac:dyDescent="0.25">
      <c r="A1710" t="s">
        <v>33</v>
      </c>
      <c r="B1710" t="s">
        <v>84</v>
      </c>
      <c r="C1710" t="s">
        <v>478</v>
      </c>
      <c r="D1710">
        <v>33721</v>
      </c>
      <c r="E1710" t="s">
        <v>707</v>
      </c>
      <c r="F1710">
        <v>20</v>
      </c>
      <c r="G1710">
        <v>2006</v>
      </c>
      <c r="H1710">
        <v>1</v>
      </c>
    </row>
    <row r="1711" spans="1:52" hidden="1" x14ac:dyDescent="0.25">
      <c r="A1711" t="s">
        <v>33</v>
      </c>
      <c r="B1711" t="s">
        <v>84</v>
      </c>
      <c r="C1711" t="s">
        <v>479</v>
      </c>
      <c r="D1711">
        <v>33722</v>
      </c>
      <c r="E1711" t="s">
        <v>707</v>
      </c>
      <c r="F1711">
        <v>5559.4740000000002</v>
      </c>
      <c r="G1711">
        <v>2006</v>
      </c>
      <c r="H1711">
        <v>1</v>
      </c>
    </row>
    <row r="1712" spans="1:52" hidden="1" x14ac:dyDescent="0.25">
      <c r="A1712" t="s">
        <v>33</v>
      </c>
      <c r="B1712" t="s">
        <v>84</v>
      </c>
      <c r="C1712" t="s">
        <v>480</v>
      </c>
      <c r="D1712">
        <v>37622</v>
      </c>
      <c r="E1712" t="s">
        <v>707</v>
      </c>
      <c r="F1712">
        <v>3.7999999999999999E-2</v>
      </c>
      <c r="G1712">
        <v>2006</v>
      </c>
      <c r="H1712">
        <v>1</v>
      </c>
    </row>
    <row r="1713" spans="1:8" hidden="1" x14ac:dyDescent="0.25">
      <c r="A1713" t="s">
        <v>33</v>
      </c>
      <c r="B1713" t="s">
        <v>84</v>
      </c>
      <c r="C1713" t="s">
        <v>473</v>
      </c>
      <c r="D1713">
        <v>4471</v>
      </c>
      <c r="E1713" t="s">
        <v>708</v>
      </c>
      <c r="F1713">
        <v>1044.8309999999999</v>
      </c>
      <c r="G1713">
        <v>2007</v>
      </c>
      <c r="H1713">
        <v>1</v>
      </c>
    </row>
    <row r="1714" spans="1:8" hidden="1" x14ac:dyDescent="0.25">
      <c r="A1714" t="s">
        <v>33</v>
      </c>
      <c r="B1714" t="s">
        <v>84</v>
      </c>
      <c r="C1714" t="s">
        <v>478</v>
      </c>
      <c r="D1714">
        <v>33721</v>
      </c>
      <c r="E1714" t="s">
        <v>707</v>
      </c>
      <c r="F1714">
        <v>3746.5929999999998</v>
      </c>
      <c r="G1714">
        <v>2007</v>
      </c>
      <c r="H1714">
        <v>1</v>
      </c>
    </row>
    <row r="1715" spans="1:8" hidden="1" x14ac:dyDescent="0.25">
      <c r="A1715" t="s">
        <v>33</v>
      </c>
      <c r="B1715" t="s">
        <v>84</v>
      </c>
      <c r="C1715" t="s">
        <v>481</v>
      </c>
      <c r="D1715">
        <v>34796</v>
      </c>
      <c r="E1715" t="s">
        <v>707</v>
      </c>
      <c r="F1715">
        <v>47.798999999999999</v>
      </c>
      <c r="G1715">
        <v>2007</v>
      </c>
      <c r="H1715">
        <v>1</v>
      </c>
    </row>
    <row r="1716" spans="1:8" hidden="1" x14ac:dyDescent="0.25">
      <c r="A1716" t="s">
        <v>33</v>
      </c>
      <c r="B1716" t="s">
        <v>84</v>
      </c>
      <c r="C1716" t="s">
        <v>482</v>
      </c>
      <c r="D1716">
        <v>34797</v>
      </c>
      <c r="E1716" t="s">
        <v>707</v>
      </c>
      <c r="F1716">
        <v>14.37</v>
      </c>
      <c r="G1716">
        <v>2007</v>
      </c>
      <c r="H1716">
        <v>1</v>
      </c>
    </row>
    <row r="1717" spans="1:8" hidden="1" x14ac:dyDescent="0.25">
      <c r="A1717" t="s">
        <v>33</v>
      </c>
      <c r="B1717" t="s">
        <v>84</v>
      </c>
      <c r="C1717" t="s">
        <v>483</v>
      </c>
      <c r="D1717">
        <v>34798</v>
      </c>
      <c r="E1717" t="s">
        <v>707</v>
      </c>
      <c r="F1717">
        <v>5328.3320000000003</v>
      </c>
      <c r="G1717">
        <v>2007</v>
      </c>
      <c r="H1717">
        <v>1</v>
      </c>
    </row>
    <row r="1718" spans="1:8" hidden="1" x14ac:dyDescent="0.25">
      <c r="A1718" t="s">
        <v>33</v>
      </c>
      <c r="B1718" t="s">
        <v>84</v>
      </c>
      <c r="C1718" t="s">
        <v>480</v>
      </c>
      <c r="D1718">
        <v>37622</v>
      </c>
      <c r="E1718" t="s">
        <v>707</v>
      </c>
      <c r="F1718">
        <v>604.45299999999997</v>
      </c>
      <c r="G1718">
        <v>2007</v>
      </c>
      <c r="H1718">
        <v>1</v>
      </c>
    </row>
    <row r="1719" spans="1:8" hidden="1" x14ac:dyDescent="0.25">
      <c r="A1719" t="s">
        <v>33</v>
      </c>
      <c r="B1719" t="s">
        <v>84</v>
      </c>
      <c r="C1719" t="s">
        <v>473</v>
      </c>
      <c r="D1719">
        <v>4471</v>
      </c>
      <c r="E1719" t="s">
        <v>708</v>
      </c>
      <c r="F1719">
        <v>1177.2059999999999</v>
      </c>
      <c r="G1719">
        <v>2008</v>
      </c>
      <c r="H1719">
        <v>1</v>
      </c>
    </row>
    <row r="1720" spans="1:8" hidden="1" x14ac:dyDescent="0.25">
      <c r="A1720" t="s">
        <v>33</v>
      </c>
      <c r="B1720" t="s">
        <v>84</v>
      </c>
      <c r="C1720" t="s">
        <v>478</v>
      </c>
      <c r="D1720">
        <v>33721</v>
      </c>
      <c r="E1720" t="s">
        <v>707</v>
      </c>
      <c r="F1720">
        <v>82.474999999999994</v>
      </c>
      <c r="G1720">
        <v>2008</v>
      </c>
      <c r="H1720">
        <v>1</v>
      </c>
    </row>
    <row r="1721" spans="1:8" hidden="1" x14ac:dyDescent="0.25">
      <c r="A1721" t="s">
        <v>33</v>
      </c>
      <c r="B1721" t="s">
        <v>84</v>
      </c>
      <c r="C1721" t="s">
        <v>481</v>
      </c>
      <c r="D1721">
        <v>34796</v>
      </c>
      <c r="E1721" t="s">
        <v>707</v>
      </c>
      <c r="F1721">
        <v>10128.955</v>
      </c>
      <c r="G1721">
        <v>2008</v>
      </c>
      <c r="H1721">
        <v>1</v>
      </c>
    </row>
    <row r="1722" spans="1:8" hidden="1" x14ac:dyDescent="0.25">
      <c r="A1722" t="s">
        <v>33</v>
      </c>
      <c r="B1722" t="s">
        <v>84</v>
      </c>
      <c r="C1722" t="s">
        <v>482</v>
      </c>
      <c r="D1722">
        <v>34797</v>
      </c>
      <c r="E1722" t="s">
        <v>707</v>
      </c>
      <c r="F1722">
        <v>55.734999999999999</v>
      </c>
      <c r="G1722">
        <v>2008</v>
      </c>
      <c r="H1722">
        <v>1</v>
      </c>
    </row>
    <row r="1723" spans="1:8" hidden="1" x14ac:dyDescent="0.25">
      <c r="A1723" t="s">
        <v>33</v>
      </c>
      <c r="B1723" t="s">
        <v>84</v>
      </c>
      <c r="C1723" t="s">
        <v>484</v>
      </c>
      <c r="D1723">
        <v>37621</v>
      </c>
      <c r="E1723" t="s">
        <v>707</v>
      </c>
      <c r="F1723">
        <v>143.578</v>
      </c>
      <c r="G1723">
        <v>2008</v>
      </c>
      <c r="H1723">
        <v>1</v>
      </c>
    </row>
    <row r="1724" spans="1:8" hidden="1" x14ac:dyDescent="0.25">
      <c r="A1724" t="s">
        <v>33</v>
      </c>
      <c r="B1724" t="s">
        <v>84</v>
      </c>
      <c r="C1724" t="s">
        <v>480</v>
      </c>
      <c r="D1724">
        <v>37622</v>
      </c>
      <c r="E1724" t="s">
        <v>707</v>
      </c>
      <c r="F1724">
        <v>20.536999999999999</v>
      </c>
      <c r="G1724">
        <v>2008</v>
      </c>
      <c r="H1724">
        <v>1</v>
      </c>
    </row>
    <row r="1725" spans="1:8" hidden="1" x14ac:dyDescent="0.25">
      <c r="A1725" t="s">
        <v>33</v>
      </c>
      <c r="B1725" t="s">
        <v>84</v>
      </c>
      <c r="C1725" t="s">
        <v>473</v>
      </c>
      <c r="D1725">
        <v>4471</v>
      </c>
      <c r="E1725" t="s">
        <v>707</v>
      </c>
      <c r="F1725">
        <v>17.917999999999999</v>
      </c>
      <c r="G1725">
        <v>2015</v>
      </c>
      <c r="H1725">
        <v>1</v>
      </c>
    </row>
    <row r="1726" spans="1:8" hidden="1" x14ac:dyDescent="0.25">
      <c r="A1726" t="s">
        <v>33</v>
      </c>
      <c r="B1726" t="s">
        <v>84</v>
      </c>
      <c r="C1726" t="s">
        <v>485</v>
      </c>
      <c r="D1726">
        <v>47720</v>
      </c>
      <c r="E1726" t="s">
        <v>707</v>
      </c>
      <c r="F1726">
        <v>25.146000000000001</v>
      </c>
      <c r="G1726">
        <v>2015</v>
      </c>
      <c r="H1726">
        <v>1</v>
      </c>
    </row>
    <row r="1727" spans="1:8" hidden="1" x14ac:dyDescent="0.25">
      <c r="A1727" t="s">
        <v>33</v>
      </c>
      <c r="B1727" t="s">
        <v>84</v>
      </c>
      <c r="C1727" t="s">
        <v>486</v>
      </c>
      <c r="D1727">
        <v>52652</v>
      </c>
      <c r="E1727" t="s">
        <v>707</v>
      </c>
      <c r="F1727">
        <v>35.052999999999997</v>
      </c>
      <c r="G1727">
        <v>2015</v>
      </c>
      <c r="H1727">
        <v>1</v>
      </c>
    </row>
    <row r="1728" spans="1:8" hidden="1" x14ac:dyDescent="0.25">
      <c r="A1728" t="s">
        <v>33</v>
      </c>
      <c r="B1728" t="s">
        <v>84</v>
      </c>
      <c r="C1728" t="s">
        <v>487</v>
      </c>
      <c r="D1728">
        <v>52653</v>
      </c>
      <c r="E1728" t="s">
        <v>707</v>
      </c>
      <c r="F1728">
        <v>1.206</v>
      </c>
      <c r="G1728">
        <v>2015</v>
      </c>
      <c r="H1728">
        <v>1</v>
      </c>
    </row>
    <row r="1729" spans="1:51" hidden="1" x14ac:dyDescent="0.25">
      <c r="A1729" t="s">
        <v>33</v>
      </c>
      <c r="B1729" t="s">
        <v>84</v>
      </c>
      <c r="C1729" t="s">
        <v>488</v>
      </c>
      <c r="D1729">
        <v>53208</v>
      </c>
      <c r="E1729" t="s">
        <v>707</v>
      </c>
      <c r="F1729">
        <v>15.8</v>
      </c>
      <c r="G1729">
        <v>2015</v>
      </c>
      <c r="H1729">
        <v>1</v>
      </c>
    </row>
    <row r="1730" spans="1:51" hidden="1" x14ac:dyDescent="0.25">
      <c r="A1730" t="s">
        <v>33</v>
      </c>
      <c r="B1730" t="s">
        <v>84</v>
      </c>
      <c r="C1730" t="s">
        <v>473</v>
      </c>
      <c r="D1730">
        <v>4471</v>
      </c>
      <c r="E1730" t="s">
        <v>708</v>
      </c>
      <c r="F1730">
        <v>22.276</v>
      </c>
      <c r="G1730">
        <v>2016</v>
      </c>
      <c r="J1730">
        <f>15077+2402</f>
        <v>17479</v>
      </c>
      <c r="AM1730">
        <v>4797</v>
      </c>
    </row>
    <row r="1731" spans="1:51" hidden="1" x14ac:dyDescent="0.25">
      <c r="A1731" t="s">
        <v>33</v>
      </c>
      <c r="B1731" t="s">
        <v>84</v>
      </c>
      <c r="C1731" t="s">
        <v>485</v>
      </c>
      <c r="D1731">
        <v>47720</v>
      </c>
      <c r="E1731" t="s">
        <v>707</v>
      </c>
      <c r="F1731">
        <v>36.402000000000001</v>
      </c>
      <c r="G1731">
        <v>2016</v>
      </c>
      <c r="H1731">
        <v>1</v>
      </c>
    </row>
    <row r="1732" spans="1:51" hidden="1" x14ac:dyDescent="0.25">
      <c r="A1732" t="s">
        <v>33</v>
      </c>
      <c r="B1732" t="s">
        <v>84</v>
      </c>
      <c r="C1732" t="s">
        <v>486</v>
      </c>
      <c r="D1732">
        <v>52652</v>
      </c>
      <c r="E1732" t="s">
        <v>707</v>
      </c>
      <c r="F1732">
        <v>42.892000000000003</v>
      </c>
      <c r="G1732">
        <v>2016</v>
      </c>
      <c r="J1732">
        <f>14788+3168+11550</f>
        <v>29506</v>
      </c>
      <c r="N1732">
        <v>4516</v>
      </c>
      <c r="AL1732">
        <v>5086</v>
      </c>
      <c r="AM1732">
        <v>3784</v>
      </c>
    </row>
    <row r="1733" spans="1:51" hidden="1" x14ac:dyDescent="0.25">
      <c r="A1733" t="s">
        <v>33</v>
      </c>
      <c r="B1733" t="s">
        <v>84</v>
      </c>
      <c r="C1733" t="s">
        <v>488</v>
      </c>
      <c r="D1733">
        <v>53208</v>
      </c>
      <c r="E1733" t="s">
        <v>707</v>
      </c>
      <c r="F1733">
        <v>28.802</v>
      </c>
      <c r="G1733">
        <v>2016</v>
      </c>
      <c r="H1733">
        <v>1</v>
      </c>
    </row>
    <row r="1734" spans="1:51" hidden="1" x14ac:dyDescent="0.25">
      <c r="A1734" t="s">
        <v>33</v>
      </c>
      <c r="B1734" t="s">
        <v>84</v>
      </c>
      <c r="C1734" t="s">
        <v>489</v>
      </c>
      <c r="D1734">
        <v>55222</v>
      </c>
      <c r="E1734" t="s">
        <v>707</v>
      </c>
      <c r="F1734">
        <v>58.466999999999999</v>
      </c>
      <c r="G1734">
        <v>2016</v>
      </c>
      <c r="J1734">
        <f>4500</f>
        <v>4500</v>
      </c>
      <c r="N1734">
        <v>10095</v>
      </c>
      <c r="O1734">
        <v>37723</v>
      </c>
      <c r="AL1734">
        <v>99</v>
      </c>
      <c r="AN1734" t="s">
        <v>767</v>
      </c>
      <c r="AR1734" t="s">
        <v>767</v>
      </c>
    </row>
    <row r="1735" spans="1:51" hidden="1" x14ac:dyDescent="0.25">
      <c r="A1735" t="s">
        <v>33</v>
      </c>
      <c r="B1735" t="s">
        <v>84</v>
      </c>
      <c r="C1735" t="s">
        <v>490</v>
      </c>
      <c r="D1735">
        <v>55223</v>
      </c>
      <c r="E1735" t="s">
        <v>707</v>
      </c>
      <c r="F1735">
        <v>19.137</v>
      </c>
      <c r="G1735">
        <v>2016</v>
      </c>
      <c r="J1735">
        <v>4500</v>
      </c>
      <c r="N1735">
        <v>8121</v>
      </c>
      <c r="AL1735">
        <v>99</v>
      </c>
      <c r="AN1735" t="s">
        <v>767</v>
      </c>
      <c r="AR1735" t="s">
        <v>767</v>
      </c>
      <c r="AT1735">
        <v>370</v>
      </c>
    </row>
    <row r="1736" spans="1:51" hidden="1" x14ac:dyDescent="0.25">
      <c r="A1736" t="s">
        <v>33</v>
      </c>
      <c r="B1736" t="s">
        <v>84</v>
      </c>
      <c r="C1736" t="s">
        <v>491</v>
      </c>
      <c r="D1736">
        <v>55224</v>
      </c>
      <c r="E1736" t="s">
        <v>707</v>
      </c>
      <c r="F1736">
        <v>138.67500000000001</v>
      </c>
      <c r="G1736">
        <v>2016</v>
      </c>
      <c r="J1736">
        <v>4500</v>
      </c>
      <c r="AA1736">
        <v>60000</v>
      </c>
      <c r="AL1736">
        <v>99</v>
      </c>
      <c r="AP1736">
        <v>74077</v>
      </c>
    </row>
    <row r="1737" spans="1:51" hidden="1" x14ac:dyDescent="0.25">
      <c r="A1737" t="s">
        <v>33</v>
      </c>
      <c r="B1737" t="s">
        <v>84</v>
      </c>
      <c r="C1737" t="s">
        <v>473</v>
      </c>
      <c r="D1737">
        <v>4471</v>
      </c>
      <c r="E1737" t="s">
        <v>708</v>
      </c>
      <c r="F1737">
        <v>19.901</v>
      </c>
      <c r="G1737">
        <v>2017</v>
      </c>
      <c r="J1737">
        <f>14231+2603</f>
        <v>16834</v>
      </c>
      <c r="AM1737">
        <v>3067</v>
      </c>
    </row>
    <row r="1738" spans="1:51" hidden="1" x14ac:dyDescent="0.25">
      <c r="A1738" t="s">
        <v>33</v>
      </c>
      <c r="B1738" t="s">
        <v>84</v>
      </c>
      <c r="C1738" t="s">
        <v>485</v>
      </c>
      <c r="D1738">
        <v>47720</v>
      </c>
      <c r="E1738" t="s">
        <v>707</v>
      </c>
      <c r="F1738">
        <v>35.006999999999998</v>
      </c>
      <c r="G1738">
        <v>2017</v>
      </c>
      <c r="J1738">
        <f>13596+2606+9520</f>
        <v>25722</v>
      </c>
      <c r="AL1738">
        <v>2623</v>
      </c>
      <c r="AM1738">
        <v>6662</v>
      </c>
    </row>
    <row r="1739" spans="1:51" hidden="1" x14ac:dyDescent="0.25">
      <c r="A1739" t="s">
        <v>33</v>
      </c>
      <c r="B1739" t="s">
        <v>84</v>
      </c>
      <c r="C1739" t="s">
        <v>486</v>
      </c>
      <c r="D1739">
        <v>52652</v>
      </c>
      <c r="E1739" t="s">
        <v>707</v>
      </c>
      <c r="F1739">
        <v>61.033999999999999</v>
      </c>
      <c r="G1739">
        <v>2017</v>
      </c>
      <c r="J1739">
        <f>14058+3771+5700</f>
        <v>23529</v>
      </c>
      <c r="AL1739">
        <v>1347</v>
      </c>
      <c r="AM1739">
        <v>3005</v>
      </c>
      <c r="AY1739">
        <v>33153</v>
      </c>
    </row>
    <row r="1740" spans="1:51" hidden="1" x14ac:dyDescent="0.25">
      <c r="A1740" t="s">
        <v>33</v>
      </c>
      <c r="B1740" t="s">
        <v>84</v>
      </c>
      <c r="C1740" t="s">
        <v>488</v>
      </c>
      <c r="D1740">
        <v>53208</v>
      </c>
      <c r="E1740" t="s">
        <v>707</v>
      </c>
      <c r="F1740">
        <v>24.076000000000001</v>
      </c>
      <c r="G1740">
        <v>2017</v>
      </c>
      <c r="J1740">
        <f>13500+3076+7500</f>
        <v>24076</v>
      </c>
    </row>
    <row r="1741" spans="1:51" hidden="1" x14ac:dyDescent="0.25">
      <c r="A1741" t="s">
        <v>33</v>
      </c>
      <c r="B1741" t="s">
        <v>84</v>
      </c>
      <c r="C1741" t="s">
        <v>489</v>
      </c>
      <c r="D1741">
        <v>55222</v>
      </c>
      <c r="E1741" t="s">
        <v>707</v>
      </c>
      <c r="F1741">
        <v>4487.152</v>
      </c>
      <c r="G1741">
        <v>2017</v>
      </c>
      <c r="J1741">
        <f>9173+6988+1250</f>
        <v>17411</v>
      </c>
      <c r="O1741">
        <v>19843</v>
      </c>
      <c r="AM1741">
        <v>4512</v>
      </c>
      <c r="AN1741" t="s">
        <v>768</v>
      </c>
      <c r="AR1741" t="s">
        <v>768</v>
      </c>
      <c r="AX1741">
        <v>4386721</v>
      </c>
      <c r="AY1741">
        <v>46664</v>
      </c>
    </row>
    <row r="1742" spans="1:51" hidden="1" x14ac:dyDescent="0.25">
      <c r="A1742" t="s">
        <v>33</v>
      </c>
      <c r="B1742" t="s">
        <v>84</v>
      </c>
      <c r="C1742" t="s">
        <v>473</v>
      </c>
      <c r="D1742">
        <v>4471</v>
      </c>
      <c r="E1742" t="s">
        <v>708</v>
      </c>
      <c r="F1742">
        <v>13.801</v>
      </c>
      <c r="G1742">
        <v>2018</v>
      </c>
      <c r="J1742">
        <f>7500+4002</f>
        <v>11502</v>
      </c>
      <c r="AL1742">
        <v>2299</v>
      </c>
    </row>
    <row r="1743" spans="1:51" hidden="1" x14ac:dyDescent="0.25">
      <c r="A1743" t="s">
        <v>33</v>
      </c>
      <c r="B1743" t="s">
        <v>84</v>
      </c>
      <c r="C1743" t="s">
        <v>485</v>
      </c>
      <c r="D1743">
        <v>47720</v>
      </c>
      <c r="E1743" t="s">
        <v>707</v>
      </c>
      <c r="F1743">
        <v>45.796999999999997</v>
      </c>
      <c r="G1743">
        <v>2018</v>
      </c>
      <c r="J1743">
        <f>7500+7482+10480</f>
        <v>25462</v>
      </c>
      <c r="AL1743">
        <v>947</v>
      </c>
      <c r="AM1743">
        <v>4389</v>
      </c>
      <c r="AN1743" t="s">
        <v>768</v>
      </c>
      <c r="AR1743" t="s">
        <v>768</v>
      </c>
    </row>
    <row r="1744" spans="1:51" hidden="1" x14ac:dyDescent="0.25">
      <c r="A1744" t="s">
        <v>33</v>
      </c>
      <c r="B1744" t="s">
        <v>84</v>
      </c>
      <c r="C1744" t="s">
        <v>486</v>
      </c>
      <c r="D1744">
        <v>52652</v>
      </c>
      <c r="E1744" t="s">
        <v>707</v>
      </c>
      <c r="F1744">
        <v>35.917999999999999</v>
      </c>
      <c r="G1744">
        <v>2018</v>
      </c>
      <c r="J1744">
        <f>7500+7521+3900</f>
        <v>18921</v>
      </c>
      <c r="AL1744">
        <v>99</v>
      </c>
      <c r="AM1744">
        <v>3057</v>
      </c>
      <c r="AN1744" t="s">
        <v>768</v>
      </c>
      <c r="AR1744" t="s">
        <v>768</v>
      </c>
      <c r="AT1744">
        <v>160</v>
      </c>
      <c r="AV1744">
        <v>5929</v>
      </c>
      <c r="AY1744" t="s">
        <v>768</v>
      </c>
    </row>
    <row r="1745" spans="1:52" hidden="1" x14ac:dyDescent="0.25">
      <c r="A1745" t="s">
        <v>33</v>
      </c>
      <c r="B1745" t="s">
        <v>84</v>
      </c>
      <c r="C1745" t="s">
        <v>492</v>
      </c>
      <c r="D1745">
        <v>62319</v>
      </c>
      <c r="E1745" t="s">
        <v>707</v>
      </c>
      <c r="F1745">
        <v>14.257</v>
      </c>
      <c r="G1745">
        <v>2018</v>
      </c>
      <c r="J1745">
        <f>8077+1725</f>
        <v>9802</v>
      </c>
      <c r="AL1745">
        <v>99</v>
      </c>
      <c r="AN1745" t="s">
        <v>768</v>
      </c>
      <c r="AR1745" t="s">
        <v>768</v>
      </c>
    </row>
    <row r="1746" spans="1:52" hidden="1" x14ac:dyDescent="0.25">
      <c r="A1746" t="s">
        <v>33</v>
      </c>
      <c r="B1746" t="s">
        <v>84</v>
      </c>
      <c r="C1746" t="s">
        <v>493</v>
      </c>
      <c r="D1746">
        <v>62320</v>
      </c>
      <c r="E1746" t="s">
        <v>707</v>
      </c>
      <c r="F1746">
        <v>41.000999999999998</v>
      </c>
      <c r="G1746">
        <v>2018</v>
      </c>
      <c r="J1746">
        <f>10500+7234</f>
        <v>17734</v>
      </c>
      <c r="AL1746">
        <v>99</v>
      </c>
      <c r="AM1746">
        <v>4280</v>
      </c>
      <c r="AN1746" t="s">
        <v>768</v>
      </c>
      <c r="AR1746" t="s">
        <v>768</v>
      </c>
      <c r="AV1746">
        <v>3938</v>
      </c>
    </row>
    <row r="1747" spans="1:52" s="4" customFormat="1" hidden="1" x14ac:dyDescent="0.25">
      <c r="A1747" s="4" t="s">
        <v>34</v>
      </c>
      <c r="B1747" s="4" t="s">
        <v>85</v>
      </c>
      <c r="C1747" s="4" t="s">
        <v>494</v>
      </c>
      <c r="D1747" s="4">
        <v>20955</v>
      </c>
      <c r="E1747" s="4" t="s">
        <v>707</v>
      </c>
      <c r="F1747" s="4">
        <v>47.96</v>
      </c>
      <c r="G1747" s="4">
        <v>2006</v>
      </c>
      <c r="J1747" s="4">
        <v>19500</v>
      </c>
      <c r="X1747" s="4">
        <v>2960</v>
      </c>
      <c r="AN1747" s="4">
        <v>15000</v>
      </c>
      <c r="AR1747" s="4">
        <v>10500</v>
      </c>
      <c r="AZ1747" s="8"/>
    </row>
    <row r="1748" spans="1:52" hidden="1" x14ac:dyDescent="0.25">
      <c r="A1748" t="s">
        <v>34</v>
      </c>
      <c r="B1748" t="s">
        <v>85</v>
      </c>
      <c r="C1748" t="s">
        <v>495</v>
      </c>
      <c r="D1748">
        <v>21367</v>
      </c>
      <c r="E1748" t="s">
        <v>708</v>
      </c>
      <c r="F1748">
        <v>69.98</v>
      </c>
      <c r="G1748">
        <v>2006</v>
      </c>
      <c r="J1748">
        <v>31500</v>
      </c>
      <c r="X1748">
        <v>12980</v>
      </c>
      <c r="AN1748">
        <v>15000</v>
      </c>
      <c r="AR1748">
        <v>10500</v>
      </c>
    </row>
    <row r="1749" spans="1:52" hidden="1" x14ac:dyDescent="0.25">
      <c r="A1749" t="s">
        <v>34</v>
      </c>
      <c r="B1749" t="s">
        <v>85</v>
      </c>
      <c r="C1749" t="s">
        <v>496</v>
      </c>
      <c r="D1749">
        <v>25150</v>
      </c>
      <c r="E1749" t="s">
        <v>707</v>
      </c>
      <c r="F1749">
        <v>34.25</v>
      </c>
      <c r="G1749">
        <v>2006</v>
      </c>
      <c r="J1749">
        <v>17250</v>
      </c>
      <c r="AN1749">
        <v>10000</v>
      </c>
      <c r="AR1749">
        <v>7000</v>
      </c>
    </row>
    <row r="1750" spans="1:52" hidden="1" x14ac:dyDescent="0.25">
      <c r="A1750" t="s">
        <v>34</v>
      </c>
      <c r="B1750" t="s">
        <v>85</v>
      </c>
      <c r="C1750" t="s">
        <v>497</v>
      </c>
      <c r="D1750">
        <v>26910</v>
      </c>
      <c r="E1750" t="s">
        <v>707</v>
      </c>
      <c r="F1750">
        <v>129.648</v>
      </c>
      <c r="G1750">
        <v>2006</v>
      </c>
      <c r="J1750">
        <v>16500</v>
      </c>
      <c r="X1750">
        <v>2060</v>
      </c>
      <c r="AN1750">
        <v>12500</v>
      </c>
      <c r="AR1750">
        <v>98588</v>
      </c>
    </row>
    <row r="1751" spans="1:52" hidden="1" x14ac:dyDescent="0.25">
      <c r="A1751" t="s">
        <v>34</v>
      </c>
      <c r="B1751" t="s">
        <v>85</v>
      </c>
      <c r="C1751" t="s">
        <v>498</v>
      </c>
      <c r="D1751">
        <v>30531</v>
      </c>
      <c r="E1751" t="s">
        <v>707</v>
      </c>
      <c r="F1751">
        <v>32.408000000000001</v>
      </c>
      <c r="G1751">
        <v>2006</v>
      </c>
      <c r="J1751">
        <v>14198</v>
      </c>
      <c r="X1751">
        <v>2060</v>
      </c>
      <c r="AN1751">
        <v>9500</v>
      </c>
      <c r="AR1751">
        <v>6650</v>
      </c>
    </row>
    <row r="1752" spans="1:52" hidden="1" x14ac:dyDescent="0.25">
      <c r="A1752" t="s">
        <v>34</v>
      </c>
      <c r="B1752" t="s">
        <v>85</v>
      </c>
      <c r="C1752" t="s">
        <v>494</v>
      </c>
      <c r="D1752">
        <v>20955</v>
      </c>
      <c r="E1752" t="s">
        <v>707</v>
      </c>
      <c r="F1752">
        <v>52.319000000000003</v>
      </c>
      <c r="G1752">
        <v>2007</v>
      </c>
      <c r="J1752">
        <v>20550</v>
      </c>
      <c r="X1752">
        <v>6010</v>
      </c>
      <c r="AN1752">
        <v>15000</v>
      </c>
      <c r="AR1752">
        <v>10759</v>
      </c>
    </row>
    <row r="1753" spans="1:52" hidden="1" x14ac:dyDescent="0.25">
      <c r="A1753" t="s">
        <v>34</v>
      </c>
      <c r="B1753" t="s">
        <v>85</v>
      </c>
      <c r="C1753" t="s">
        <v>495</v>
      </c>
      <c r="D1753">
        <v>21367</v>
      </c>
      <c r="E1753" t="s">
        <v>708</v>
      </c>
      <c r="F1753">
        <v>75.972999999999999</v>
      </c>
      <c r="G1753">
        <v>2007</v>
      </c>
      <c r="J1753">
        <v>33000</v>
      </c>
      <c r="X1753">
        <v>13964</v>
      </c>
      <c r="AN1753">
        <v>15000</v>
      </c>
      <c r="AR1753">
        <v>14009</v>
      </c>
    </row>
    <row r="1754" spans="1:52" hidden="1" x14ac:dyDescent="0.25">
      <c r="A1754" t="s">
        <v>34</v>
      </c>
      <c r="B1754" t="s">
        <v>85</v>
      </c>
      <c r="C1754" t="s">
        <v>496</v>
      </c>
      <c r="D1754">
        <v>25150</v>
      </c>
      <c r="E1754" t="s">
        <v>707</v>
      </c>
      <c r="F1754">
        <v>36.75</v>
      </c>
      <c r="G1754">
        <v>2007</v>
      </c>
      <c r="J1754">
        <v>19500</v>
      </c>
      <c r="AN1754">
        <v>10000</v>
      </c>
      <c r="AR1754">
        <v>7250</v>
      </c>
    </row>
    <row r="1755" spans="1:52" hidden="1" x14ac:dyDescent="0.25">
      <c r="A1755" t="s">
        <v>34</v>
      </c>
      <c r="B1755" t="s">
        <v>85</v>
      </c>
      <c r="C1755" t="s">
        <v>497</v>
      </c>
      <c r="D1755">
        <v>26910</v>
      </c>
      <c r="E1755" t="s">
        <v>707</v>
      </c>
      <c r="F1755">
        <v>137.55699999999999</v>
      </c>
      <c r="G1755">
        <v>2007</v>
      </c>
      <c r="J1755">
        <v>18000</v>
      </c>
      <c r="X1755">
        <v>2060</v>
      </c>
      <c r="AN1755">
        <v>10000</v>
      </c>
      <c r="AR1755">
        <v>107497</v>
      </c>
    </row>
    <row r="1756" spans="1:52" hidden="1" x14ac:dyDescent="0.25">
      <c r="A1756" t="s">
        <v>34</v>
      </c>
      <c r="B1756" t="s">
        <v>85</v>
      </c>
      <c r="C1756" t="s">
        <v>498</v>
      </c>
      <c r="D1756">
        <v>30531</v>
      </c>
      <c r="E1756" t="s">
        <v>707</v>
      </c>
      <c r="F1756">
        <v>34.302</v>
      </c>
      <c r="G1756">
        <v>2007</v>
      </c>
      <c r="H1756">
        <v>1</v>
      </c>
    </row>
    <row r="1757" spans="1:52" hidden="1" x14ac:dyDescent="0.25">
      <c r="A1757" t="s">
        <v>34</v>
      </c>
      <c r="B1757" t="s">
        <v>85</v>
      </c>
      <c r="C1757" t="s">
        <v>499</v>
      </c>
      <c r="D1757">
        <v>34338</v>
      </c>
      <c r="E1757" t="s">
        <v>707</v>
      </c>
      <c r="F1757">
        <v>34.115000000000002</v>
      </c>
      <c r="G1757">
        <v>2007</v>
      </c>
      <c r="J1757">
        <v>14813</v>
      </c>
      <c r="X1757">
        <v>2060</v>
      </c>
      <c r="AN1757">
        <v>10000</v>
      </c>
      <c r="AR1757">
        <v>7242</v>
      </c>
    </row>
    <row r="1758" spans="1:52" hidden="1" x14ac:dyDescent="0.25">
      <c r="A1758" t="s">
        <v>34</v>
      </c>
      <c r="B1758" t="s">
        <v>85</v>
      </c>
      <c r="C1758" t="s">
        <v>494</v>
      </c>
      <c r="D1758">
        <v>20955</v>
      </c>
      <c r="E1758" t="s">
        <v>708</v>
      </c>
      <c r="F1758">
        <v>54.731000000000002</v>
      </c>
      <c r="G1758">
        <v>2008</v>
      </c>
      <c r="J1758">
        <v>22875</v>
      </c>
      <c r="X1758">
        <v>6356</v>
      </c>
      <c r="AN1758">
        <v>15000</v>
      </c>
      <c r="AR1758">
        <v>10500</v>
      </c>
    </row>
    <row r="1759" spans="1:52" hidden="1" x14ac:dyDescent="0.25">
      <c r="A1759" t="s">
        <v>34</v>
      </c>
      <c r="B1759" t="s">
        <v>85</v>
      </c>
      <c r="C1759" t="s">
        <v>495</v>
      </c>
      <c r="D1759">
        <v>21367</v>
      </c>
      <c r="E1759" t="s">
        <v>707</v>
      </c>
      <c r="F1759">
        <v>25.196000000000002</v>
      </c>
      <c r="G1759">
        <v>2008</v>
      </c>
      <c r="J1759">
        <v>17250</v>
      </c>
      <c r="X1759">
        <v>7946</v>
      </c>
    </row>
    <row r="1760" spans="1:52" hidden="1" x14ac:dyDescent="0.25">
      <c r="A1760" t="s">
        <v>34</v>
      </c>
      <c r="B1760" t="s">
        <v>85</v>
      </c>
      <c r="C1760" t="s">
        <v>496</v>
      </c>
      <c r="D1760">
        <v>25150</v>
      </c>
      <c r="E1760" t="s">
        <v>707</v>
      </c>
      <c r="F1760">
        <v>10.5</v>
      </c>
      <c r="G1760">
        <v>2008</v>
      </c>
      <c r="J1760">
        <v>10500</v>
      </c>
    </row>
    <row r="1761" spans="1:44" hidden="1" x14ac:dyDescent="0.25">
      <c r="A1761" t="s">
        <v>34</v>
      </c>
      <c r="B1761" t="s">
        <v>85</v>
      </c>
      <c r="C1761" t="s">
        <v>497</v>
      </c>
      <c r="D1761">
        <v>26910</v>
      </c>
      <c r="E1761" t="s">
        <v>707</v>
      </c>
      <c r="F1761">
        <v>15.797000000000001</v>
      </c>
      <c r="G1761">
        <v>2008</v>
      </c>
      <c r="J1761">
        <f>3000+10025</f>
        <v>13025</v>
      </c>
      <c r="X1761">
        <v>1028</v>
      </c>
      <c r="AM1761">
        <v>1744</v>
      </c>
    </row>
    <row r="1762" spans="1:44" hidden="1" x14ac:dyDescent="0.25">
      <c r="A1762" t="s">
        <v>34</v>
      </c>
      <c r="B1762" t="s">
        <v>85</v>
      </c>
      <c r="C1762" t="s">
        <v>498</v>
      </c>
      <c r="D1762">
        <v>30531</v>
      </c>
      <c r="E1762" t="s">
        <v>707</v>
      </c>
      <c r="F1762">
        <v>35.805999999999997</v>
      </c>
      <c r="G1762">
        <v>2008</v>
      </c>
      <c r="J1762">
        <f>1000+15750</f>
        <v>16750</v>
      </c>
      <c r="X1762">
        <v>2056</v>
      </c>
      <c r="AN1762">
        <v>10000</v>
      </c>
      <c r="AR1762">
        <v>7000</v>
      </c>
    </row>
    <row r="1763" spans="1:44" hidden="1" x14ac:dyDescent="0.25">
      <c r="A1763" t="s">
        <v>34</v>
      </c>
      <c r="B1763" t="s">
        <v>85</v>
      </c>
      <c r="C1763" t="s">
        <v>499</v>
      </c>
      <c r="D1763">
        <v>34338</v>
      </c>
      <c r="E1763" t="s">
        <v>707</v>
      </c>
      <c r="F1763">
        <v>8.6080000000000005</v>
      </c>
      <c r="G1763">
        <v>2008</v>
      </c>
      <c r="J1763">
        <f>6900</f>
        <v>6900</v>
      </c>
      <c r="X1763">
        <v>1028</v>
      </c>
      <c r="AN1763">
        <v>400</v>
      </c>
      <c r="AR1763">
        <v>280</v>
      </c>
    </row>
    <row r="1764" spans="1:44" hidden="1" x14ac:dyDescent="0.25">
      <c r="A1764" t="s">
        <v>34</v>
      </c>
      <c r="B1764" t="s">
        <v>85</v>
      </c>
      <c r="C1764" t="s">
        <v>500</v>
      </c>
      <c r="D1764">
        <v>37816</v>
      </c>
      <c r="E1764" t="s">
        <v>707</v>
      </c>
      <c r="F1764">
        <v>30.756</v>
      </c>
      <c r="G1764">
        <v>2008</v>
      </c>
      <c r="J1764">
        <f>3000+9975</f>
        <v>12975</v>
      </c>
      <c r="X1764">
        <v>2056</v>
      </c>
      <c r="AN1764">
        <v>9250</v>
      </c>
      <c r="AR1764">
        <v>6475</v>
      </c>
    </row>
    <row r="1765" spans="1:44" hidden="1" x14ac:dyDescent="0.25">
      <c r="A1765" t="s">
        <v>34</v>
      </c>
      <c r="B1765" t="s">
        <v>85</v>
      </c>
      <c r="C1765" t="s">
        <v>501</v>
      </c>
      <c r="D1765">
        <v>37817</v>
      </c>
      <c r="E1765" t="s">
        <v>707</v>
      </c>
      <c r="F1765">
        <v>34.045000000000002</v>
      </c>
      <c r="G1765">
        <v>2008</v>
      </c>
      <c r="J1765">
        <v>13500</v>
      </c>
      <c r="AM1765">
        <v>3545</v>
      </c>
      <c r="AN1765">
        <v>10000</v>
      </c>
      <c r="AR1765">
        <v>7000</v>
      </c>
    </row>
    <row r="1766" spans="1:44" hidden="1" x14ac:dyDescent="0.25">
      <c r="A1766" t="s">
        <v>34</v>
      </c>
      <c r="B1766" t="s">
        <v>85</v>
      </c>
      <c r="C1766" t="s">
        <v>502</v>
      </c>
      <c r="D1766">
        <v>37818</v>
      </c>
      <c r="E1766" t="s">
        <v>707</v>
      </c>
      <c r="F1766">
        <v>21.864000000000001</v>
      </c>
      <c r="G1766">
        <v>2008</v>
      </c>
      <c r="J1766">
        <v>6900</v>
      </c>
      <c r="X1766">
        <v>514</v>
      </c>
      <c r="AN1766">
        <v>8500</v>
      </c>
      <c r="AR1766">
        <v>5950</v>
      </c>
    </row>
    <row r="1767" spans="1:44" hidden="1" x14ac:dyDescent="0.25">
      <c r="A1767" t="s">
        <v>34</v>
      </c>
      <c r="B1767" t="s">
        <v>85</v>
      </c>
      <c r="C1767" t="s">
        <v>494</v>
      </c>
      <c r="D1767">
        <v>20955</v>
      </c>
      <c r="E1767" t="s">
        <v>708</v>
      </c>
      <c r="F1767">
        <v>28.341000000000001</v>
      </c>
      <c r="G1767">
        <v>2009</v>
      </c>
      <c r="J1767">
        <f>4473</f>
        <v>4473</v>
      </c>
      <c r="X1767">
        <v>6356</v>
      </c>
      <c r="AM1767">
        <v>2512</v>
      </c>
      <c r="AN1767">
        <v>15000</v>
      </c>
    </row>
    <row r="1768" spans="1:44" hidden="1" x14ac:dyDescent="0.25">
      <c r="A1768" t="s">
        <v>34</v>
      </c>
      <c r="B1768" t="s">
        <v>85</v>
      </c>
      <c r="C1768" t="s">
        <v>498</v>
      </c>
      <c r="D1768">
        <v>30531</v>
      </c>
      <c r="E1768" t="s">
        <v>707</v>
      </c>
      <c r="F1768">
        <v>16.622</v>
      </c>
      <c r="G1768">
        <v>2009</v>
      </c>
      <c r="J1768">
        <f>3000+3108</f>
        <v>6108</v>
      </c>
      <c r="X1768">
        <v>514</v>
      </c>
      <c r="AN1768">
        <v>10000</v>
      </c>
    </row>
    <row r="1769" spans="1:44" hidden="1" x14ac:dyDescent="0.25">
      <c r="A1769" t="s">
        <v>34</v>
      </c>
      <c r="B1769" t="s">
        <v>85</v>
      </c>
      <c r="C1769" t="s">
        <v>500</v>
      </c>
      <c r="D1769">
        <v>37816</v>
      </c>
      <c r="E1769" t="s">
        <v>707</v>
      </c>
      <c r="F1769">
        <v>17.039000000000001</v>
      </c>
      <c r="G1769">
        <v>2009</v>
      </c>
      <c r="J1769">
        <f>2500+2368</f>
        <v>4868</v>
      </c>
      <c r="X1769">
        <v>2056</v>
      </c>
      <c r="AM1769">
        <v>115</v>
      </c>
      <c r="AN1769">
        <v>10000</v>
      </c>
    </row>
    <row r="1770" spans="1:44" hidden="1" x14ac:dyDescent="0.25">
      <c r="A1770" t="s">
        <v>34</v>
      </c>
      <c r="B1770" t="s">
        <v>85</v>
      </c>
      <c r="C1770" t="s">
        <v>502</v>
      </c>
      <c r="D1770">
        <v>37818</v>
      </c>
      <c r="E1770" t="s">
        <v>707</v>
      </c>
      <c r="F1770">
        <v>12.614000000000001</v>
      </c>
      <c r="G1770">
        <v>2009</v>
      </c>
      <c r="J1770">
        <f>1983</f>
        <v>1983</v>
      </c>
      <c r="X1770">
        <v>2056</v>
      </c>
      <c r="AM1770">
        <v>75</v>
      </c>
      <c r="AN1770">
        <v>8500</v>
      </c>
    </row>
    <row r="1771" spans="1:44" hidden="1" x14ac:dyDescent="0.25">
      <c r="A1771" t="s">
        <v>34</v>
      </c>
      <c r="B1771" t="s">
        <v>85</v>
      </c>
      <c r="C1771" t="s">
        <v>503</v>
      </c>
      <c r="D1771">
        <v>39364</v>
      </c>
      <c r="E1771" t="s">
        <v>707</v>
      </c>
      <c r="F1771">
        <v>13.506</v>
      </c>
      <c r="G1771">
        <v>2009</v>
      </c>
      <c r="J1771">
        <f>1375</f>
        <v>1375</v>
      </c>
      <c r="X1771">
        <v>2056</v>
      </c>
      <c r="AM1771">
        <v>75</v>
      </c>
      <c r="AN1771">
        <v>10000</v>
      </c>
    </row>
    <row r="1772" spans="1:44" hidden="1" x14ac:dyDescent="0.25">
      <c r="A1772" t="s">
        <v>34</v>
      </c>
      <c r="B1772" t="s">
        <v>85</v>
      </c>
      <c r="C1772" t="s">
        <v>494</v>
      </c>
      <c r="D1772">
        <v>20955</v>
      </c>
      <c r="E1772" t="s">
        <v>708</v>
      </c>
      <c r="F1772">
        <v>21.481000000000002</v>
      </c>
      <c r="G1772">
        <v>2010</v>
      </c>
      <c r="X1772">
        <v>6481</v>
      </c>
      <c r="AN1772">
        <v>15000</v>
      </c>
    </row>
    <row r="1773" spans="1:44" hidden="1" x14ac:dyDescent="0.25">
      <c r="A1773" t="s">
        <v>34</v>
      </c>
      <c r="B1773" t="s">
        <v>85</v>
      </c>
      <c r="C1773" t="s">
        <v>498</v>
      </c>
      <c r="D1773">
        <v>30531</v>
      </c>
      <c r="E1773" t="s">
        <v>707</v>
      </c>
      <c r="F1773">
        <v>15.526</v>
      </c>
      <c r="G1773">
        <v>2010</v>
      </c>
      <c r="J1773">
        <f>1500+263</f>
        <v>1763</v>
      </c>
      <c r="AM1773">
        <v>3763</v>
      </c>
      <c r="AN1773">
        <v>10000</v>
      </c>
    </row>
    <row r="1774" spans="1:44" hidden="1" x14ac:dyDescent="0.25">
      <c r="A1774" t="s">
        <v>34</v>
      </c>
      <c r="B1774" t="s">
        <v>85</v>
      </c>
      <c r="C1774" t="s">
        <v>500</v>
      </c>
      <c r="D1774">
        <v>37816</v>
      </c>
      <c r="E1774" t="s">
        <v>707</v>
      </c>
      <c r="F1774">
        <v>19.646999999999998</v>
      </c>
      <c r="G1774">
        <v>2010</v>
      </c>
      <c r="J1774">
        <f>1500+4985</f>
        <v>6485</v>
      </c>
      <c r="X1774">
        <v>2056</v>
      </c>
      <c r="AM1774">
        <v>1106</v>
      </c>
      <c r="AN1774">
        <v>10000</v>
      </c>
    </row>
    <row r="1775" spans="1:44" hidden="1" x14ac:dyDescent="0.25">
      <c r="A1775" t="s">
        <v>34</v>
      </c>
      <c r="B1775" t="s">
        <v>85</v>
      </c>
      <c r="C1775" t="s">
        <v>502</v>
      </c>
      <c r="D1775">
        <v>37818</v>
      </c>
      <c r="E1775" t="s">
        <v>707</v>
      </c>
      <c r="F1775">
        <v>11.824</v>
      </c>
      <c r="G1775">
        <v>2010</v>
      </c>
      <c r="H1775">
        <v>1</v>
      </c>
    </row>
    <row r="1776" spans="1:44" hidden="1" x14ac:dyDescent="0.25">
      <c r="A1776" t="s">
        <v>34</v>
      </c>
      <c r="B1776" t="s">
        <v>85</v>
      </c>
      <c r="C1776" t="s">
        <v>503</v>
      </c>
      <c r="D1776">
        <v>39364</v>
      </c>
      <c r="E1776" t="s">
        <v>707</v>
      </c>
      <c r="F1776">
        <v>16.324999999999999</v>
      </c>
      <c r="G1776">
        <v>2010</v>
      </c>
      <c r="J1776">
        <f>2200+2019</f>
        <v>4219</v>
      </c>
      <c r="X1776">
        <v>2056</v>
      </c>
      <c r="AM1776">
        <v>50</v>
      </c>
      <c r="AN1776">
        <v>10000</v>
      </c>
    </row>
    <row r="1777" spans="1:50" hidden="1" x14ac:dyDescent="0.25">
      <c r="A1777" t="s">
        <v>34</v>
      </c>
      <c r="B1777" t="s">
        <v>85</v>
      </c>
      <c r="C1777" t="s">
        <v>504</v>
      </c>
      <c r="D1777">
        <v>43840</v>
      </c>
      <c r="E1777" t="s">
        <v>707</v>
      </c>
      <c r="F1777">
        <v>2.6139999999999999</v>
      </c>
      <c r="G1777">
        <v>2010</v>
      </c>
      <c r="J1777">
        <f>953</f>
        <v>953</v>
      </c>
      <c r="AM1777">
        <v>50</v>
      </c>
      <c r="AN1777">
        <v>1611</v>
      </c>
    </row>
    <row r="1778" spans="1:50" hidden="1" x14ac:dyDescent="0.25">
      <c r="A1778" t="s">
        <v>34</v>
      </c>
      <c r="B1778" t="s">
        <v>85</v>
      </c>
      <c r="C1778" t="s">
        <v>494</v>
      </c>
      <c r="D1778">
        <v>20955</v>
      </c>
      <c r="E1778" t="s">
        <v>708</v>
      </c>
      <c r="F1778">
        <v>77.012</v>
      </c>
      <c r="G1778">
        <v>2011</v>
      </c>
      <c r="J1778">
        <f>49862</f>
        <v>49862</v>
      </c>
      <c r="X1778">
        <v>9394</v>
      </c>
      <c r="AM1778">
        <v>2756</v>
      </c>
      <c r="AN1778">
        <v>15000</v>
      </c>
    </row>
    <row r="1779" spans="1:50" hidden="1" x14ac:dyDescent="0.25">
      <c r="A1779" t="s">
        <v>34</v>
      </c>
      <c r="B1779" t="s">
        <v>85</v>
      </c>
      <c r="C1779" t="s">
        <v>498</v>
      </c>
      <c r="D1779">
        <v>30531</v>
      </c>
      <c r="E1779" t="s">
        <v>707</v>
      </c>
      <c r="F1779">
        <v>672.226</v>
      </c>
      <c r="G1779">
        <v>2011</v>
      </c>
      <c r="J1779">
        <f>3000+12543</f>
        <v>15543</v>
      </c>
      <c r="AN1779">
        <v>10000</v>
      </c>
      <c r="AX1779">
        <v>646683</v>
      </c>
    </row>
    <row r="1780" spans="1:50" hidden="1" x14ac:dyDescent="0.25">
      <c r="A1780" t="s">
        <v>34</v>
      </c>
      <c r="B1780" t="s">
        <v>85</v>
      </c>
      <c r="C1780" t="s">
        <v>500</v>
      </c>
      <c r="D1780">
        <v>37816</v>
      </c>
      <c r="E1780" t="s">
        <v>707</v>
      </c>
      <c r="F1780">
        <v>39.826999999999998</v>
      </c>
      <c r="G1780">
        <v>2011</v>
      </c>
      <c r="J1780">
        <f>3000+18719</f>
        <v>21719</v>
      </c>
      <c r="X1780">
        <v>6594</v>
      </c>
      <c r="AM1780">
        <v>1514</v>
      </c>
      <c r="AN1780">
        <v>10000</v>
      </c>
    </row>
    <row r="1781" spans="1:50" hidden="1" x14ac:dyDescent="0.25">
      <c r="A1781" t="s">
        <v>34</v>
      </c>
      <c r="B1781" t="s">
        <v>85</v>
      </c>
      <c r="C1781" t="s">
        <v>502</v>
      </c>
      <c r="D1781">
        <v>37818</v>
      </c>
      <c r="E1781" t="s">
        <v>707</v>
      </c>
      <c r="F1781">
        <v>25.920999999999999</v>
      </c>
      <c r="G1781">
        <v>2011</v>
      </c>
      <c r="J1781">
        <f>13977</f>
        <v>13977</v>
      </c>
      <c r="X1781">
        <v>2194</v>
      </c>
      <c r="AM1781">
        <v>1250</v>
      </c>
      <c r="AN1781">
        <v>8500</v>
      </c>
    </row>
    <row r="1782" spans="1:50" hidden="1" x14ac:dyDescent="0.25">
      <c r="A1782" t="s">
        <v>34</v>
      </c>
      <c r="B1782" t="s">
        <v>85</v>
      </c>
      <c r="C1782" t="s">
        <v>503</v>
      </c>
      <c r="D1782">
        <v>39364</v>
      </c>
      <c r="E1782" t="s">
        <v>707</v>
      </c>
      <c r="F1782">
        <v>23.34</v>
      </c>
      <c r="G1782">
        <v>2011</v>
      </c>
      <c r="J1782">
        <f>2000+9096</f>
        <v>11096</v>
      </c>
      <c r="X1782">
        <v>2194</v>
      </c>
      <c r="AM1782">
        <v>50</v>
      </c>
      <c r="AN1782">
        <v>10000</v>
      </c>
    </row>
    <row r="1783" spans="1:50" hidden="1" x14ac:dyDescent="0.25">
      <c r="A1783" t="s">
        <v>34</v>
      </c>
      <c r="B1783" t="s">
        <v>85</v>
      </c>
      <c r="C1783" t="s">
        <v>504</v>
      </c>
      <c r="D1783">
        <v>43840</v>
      </c>
      <c r="E1783" t="s">
        <v>707</v>
      </c>
      <c r="F1783">
        <v>28.021999999999998</v>
      </c>
      <c r="G1783">
        <v>2011</v>
      </c>
      <c r="J1783">
        <f>600+17244</f>
        <v>17844</v>
      </c>
      <c r="AM1783">
        <v>1305</v>
      </c>
      <c r="AN1783">
        <v>8873</v>
      </c>
    </row>
    <row r="1784" spans="1:50" hidden="1" x14ac:dyDescent="0.25">
      <c r="A1784" t="s">
        <v>34</v>
      </c>
      <c r="B1784" t="s">
        <v>85</v>
      </c>
      <c r="C1784" t="s">
        <v>505</v>
      </c>
      <c r="D1784">
        <v>45432</v>
      </c>
      <c r="E1784" t="s">
        <v>707</v>
      </c>
      <c r="F1784">
        <v>0.871</v>
      </c>
      <c r="G1784">
        <v>2011</v>
      </c>
      <c r="X1784">
        <v>871</v>
      </c>
    </row>
    <row r="1785" spans="1:50" hidden="1" x14ac:dyDescent="0.25">
      <c r="A1785" t="s">
        <v>34</v>
      </c>
      <c r="B1785" t="s">
        <v>85</v>
      </c>
      <c r="C1785" t="s">
        <v>494</v>
      </c>
      <c r="D1785">
        <v>20955</v>
      </c>
      <c r="E1785" t="s">
        <v>708</v>
      </c>
      <c r="F1785">
        <v>101.04</v>
      </c>
      <c r="G1785">
        <v>2012</v>
      </c>
      <c r="J1785">
        <f>77350</f>
        <v>77350</v>
      </c>
      <c r="X1785">
        <v>8690</v>
      </c>
      <c r="AN1785">
        <v>15000</v>
      </c>
    </row>
    <row r="1786" spans="1:50" hidden="1" x14ac:dyDescent="0.25">
      <c r="A1786" t="s">
        <v>34</v>
      </c>
      <c r="B1786" t="s">
        <v>85</v>
      </c>
      <c r="C1786" t="s">
        <v>500</v>
      </c>
      <c r="D1786">
        <v>37816</v>
      </c>
      <c r="E1786" t="s">
        <v>707</v>
      </c>
      <c r="F1786">
        <v>48.283999999999999</v>
      </c>
      <c r="G1786">
        <v>2012</v>
      </c>
      <c r="J1786">
        <f>3000+27962</f>
        <v>30962</v>
      </c>
      <c r="X1786">
        <v>6540</v>
      </c>
      <c r="AM1786">
        <v>782</v>
      </c>
      <c r="AN1786">
        <v>10000</v>
      </c>
    </row>
    <row r="1787" spans="1:50" hidden="1" x14ac:dyDescent="0.25">
      <c r="A1787" t="s">
        <v>34</v>
      </c>
      <c r="B1787" t="s">
        <v>85</v>
      </c>
      <c r="C1787" t="s">
        <v>502</v>
      </c>
      <c r="D1787">
        <v>37818</v>
      </c>
      <c r="E1787" t="s">
        <v>707</v>
      </c>
      <c r="F1787">
        <v>35.22</v>
      </c>
      <c r="G1787">
        <v>2012</v>
      </c>
      <c r="J1787">
        <f>23080</f>
        <v>23080</v>
      </c>
      <c r="X1787">
        <v>2240</v>
      </c>
      <c r="AN1787">
        <v>9900</v>
      </c>
    </row>
    <row r="1788" spans="1:50" hidden="1" x14ac:dyDescent="0.25">
      <c r="A1788" t="s">
        <v>34</v>
      </c>
      <c r="B1788" t="s">
        <v>85</v>
      </c>
      <c r="C1788" t="s">
        <v>503</v>
      </c>
      <c r="D1788">
        <v>39364</v>
      </c>
      <c r="E1788" t="s">
        <v>707</v>
      </c>
      <c r="F1788">
        <v>28.655999999999999</v>
      </c>
      <c r="G1788">
        <v>2012</v>
      </c>
      <c r="H1788">
        <v>1</v>
      </c>
    </row>
    <row r="1789" spans="1:50" hidden="1" x14ac:dyDescent="0.25">
      <c r="A1789" t="s">
        <v>34</v>
      </c>
      <c r="B1789" t="s">
        <v>85</v>
      </c>
      <c r="C1789" t="s">
        <v>504</v>
      </c>
      <c r="D1789">
        <v>43840</v>
      </c>
      <c r="E1789" t="s">
        <v>707</v>
      </c>
      <c r="F1789">
        <v>31.927</v>
      </c>
      <c r="G1789">
        <v>2012</v>
      </c>
      <c r="J1789">
        <f>500+21427</f>
        <v>21927</v>
      </c>
      <c r="AN1789">
        <v>10000</v>
      </c>
    </row>
    <row r="1790" spans="1:50" hidden="1" x14ac:dyDescent="0.25">
      <c r="A1790" t="s">
        <v>34</v>
      </c>
      <c r="B1790" t="s">
        <v>85</v>
      </c>
      <c r="C1790" t="s">
        <v>505</v>
      </c>
      <c r="D1790">
        <v>45432</v>
      </c>
      <c r="E1790" t="s">
        <v>707</v>
      </c>
      <c r="F1790">
        <v>12.08</v>
      </c>
      <c r="G1790">
        <v>2012</v>
      </c>
      <c r="J1790">
        <f>2200+6230</f>
        <v>8430</v>
      </c>
      <c r="X1790">
        <v>2240</v>
      </c>
      <c r="AM1790">
        <v>1410</v>
      </c>
    </row>
    <row r="1791" spans="1:50" hidden="1" x14ac:dyDescent="0.25">
      <c r="A1791" t="s">
        <v>34</v>
      </c>
      <c r="B1791" t="s">
        <v>85</v>
      </c>
      <c r="C1791" t="s">
        <v>494</v>
      </c>
      <c r="D1791">
        <v>20955</v>
      </c>
      <c r="E1791" t="s">
        <v>708</v>
      </c>
      <c r="F1791">
        <v>123.08499999999999</v>
      </c>
      <c r="G1791">
        <v>2013</v>
      </c>
      <c r="J1791">
        <f>3000+105085</f>
        <v>108085</v>
      </c>
      <c r="AN1791">
        <v>15000</v>
      </c>
    </row>
    <row r="1792" spans="1:50" hidden="1" x14ac:dyDescent="0.25">
      <c r="A1792" t="s">
        <v>34</v>
      </c>
      <c r="B1792" t="s">
        <v>85</v>
      </c>
      <c r="C1792" t="s">
        <v>500</v>
      </c>
      <c r="D1792">
        <v>37816</v>
      </c>
      <c r="E1792" t="s">
        <v>707</v>
      </c>
      <c r="F1792">
        <v>46.021999999999998</v>
      </c>
      <c r="G1792">
        <v>2013</v>
      </c>
      <c r="J1792">
        <f>3000+33022</f>
        <v>36022</v>
      </c>
      <c r="AN1792">
        <v>10000</v>
      </c>
    </row>
    <row r="1793" spans="1:40" hidden="1" x14ac:dyDescent="0.25">
      <c r="A1793" t="s">
        <v>34</v>
      </c>
      <c r="B1793" t="s">
        <v>85</v>
      </c>
      <c r="C1793" t="s">
        <v>502</v>
      </c>
      <c r="D1793">
        <v>37818</v>
      </c>
      <c r="E1793" t="s">
        <v>707</v>
      </c>
      <c r="F1793">
        <v>38.125999999999998</v>
      </c>
      <c r="G1793">
        <v>2013</v>
      </c>
      <c r="H1793">
        <v>1</v>
      </c>
    </row>
    <row r="1794" spans="1:40" hidden="1" x14ac:dyDescent="0.25">
      <c r="A1794" t="s">
        <v>34</v>
      </c>
      <c r="B1794" t="s">
        <v>85</v>
      </c>
      <c r="C1794" t="s">
        <v>503</v>
      </c>
      <c r="D1794">
        <v>39364</v>
      </c>
      <c r="E1794" t="s">
        <v>707</v>
      </c>
      <c r="F1794">
        <v>36.162999999999997</v>
      </c>
      <c r="G1794">
        <v>2013</v>
      </c>
      <c r="J1794">
        <f>3000+23163</f>
        <v>26163</v>
      </c>
      <c r="AN1794">
        <v>10000</v>
      </c>
    </row>
    <row r="1795" spans="1:40" hidden="1" x14ac:dyDescent="0.25">
      <c r="A1795" t="s">
        <v>34</v>
      </c>
      <c r="B1795" t="s">
        <v>85</v>
      </c>
      <c r="C1795" t="s">
        <v>504</v>
      </c>
      <c r="D1795">
        <v>43840</v>
      </c>
      <c r="E1795" t="s">
        <v>707</v>
      </c>
      <c r="F1795">
        <v>29.367000000000001</v>
      </c>
      <c r="G1795">
        <v>2013</v>
      </c>
      <c r="J1795">
        <f>28535</f>
        <v>28535</v>
      </c>
      <c r="AM1795">
        <v>832</v>
      </c>
    </row>
    <row r="1796" spans="1:40" hidden="1" x14ac:dyDescent="0.25">
      <c r="A1796" t="s">
        <v>34</v>
      </c>
      <c r="B1796" t="s">
        <v>85</v>
      </c>
      <c r="C1796" t="s">
        <v>505</v>
      </c>
      <c r="D1796">
        <v>45432</v>
      </c>
      <c r="E1796" t="s">
        <v>707</v>
      </c>
      <c r="F1796">
        <v>18.984999999999999</v>
      </c>
      <c r="G1796">
        <v>2013</v>
      </c>
      <c r="J1796">
        <v>8925</v>
      </c>
      <c r="AM1796">
        <v>60</v>
      </c>
      <c r="AN1796">
        <v>10000</v>
      </c>
    </row>
    <row r="1797" spans="1:40" hidden="1" x14ac:dyDescent="0.25">
      <c r="A1797" t="s">
        <v>34</v>
      </c>
      <c r="B1797" t="s">
        <v>85</v>
      </c>
      <c r="C1797" t="s">
        <v>494</v>
      </c>
      <c r="D1797">
        <v>20955</v>
      </c>
      <c r="E1797" t="s">
        <v>708</v>
      </c>
      <c r="F1797">
        <v>1059.547</v>
      </c>
      <c r="G1797">
        <v>2014</v>
      </c>
      <c r="J1797">
        <f>1000000+44547</f>
        <v>1044547</v>
      </c>
      <c r="AN1797">
        <v>15000</v>
      </c>
    </row>
    <row r="1798" spans="1:40" hidden="1" x14ac:dyDescent="0.25">
      <c r="A1798" t="s">
        <v>34</v>
      </c>
      <c r="B1798" t="s">
        <v>85</v>
      </c>
      <c r="C1798" t="s">
        <v>500</v>
      </c>
      <c r="D1798">
        <v>37816</v>
      </c>
      <c r="E1798" t="s">
        <v>707</v>
      </c>
      <c r="F1798">
        <v>40.463000000000001</v>
      </c>
      <c r="G1798">
        <v>2014</v>
      </c>
      <c r="J1798">
        <f>3000+26641</f>
        <v>29641</v>
      </c>
      <c r="AM1798">
        <v>822</v>
      </c>
      <c r="AN1798">
        <v>10000</v>
      </c>
    </row>
    <row r="1799" spans="1:40" hidden="1" x14ac:dyDescent="0.25">
      <c r="A1799" t="s">
        <v>34</v>
      </c>
      <c r="B1799" t="s">
        <v>85</v>
      </c>
      <c r="C1799" t="s">
        <v>502</v>
      </c>
      <c r="D1799">
        <v>37818</v>
      </c>
      <c r="E1799" t="s">
        <v>707</v>
      </c>
      <c r="F1799">
        <v>26.542999999999999</v>
      </c>
      <c r="G1799">
        <v>2014</v>
      </c>
      <c r="H1799">
        <v>1</v>
      </c>
    </row>
    <row r="1800" spans="1:40" hidden="1" x14ac:dyDescent="0.25">
      <c r="A1800" t="s">
        <v>34</v>
      </c>
      <c r="B1800" t="s">
        <v>85</v>
      </c>
      <c r="C1800" t="s">
        <v>503</v>
      </c>
      <c r="D1800">
        <v>39364</v>
      </c>
      <c r="E1800" t="s">
        <v>707</v>
      </c>
      <c r="F1800">
        <v>32.703000000000003</v>
      </c>
      <c r="G1800">
        <v>2014</v>
      </c>
      <c r="J1800">
        <f>750+21953</f>
        <v>22703</v>
      </c>
      <c r="AN1800">
        <v>10000</v>
      </c>
    </row>
    <row r="1801" spans="1:40" hidden="1" x14ac:dyDescent="0.25">
      <c r="A1801" t="s">
        <v>34</v>
      </c>
      <c r="B1801" t="s">
        <v>85</v>
      </c>
      <c r="C1801" t="s">
        <v>504</v>
      </c>
      <c r="D1801">
        <v>43840</v>
      </c>
      <c r="E1801" t="s">
        <v>707</v>
      </c>
      <c r="F1801">
        <v>25.765999999999998</v>
      </c>
      <c r="G1801">
        <v>2014</v>
      </c>
      <c r="J1801">
        <f>16040</f>
        <v>16040</v>
      </c>
      <c r="AN1801">
        <v>9726</v>
      </c>
    </row>
    <row r="1802" spans="1:40" hidden="1" x14ac:dyDescent="0.25">
      <c r="A1802" t="s">
        <v>34</v>
      </c>
      <c r="B1802" t="s">
        <v>85</v>
      </c>
      <c r="C1802" t="s">
        <v>505</v>
      </c>
      <c r="D1802">
        <v>45432</v>
      </c>
      <c r="E1802" t="s">
        <v>707</v>
      </c>
      <c r="F1802">
        <v>11.75</v>
      </c>
      <c r="G1802">
        <v>2014</v>
      </c>
      <c r="J1802">
        <f>3000+7807</f>
        <v>10807</v>
      </c>
      <c r="AM1802">
        <v>943</v>
      </c>
    </row>
    <row r="1803" spans="1:40" hidden="1" x14ac:dyDescent="0.25">
      <c r="A1803" t="s">
        <v>34</v>
      </c>
      <c r="B1803" t="s">
        <v>85</v>
      </c>
      <c r="C1803" t="s">
        <v>506</v>
      </c>
      <c r="D1803">
        <v>54244</v>
      </c>
      <c r="E1803" t="s">
        <v>707</v>
      </c>
      <c r="F1803">
        <v>24</v>
      </c>
      <c r="G1803">
        <v>2014</v>
      </c>
      <c r="H1803">
        <v>1</v>
      </c>
    </row>
    <row r="1804" spans="1:40" hidden="1" x14ac:dyDescent="0.25">
      <c r="A1804" t="s">
        <v>34</v>
      </c>
      <c r="B1804" t="s">
        <v>85</v>
      </c>
      <c r="C1804" t="s">
        <v>494</v>
      </c>
      <c r="D1804">
        <v>20955</v>
      </c>
      <c r="E1804" t="s">
        <v>708</v>
      </c>
      <c r="F1804">
        <v>189.34</v>
      </c>
      <c r="G1804">
        <v>2015</v>
      </c>
      <c r="J1804">
        <f>90605</f>
        <v>90605</v>
      </c>
      <c r="AJ1804">
        <v>83735</v>
      </c>
      <c r="AN1804">
        <v>15000</v>
      </c>
    </row>
    <row r="1805" spans="1:40" hidden="1" x14ac:dyDescent="0.25">
      <c r="A1805" t="s">
        <v>34</v>
      </c>
      <c r="B1805" t="s">
        <v>85</v>
      </c>
      <c r="C1805" t="s">
        <v>502</v>
      </c>
      <c r="D1805">
        <v>37818</v>
      </c>
      <c r="E1805" t="s">
        <v>707</v>
      </c>
      <c r="F1805">
        <v>66.632999999999996</v>
      </c>
      <c r="G1805">
        <v>2015</v>
      </c>
      <c r="J1805">
        <v>25550</v>
      </c>
      <c r="AJ1805">
        <v>30083</v>
      </c>
      <c r="AN1805">
        <v>11000</v>
      </c>
    </row>
    <row r="1806" spans="1:40" hidden="1" x14ac:dyDescent="0.25">
      <c r="A1806" t="s">
        <v>34</v>
      </c>
      <c r="B1806" t="s">
        <v>85</v>
      </c>
      <c r="C1806" t="s">
        <v>503</v>
      </c>
      <c r="D1806">
        <v>39364</v>
      </c>
      <c r="E1806" t="s">
        <v>707</v>
      </c>
      <c r="F1806">
        <v>87.861999999999995</v>
      </c>
      <c r="G1806">
        <v>2015</v>
      </c>
      <c r="J1806">
        <f>2000+48189</f>
        <v>50189</v>
      </c>
      <c r="AJ1806">
        <v>26673</v>
      </c>
      <c r="AN1806">
        <v>11000</v>
      </c>
    </row>
    <row r="1807" spans="1:40" hidden="1" x14ac:dyDescent="0.25">
      <c r="A1807" t="s">
        <v>34</v>
      </c>
      <c r="B1807" t="s">
        <v>85</v>
      </c>
      <c r="C1807" t="s">
        <v>504</v>
      </c>
      <c r="D1807">
        <v>43840</v>
      </c>
      <c r="E1807" t="s">
        <v>707</v>
      </c>
      <c r="F1807">
        <v>50.064</v>
      </c>
      <c r="G1807">
        <v>2015</v>
      </c>
      <c r="J1807">
        <f>11902</f>
        <v>11902</v>
      </c>
      <c r="AJ1807">
        <v>26673</v>
      </c>
      <c r="AM1807">
        <v>489</v>
      </c>
      <c r="AN1807">
        <v>11000</v>
      </c>
    </row>
    <row r="1808" spans="1:40" hidden="1" x14ac:dyDescent="0.25">
      <c r="A1808" t="s">
        <v>34</v>
      </c>
      <c r="B1808" t="s">
        <v>85</v>
      </c>
      <c r="C1808" t="s">
        <v>505</v>
      </c>
      <c r="D1808">
        <v>45432</v>
      </c>
      <c r="E1808" t="s">
        <v>707</v>
      </c>
      <c r="F1808">
        <v>44.601999999999997</v>
      </c>
      <c r="G1808">
        <v>2015</v>
      </c>
      <c r="J1808">
        <f>3000+8501</f>
        <v>11501</v>
      </c>
      <c r="AJ1808">
        <v>33101</v>
      </c>
    </row>
    <row r="1809" spans="1:40" hidden="1" x14ac:dyDescent="0.25">
      <c r="A1809" t="s">
        <v>34</v>
      </c>
      <c r="B1809" t="s">
        <v>85</v>
      </c>
      <c r="C1809" t="s">
        <v>506</v>
      </c>
      <c r="D1809">
        <v>54244</v>
      </c>
      <c r="E1809" t="s">
        <v>707</v>
      </c>
      <c r="F1809">
        <v>50.213000000000001</v>
      </c>
      <c r="G1809">
        <v>2015</v>
      </c>
      <c r="H1809">
        <v>1</v>
      </c>
    </row>
    <row r="1810" spans="1:40" hidden="1" x14ac:dyDescent="0.25">
      <c r="A1810" t="s">
        <v>34</v>
      </c>
      <c r="B1810" t="s">
        <v>85</v>
      </c>
      <c r="C1810" t="s">
        <v>507</v>
      </c>
      <c r="D1810">
        <v>57625</v>
      </c>
      <c r="E1810" t="s">
        <v>707</v>
      </c>
      <c r="F1810">
        <v>40.363</v>
      </c>
      <c r="G1810">
        <v>2015</v>
      </c>
      <c r="H1810">
        <v>1</v>
      </c>
    </row>
    <row r="1811" spans="1:40" hidden="1" x14ac:dyDescent="0.25">
      <c r="A1811" t="s">
        <v>34</v>
      </c>
      <c r="B1811" t="s">
        <v>85</v>
      </c>
      <c r="C1811" t="s">
        <v>494</v>
      </c>
      <c r="D1811">
        <v>20955</v>
      </c>
      <c r="E1811" t="s">
        <v>708</v>
      </c>
      <c r="F1811">
        <v>81.385999999999996</v>
      </c>
      <c r="G1811">
        <v>2016</v>
      </c>
      <c r="J1811">
        <v>66386</v>
      </c>
      <c r="AN1811">
        <v>15000</v>
      </c>
    </row>
    <row r="1812" spans="1:40" hidden="1" x14ac:dyDescent="0.25">
      <c r="A1812" t="s">
        <v>34</v>
      </c>
      <c r="B1812" t="s">
        <v>85</v>
      </c>
      <c r="C1812" t="s">
        <v>502</v>
      </c>
      <c r="D1812">
        <v>37818</v>
      </c>
      <c r="E1812" t="s">
        <v>707</v>
      </c>
      <c r="F1812">
        <v>33.710999999999999</v>
      </c>
      <c r="G1812">
        <v>2016</v>
      </c>
      <c r="J1812">
        <v>22711</v>
      </c>
      <c r="AN1812">
        <v>11000</v>
      </c>
    </row>
    <row r="1813" spans="1:40" hidden="1" x14ac:dyDescent="0.25">
      <c r="A1813" t="s">
        <v>34</v>
      </c>
      <c r="B1813" t="s">
        <v>85</v>
      </c>
      <c r="C1813" t="s">
        <v>503</v>
      </c>
      <c r="D1813">
        <v>39364</v>
      </c>
      <c r="E1813" t="s">
        <v>707</v>
      </c>
      <c r="F1813">
        <v>39.203000000000003</v>
      </c>
      <c r="G1813">
        <v>2016</v>
      </c>
      <c r="H1813">
        <v>1</v>
      </c>
    </row>
    <row r="1814" spans="1:40" hidden="1" x14ac:dyDescent="0.25">
      <c r="A1814" t="s">
        <v>34</v>
      </c>
      <c r="B1814" t="s">
        <v>85</v>
      </c>
      <c r="C1814" t="s">
        <v>504</v>
      </c>
      <c r="D1814">
        <v>43840</v>
      </c>
      <c r="E1814" t="s">
        <v>707</v>
      </c>
      <c r="F1814">
        <v>16.591999999999999</v>
      </c>
      <c r="G1814">
        <v>2016</v>
      </c>
      <c r="J1814">
        <v>10621</v>
      </c>
      <c r="AM1814">
        <v>1171</v>
      </c>
      <c r="AN1814">
        <v>4800</v>
      </c>
    </row>
    <row r="1815" spans="1:40" hidden="1" x14ac:dyDescent="0.25">
      <c r="A1815" t="s">
        <v>34</v>
      </c>
      <c r="B1815" t="s">
        <v>85</v>
      </c>
      <c r="C1815" t="s">
        <v>505</v>
      </c>
      <c r="D1815">
        <v>45432</v>
      </c>
      <c r="E1815" t="s">
        <v>707</v>
      </c>
      <c r="F1815">
        <v>31.042999999999999</v>
      </c>
      <c r="G1815">
        <v>2016</v>
      </c>
      <c r="J1815">
        <v>19042</v>
      </c>
      <c r="AM1815">
        <v>1001</v>
      </c>
      <c r="AN1815">
        <v>11000</v>
      </c>
    </row>
    <row r="1816" spans="1:40" hidden="1" x14ac:dyDescent="0.25">
      <c r="A1816" t="s">
        <v>34</v>
      </c>
      <c r="B1816" t="s">
        <v>85</v>
      </c>
      <c r="C1816" t="s">
        <v>506</v>
      </c>
      <c r="D1816">
        <v>54244</v>
      </c>
      <c r="E1816" t="s">
        <v>707</v>
      </c>
      <c r="F1816">
        <v>34.686999999999998</v>
      </c>
      <c r="G1816">
        <v>2016</v>
      </c>
      <c r="J1816">
        <f>2250+21437</f>
        <v>23687</v>
      </c>
      <c r="AN1816">
        <v>11000</v>
      </c>
    </row>
    <row r="1817" spans="1:40" hidden="1" x14ac:dyDescent="0.25">
      <c r="A1817" t="s">
        <v>34</v>
      </c>
      <c r="B1817" t="s">
        <v>85</v>
      </c>
      <c r="C1817" t="s">
        <v>507</v>
      </c>
      <c r="D1817">
        <v>57625</v>
      </c>
      <c r="E1817" t="s">
        <v>707</v>
      </c>
      <c r="F1817">
        <v>26.23</v>
      </c>
      <c r="G1817">
        <v>2016</v>
      </c>
      <c r="H1817">
        <v>1</v>
      </c>
    </row>
    <row r="1818" spans="1:40" hidden="1" x14ac:dyDescent="0.25">
      <c r="A1818" t="s">
        <v>34</v>
      </c>
      <c r="B1818" t="s">
        <v>85</v>
      </c>
      <c r="C1818" t="s">
        <v>494</v>
      </c>
      <c r="D1818">
        <v>20955</v>
      </c>
      <c r="E1818" t="s">
        <v>708</v>
      </c>
      <c r="F1818">
        <v>200.721</v>
      </c>
      <c r="G1818">
        <v>2017</v>
      </c>
      <c r="H1818">
        <v>1</v>
      </c>
    </row>
    <row r="1819" spans="1:40" hidden="1" x14ac:dyDescent="0.25">
      <c r="A1819" t="s">
        <v>34</v>
      </c>
      <c r="B1819" t="s">
        <v>85</v>
      </c>
      <c r="C1819" t="s">
        <v>502</v>
      </c>
      <c r="D1819">
        <v>37818</v>
      </c>
      <c r="E1819" t="s">
        <v>707</v>
      </c>
      <c r="F1819">
        <v>32.155000000000001</v>
      </c>
      <c r="G1819">
        <v>2017</v>
      </c>
      <c r="H1819">
        <v>1</v>
      </c>
    </row>
    <row r="1820" spans="1:40" hidden="1" x14ac:dyDescent="0.25">
      <c r="A1820" t="s">
        <v>34</v>
      </c>
      <c r="B1820" t="s">
        <v>85</v>
      </c>
      <c r="C1820" t="s">
        <v>503</v>
      </c>
      <c r="D1820">
        <v>39364</v>
      </c>
      <c r="E1820" t="s">
        <v>707</v>
      </c>
      <c r="F1820">
        <v>30.068000000000001</v>
      </c>
      <c r="G1820">
        <v>2017</v>
      </c>
      <c r="H1820">
        <v>1</v>
      </c>
    </row>
    <row r="1821" spans="1:40" hidden="1" x14ac:dyDescent="0.25">
      <c r="A1821" t="s">
        <v>34</v>
      </c>
      <c r="B1821" t="s">
        <v>85</v>
      </c>
      <c r="C1821" t="s">
        <v>504</v>
      </c>
      <c r="D1821">
        <v>43840</v>
      </c>
      <c r="E1821" t="s">
        <v>707</v>
      </c>
      <c r="F1821">
        <v>13.813000000000001</v>
      </c>
      <c r="G1821">
        <v>2017</v>
      </c>
      <c r="H1821">
        <v>1</v>
      </c>
    </row>
    <row r="1822" spans="1:40" hidden="1" x14ac:dyDescent="0.25">
      <c r="A1822" t="s">
        <v>34</v>
      </c>
      <c r="B1822" t="s">
        <v>85</v>
      </c>
      <c r="C1822" t="s">
        <v>505</v>
      </c>
      <c r="D1822">
        <v>45432</v>
      </c>
      <c r="E1822" t="s">
        <v>707</v>
      </c>
      <c r="F1822">
        <v>826.81899999999996</v>
      </c>
      <c r="G1822">
        <v>2017</v>
      </c>
      <c r="H1822">
        <v>1</v>
      </c>
    </row>
    <row r="1823" spans="1:40" hidden="1" x14ac:dyDescent="0.25">
      <c r="A1823" t="s">
        <v>34</v>
      </c>
      <c r="B1823" t="s">
        <v>85</v>
      </c>
      <c r="C1823" t="s">
        <v>506</v>
      </c>
      <c r="D1823">
        <v>54244</v>
      </c>
      <c r="E1823" t="s">
        <v>707</v>
      </c>
      <c r="F1823">
        <v>47.081000000000003</v>
      </c>
      <c r="G1823">
        <v>2017</v>
      </c>
      <c r="H1823">
        <v>1</v>
      </c>
    </row>
    <row r="1824" spans="1:40" hidden="1" x14ac:dyDescent="0.25">
      <c r="A1824" t="s">
        <v>34</v>
      </c>
      <c r="B1824" t="s">
        <v>85</v>
      </c>
      <c r="C1824" t="s">
        <v>507</v>
      </c>
      <c r="D1824">
        <v>57625</v>
      </c>
      <c r="E1824" t="s">
        <v>707</v>
      </c>
      <c r="F1824">
        <v>24.033000000000001</v>
      </c>
      <c r="G1824">
        <v>2017</v>
      </c>
      <c r="H1824">
        <v>1</v>
      </c>
    </row>
    <row r="1825" spans="1:52" hidden="1" x14ac:dyDescent="0.25">
      <c r="A1825" t="s">
        <v>34</v>
      </c>
      <c r="B1825" t="s">
        <v>85</v>
      </c>
      <c r="C1825" t="s">
        <v>502</v>
      </c>
      <c r="D1825">
        <v>37818</v>
      </c>
      <c r="E1825" t="s">
        <v>707</v>
      </c>
      <c r="F1825">
        <v>40.369</v>
      </c>
      <c r="G1825">
        <v>2018</v>
      </c>
      <c r="J1825">
        <f>29369</f>
        <v>29369</v>
      </c>
      <c r="AN1825">
        <v>11000</v>
      </c>
    </row>
    <row r="1826" spans="1:52" hidden="1" x14ac:dyDescent="0.25">
      <c r="A1826" t="s">
        <v>34</v>
      </c>
      <c r="B1826" t="s">
        <v>85</v>
      </c>
      <c r="C1826" t="s">
        <v>503</v>
      </c>
      <c r="D1826">
        <v>39364</v>
      </c>
      <c r="E1826" t="s">
        <v>707</v>
      </c>
      <c r="F1826">
        <v>37.209000000000003</v>
      </c>
      <c r="G1826">
        <v>2018</v>
      </c>
      <c r="J1826">
        <f>2500+23709</f>
        <v>26209</v>
      </c>
      <c r="AN1826">
        <v>11000</v>
      </c>
    </row>
    <row r="1827" spans="1:52" hidden="1" x14ac:dyDescent="0.25">
      <c r="A1827" t="s">
        <v>34</v>
      </c>
      <c r="B1827" t="s">
        <v>85</v>
      </c>
      <c r="C1827" t="s">
        <v>504</v>
      </c>
      <c r="D1827">
        <v>43840</v>
      </c>
      <c r="E1827" t="s">
        <v>707</v>
      </c>
      <c r="F1827">
        <v>9.625</v>
      </c>
      <c r="G1827">
        <v>2018</v>
      </c>
      <c r="J1827">
        <f>9625</f>
        <v>9625</v>
      </c>
    </row>
    <row r="1828" spans="1:52" hidden="1" x14ac:dyDescent="0.25">
      <c r="A1828" t="s">
        <v>34</v>
      </c>
      <c r="B1828" t="s">
        <v>85</v>
      </c>
      <c r="C1828" t="s">
        <v>506</v>
      </c>
      <c r="D1828">
        <v>54244</v>
      </c>
      <c r="E1828" t="s">
        <v>708</v>
      </c>
      <c r="F1828">
        <v>69.221999999999994</v>
      </c>
      <c r="G1828">
        <v>2018</v>
      </c>
      <c r="J1828">
        <f>2500+51722</f>
        <v>54222</v>
      </c>
      <c r="AN1828">
        <v>15000</v>
      </c>
    </row>
    <row r="1829" spans="1:52" hidden="1" x14ac:dyDescent="0.25">
      <c r="A1829" t="s">
        <v>34</v>
      </c>
      <c r="B1829" t="s">
        <v>85</v>
      </c>
      <c r="C1829" t="s">
        <v>507</v>
      </c>
      <c r="D1829">
        <v>57625</v>
      </c>
      <c r="E1829" t="s">
        <v>707</v>
      </c>
      <c r="F1829">
        <v>25.786999999999999</v>
      </c>
      <c r="G1829">
        <v>2018</v>
      </c>
      <c r="J1829">
        <f>15782</f>
        <v>15782</v>
      </c>
      <c r="AM1829">
        <v>505</v>
      </c>
      <c r="AN1829">
        <v>9500</v>
      </c>
    </row>
    <row r="1830" spans="1:52" s="4" customFormat="1" hidden="1" x14ac:dyDescent="0.25">
      <c r="A1830" s="4" t="s">
        <v>35</v>
      </c>
      <c r="B1830" s="4" t="s">
        <v>86</v>
      </c>
      <c r="C1830" s="4" t="s">
        <v>508</v>
      </c>
      <c r="D1830" s="4">
        <v>34756</v>
      </c>
      <c r="E1830" s="4" t="s">
        <v>707</v>
      </c>
      <c r="F1830" s="4">
        <v>70.260000000000005</v>
      </c>
      <c r="G1830" s="4">
        <v>2006</v>
      </c>
      <c r="AN1830" s="4">
        <v>1</v>
      </c>
      <c r="AZ1830" s="8"/>
    </row>
    <row r="1831" spans="1:52" hidden="1" x14ac:dyDescent="0.25">
      <c r="A1831" t="s">
        <v>35</v>
      </c>
      <c r="B1831" t="s">
        <v>86</v>
      </c>
      <c r="C1831" t="s">
        <v>509</v>
      </c>
      <c r="D1831">
        <v>34757</v>
      </c>
      <c r="E1831" t="s">
        <v>707</v>
      </c>
      <c r="F1831">
        <v>4.8369999999999997</v>
      </c>
      <c r="G1831">
        <v>2006</v>
      </c>
      <c r="AN1831">
        <v>1</v>
      </c>
    </row>
    <row r="1832" spans="1:52" hidden="1" x14ac:dyDescent="0.25">
      <c r="A1832" t="s">
        <v>35</v>
      </c>
      <c r="B1832" t="s">
        <v>86</v>
      </c>
      <c r="C1832" t="s">
        <v>510</v>
      </c>
      <c r="D1832">
        <v>34758</v>
      </c>
      <c r="E1832" t="s">
        <v>707</v>
      </c>
      <c r="F1832">
        <v>4.8419999999999996</v>
      </c>
      <c r="G1832">
        <v>2006</v>
      </c>
      <c r="AN1832">
        <v>1</v>
      </c>
    </row>
    <row r="1833" spans="1:52" hidden="1" x14ac:dyDescent="0.25">
      <c r="A1833" t="s">
        <v>35</v>
      </c>
      <c r="B1833" t="s">
        <v>86</v>
      </c>
      <c r="C1833" t="s">
        <v>511</v>
      </c>
      <c r="D1833">
        <v>34759</v>
      </c>
      <c r="E1833" t="s">
        <v>707</v>
      </c>
      <c r="F1833">
        <v>4.8419999999999996</v>
      </c>
      <c r="G1833">
        <v>2006</v>
      </c>
      <c r="AN1833">
        <v>1</v>
      </c>
    </row>
    <row r="1834" spans="1:52" hidden="1" x14ac:dyDescent="0.25">
      <c r="A1834" t="s">
        <v>35</v>
      </c>
      <c r="B1834" t="s">
        <v>86</v>
      </c>
      <c r="C1834" t="s">
        <v>512</v>
      </c>
      <c r="D1834">
        <v>34760</v>
      </c>
      <c r="E1834" t="s">
        <v>707</v>
      </c>
      <c r="F1834">
        <v>117.167</v>
      </c>
      <c r="G1834">
        <v>2006</v>
      </c>
      <c r="AN1834">
        <v>1</v>
      </c>
    </row>
    <row r="1835" spans="1:52" hidden="1" x14ac:dyDescent="0.25">
      <c r="A1835" t="s">
        <v>35</v>
      </c>
      <c r="B1835" t="s">
        <v>86</v>
      </c>
      <c r="C1835" t="s">
        <v>513</v>
      </c>
      <c r="D1835">
        <v>34761</v>
      </c>
      <c r="E1835" t="s">
        <v>707</v>
      </c>
      <c r="F1835">
        <v>118.95399999999999</v>
      </c>
      <c r="G1835">
        <v>2006</v>
      </c>
      <c r="AN1835">
        <v>1</v>
      </c>
    </row>
    <row r="1836" spans="1:52" hidden="1" x14ac:dyDescent="0.25">
      <c r="A1836" t="s">
        <v>35</v>
      </c>
      <c r="B1836" t="s">
        <v>86</v>
      </c>
      <c r="C1836" t="s">
        <v>514</v>
      </c>
      <c r="D1836">
        <v>34762</v>
      </c>
      <c r="E1836" t="s">
        <v>707</v>
      </c>
      <c r="F1836">
        <v>31.23</v>
      </c>
      <c r="G1836">
        <v>2006</v>
      </c>
      <c r="AN1836">
        <v>1</v>
      </c>
    </row>
    <row r="1837" spans="1:52" hidden="1" x14ac:dyDescent="0.25">
      <c r="A1837" t="s">
        <v>35</v>
      </c>
      <c r="B1837" t="s">
        <v>86</v>
      </c>
      <c r="C1837" t="s">
        <v>508</v>
      </c>
      <c r="D1837">
        <v>34756</v>
      </c>
      <c r="E1837" t="s">
        <v>708</v>
      </c>
      <c r="F1837">
        <v>348.79399999999998</v>
      </c>
      <c r="G1837">
        <v>2007</v>
      </c>
      <c r="AN1837">
        <v>1</v>
      </c>
    </row>
    <row r="1838" spans="1:52" hidden="1" x14ac:dyDescent="0.25">
      <c r="A1838" t="s">
        <v>35</v>
      </c>
      <c r="B1838" t="s">
        <v>86</v>
      </c>
      <c r="C1838" t="s">
        <v>509</v>
      </c>
      <c r="D1838">
        <v>34757</v>
      </c>
      <c r="E1838" t="s">
        <v>707</v>
      </c>
      <c r="F1838">
        <v>4.9950000000000001</v>
      </c>
      <c r="G1838">
        <v>2007</v>
      </c>
      <c r="AN1838">
        <v>1</v>
      </c>
    </row>
    <row r="1839" spans="1:52" hidden="1" x14ac:dyDescent="0.25">
      <c r="A1839" t="s">
        <v>35</v>
      </c>
      <c r="B1839" t="s">
        <v>86</v>
      </c>
      <c r="C1839" t="s">
        <v>510</v>
      </c>
      <c r="D1839">
        <v>34758</v>
      </c>
      <c r="E1839" t="s">
        <v>707</v>
      </c>
      <c r="F1839">
        <v>5.484</v>
      </c>
      <c r="G1839">
        <v>2007</v>
      </c>
      <c r="AN1839">
        <v>1</v>
      </c>
    </row>
    <row r="1840" spans="1:52" hidden="1" x14ac:dyDescent="0.25">
      <c r="A1840" t="s">
        <v>35</v>
      </c>
      <c r="B1840" t="s">
        <v>86</v>
      </c>
      <c r="C1840" t="s">
        <v>511</v>
      </c>
      <c r="D1840">
        <v>34759</v>
      </c>
      <c r="E1840" t="s">
        <v>707</v>
      </c>
      <c r="F1840">
        <v>63.344000000000001</v>
      </c>
      <c r="G1840">
        <v>2007</v>
      </c>
      <c r="AN1840">
        <v>1</v>
      </c>
    </row>
    <row r="1841" spans="1:40" hidden="1" x14ac:dyDescent="0.25">
      <c r="A1841" t="s">
        <v>35</v>
      </c>
      <c r="B1841" t="s">
        <v>86</v>
      </c>
      <c r="C1841" t="s">
        <v>512</v>
      </c>
      <c r="D1841">
        <v>34760</v>
      </c>
      <c r="E1841" t="s">
        <v>707</v>
      </c>
      <c r="F1841">
        <v>133.52699999999999</v>
      </c>
      <c r="G1841">
        <v>2007</v>
      </c>
      <c r="AN1841">
        <v>1</v>
      </c>
    </row>
    <row r="1842" spans="1:40" hidden="1" x14ac:dyDescent="0.25">
      <c r="A1842" t="s">
        <v>35</v>
      </c>
      <c r="B1842" t="s">
        <v>86</v>
      </c>
      <c r="C1842" t="s">
        <v>513</v>
      </c>
      <c r="D1842">
        <v>34761</v>
      </c>
      <c r="E1842" t="s">
        <v>707</v>
      </c>
      <c r="F1842">
        <v>900.46400000000006</v>
      </c>
      <c r="G1842">
        <v>2007</v>
      </c>
      <c r="AN1842">
        <v>1</v>
      </c>
    </row>
    <row r="1843" spans="1:40" hidden="1" x14ac:dyDescent="0.25">
      <c r="A1843" t="s">
        <v>35</v>
      </c>
      <c r="B1843" t="s">
        <v>86</v>
      </c>
      <c r="C1843" t="s">
        <v>514</v>
      </c>
      <c r="D1843">
        <v>34762</v>
      </c>
      <c r="E1843" t="s">
        <v>707</v>
      </c>
      <c r="F1843">
        <v>858.41600000000005</v>
      </c>
      <c r="G1843">
        <v>2007</v>
      </c>
      <c r="AN1843">
        <v>1</v>
      </c>
    </row>
    <row r="1844" spans="1:40" hidden="1" x14ac:dyDescent="0.25">
      <c r="A1844" t="s">
        <v>35</v>
      </c>
      <c r="B1844" t="s">
        <v>86</v>
      </c>
      <c r="C1844" t="s">
        <v>515</v>
      </c>
      <c r="D1844">
        <v>37881</v>
      </c>
      <c r="E1844" t="s">
        <v>707</v>
      </c>
      <c r="F1844">
        <v>37.302</v>
      </c>
      <c r="G1844">
        <v>2007</v>
      </c>
      <c r="AN1844">
        <v>1</v>
      </c>
    </row>
    <row r="1845" spans="1:40" hidden="1" x14ac:dyDescent="0.25">
      <c r="A1845" t="s">
        <v>35</v>
      </c>
      <c r="B1845" t="s">
        <v>86</v>
      </c>
      <c r="C1845" t="s">
        <v>508</v>
      </c>
      <c r="D1845">
        <v>34756</v>
      </c>
      <c r="E1845" t="s">
        <v>708</v>
      </c>
      <c r="F1845">
        <v>7.2539999999999996</v>
      </c>
      <c r="G1845">
        <v>2008</v>
      </c>
      <c r="AN1845">
        <v>1</v>
      </c>
    </row>
    <row r="1846" spans="1:40" hidden="1" x14ac:dyDescent="0.25">
      <c r="A1846" t="s">
        <v>35</v>
      </c>
      <c r="B1846" t="s">
        <v>86</v>
      </c>
      <c r="C1846" t="s">
        <v>509</v>
      </c>
      <c r="D1846">
        <v>34757</v>
      </c>
      <c r="E1846" t="s">
        <v>707</v>
      </c>
      <c r="F1846">
        <v>5.2850000000000001</v>
      </c>
      <c r="G1846">
        <v>2008</v>
      </c>
      <c r="AN1846">
        <v>1</v>
      </c>
    </row>
    <row r="1847" spans="1:40" hidden="1" x14ac:dyDescent="0.25">
      <c r="A1847" t="s">
        <v>35</v>
      </c>
      <c r="B1847" t="s">
        <v>86</v>
      </c>
      <c r="C1847" t="s">
        <v>510</v>
      </c>
      <c r="D1847">
        <v>34758</v>
      </c>
      <c r="E1847" t="s">
        <v>707</v>
      </c>
      <c r="F1847">
        <v>5.8090000000000002</v>
      </c>
      <c r="G1847">
        <v>2008</v>
      </c>
      <c r="AN1847">
        <v>1</v>
      </c>
    </row>
    <row r="1848" spans="1:40" hidden="1" x14ac:dyDescent="0.25">
      <c r="A1848" t="s">
        <v>35</v>
      </c>
      <c r="B1848" t="s">
        <v>86</v>
      </c>
      <c r="C1848" t="s">
        <v>511</v>
      </c>
      <c r="D1848">
        <v>34759</v>
      </c>
      <c r="E1848" t="s">
        <v>707</v>
      </c>
      <c r="F1848">
        <v>5.194</v>
      </c>
      <c r="G1848">
        <v>2008</v>
      </c>
      <c r="AN1848">
        <v>1</v>
      </c>
    </row>
    <row r="1849" spans="1:40" hidden="1" x14ac:dyDescent="0.25">
      <c r="A1849" t="s">
        <v>35</v>
      </c>
      <c r="B1849" t="s">
        <v>86</v>
      </c>
      <c r="C1849" t="s">
        <v>512</v>
      </c>
      <c r="D1849">
        <v>34760</v>
      </c>
      <c r="E1849" t="s">
        <v>707</v>
      </c>
      <c r="F1849">
        <v>0.66</v>
      </c>
      <c r="G1849">
        <v>2008</v>
      </c>
      <c r="AN1849">
        <v>1</v>
      </c>
    </row>
    <row r="1850" spans="1:40" hidden="1" x14ac:dyDescent="0.25">
      <c r="A1850" t="s">
        <v>35</v>
      </c>
      <c r="B1850" t="s">
        <v>86</v>
      </c>
      <c r="C1850" t="s">
        <v>516</v>
      </c>
      <c r="D1850">
        <v>37880</v>
      </c>
      <c r="E1850" t="s">
        <v>707</v>
      </c>
      <c r="F1850">
        <v>3532.9989999999998</v>
      </c>
      <c r="G1850">
        <v>2008</v>
      </c>
      <c r="AN1850">
        <v>1</v>
      </c>
    </row>
    <row r="1851" spans="1:40" hidden="1" x14ac:dyDescent="0.25">
      <c r="A1851" t="s">
        <v>35</v>
      </c>
      <c r="B1851" t="s">
        <v>86</v>
      </c>
      <c r="C1851" t="s">
        <v>515</v>
      </c>
      <c r="D1851">
        <v>37881</v>
      </c>
      <c r="E1851" t="s">
        <v>707</v>
      </c>
      <c r="F1851">
        <v>670.18299999999999</v>
      </c>
      <c r="G1851">
        <v>2008</v>
      </c>
      <c r="AN1851">
        <v>1</v>
      </c>
    </row>
    <row r="1852" spans="1:40" hidden="1" x14ac:dyDescent="0.25">
      <c r="A1852" t="s">
        <v>35</v>
      </c>
      <c r="B1852" t="s">
        <v>86</v>
      </c>
      <c r="C1852" t="s">
        <v>508</v>
      </c>
      <c r="D1852">
        <v>34756</v>
      </c>
      <c r="E1852" t="s">
        <v>708</v>
      </c>
      <c r="F1852">
        <v>8.8369999999999997</v>
      </c>
      <c r="G1852">
        <v>2009</v>
      </c>
      <c r="AN1852">
        <v>1</v>
      </c>
    </row>
    <row r="1853" spans="1:40" hidden="1" x14ac:dyDescent="0.25">
      <c r="A1853" t="s">
        <v>35</v>
      </c>
      <c r="B1853" t="s">
        <v>86</v>
      </c>
      <c r="C1853" t="s">
        <v>509</v>
      </c>
      <c r="D1853">
        <v>34757</v>
      </c>
      <c r="E1853" t="s">
        <v>707</v>
      </c>
      <c r="F1853">
        <v>6.1150000000000002</v>
      </c>
      <c r="G1853">
        <v>2009</v>
      </c>
      <c r="AN1853">
        <v>1</v>
      </c>
    </row>
    <row r="1854" spans="1:40" hidden="1" x14ac:dyDescent="0.25">
      <c r="A1854" t="s">
        <v>35</v>
      </c>
      <c r="B1854" t="s">
        <v>86</v>
      </c>
      <c r="C1854" t="s">
        <v>510</v>
      </c>
      <c r="D1854">
        <v>34758</v>
      </c>
      <c r="E1854" t="s">
        <v>707</v>
      </c>
      <c r="F1854">
        <v>6.7009999999999996</v>
      </c>
      <c r="G1854">
        <v>2009</v>
      </c>
      <c r="AN1854">
        <v>1</v>
      </c>
    </row>
    <row r="1855" spans="1:40" hidden="1" x14ac:dyDescent="0.25">
      <c r="A1855" t="s">
        <v>35</v>
      </c>
      <c r="B1855" t="s">
        <v>86</v>
      </c>
      <c r="C1855" t="s">
        <v>512</v>
      </c>
      <c r="D1855">
        <v>34760</v>
      </c>
      <c r="E1855" t="s">
        <v>707</v>
      </c>
      <c r="F1855">
        <v>0.877</v>
      </c>
      <c r="G1855">
        <v>2009</v>
      </c>
      <c r="AN1855">
        <v>1</v>
      </c>
    </row>
    <row r="1856" spans="1:40" hidden="1" x14ac:dyDescent="0.25">
      <c r="A1856" t="s">
        <v>35</v>
      </c>
      <c r="B1856" t="s">
        <v>86</v>
      </c>
      <c r="C1856" t="s">
        <v>517</v>
      </c>
      <c r="D1856">
        <v>42305</v>
      </c>
      <c r="E1856" t="s">
        <v>707</v>
      </c>
      <c r="F1856">
        <v>215.38300000000001</v>
      </c>
      <c r="G1856">
        <v>2009</v>
      </c>
      <c r="AN1856">
        <v>1</v>
      </c>
    </row>
    <row r="1857" spans="1:40" hidden="1" x14ac:dyDescent="0.25">
      <c r="A1857" t="s">
        <v>35</v>
      </c>
      <c r="B1857" t="s">
        <v>86</v>
      </c>
      <c r="C1857" t="s">
        <v>518</v>
      </c>
      <c r="D1857">
        <v>42306</v>
      </c>
      <c r="E1857" t="s">
        <v>707</v>
      </c>
      <c r="F1857">
        <v>4</v>
      </c>
      <c r="G1857">
        <v>2009</v>
      </c>
      <c r="AN1857">
        <v>1</v>
      </c>
    </row>
    <row r="1858" spans="1:40" hidden="1" x14ac:dyDescent="0.25">
      <c r="A1858" t="s">
        <v>35</v>
      </c>
      <c r="B1858" t="s">
        <v>86</v>
      </c>
      <c r="C1858" t="s">
        <v>508</v>
      </c>
      <c r="D1858">
        <v>34756</v>
      </c>
      <c r="E1858" t="s">
        <v>708</v>
      </c>
      <c r="F1858">
        <v>19.321999999999999</v>
      </c>
      <c r="G1858">
        <v>2010</v>
      </c>
      <c r="AN1858">
        <v>1</v>
      </c>
    </row>
    <row r="1859" spans="1:40" hidden="1" x14ac:dyDescent="0.25">
      <c r="A1859" t="s">
        <v>35</v>
      </c>
      <c r="B1859" t="s">
        <v>86</v>
      </c>
      <c r="C1859" t="s">
        <v>509</v>
      </c>
      <c r="D1859">
        <v>34757</v>
      </c>
      <c r="E1859" t="s">
        <v>707</v>
      </c>
      <c r="F1859">
        <v>6.2789999999999999</v>
      </c>
      <c r="G1859">
        <v>2010</v>
      </c>
      <c r="AN1859">
        <v>1</v>
      </c>
    </row>
    <row r="1860" spans="1:40" hidden="1" x14ac:dyDescent="0.25">
      <c r="A1860" t="s">
        <v>35</v>
      </c>
      <c r="B1860" t="s">
        <v>86</v>
      </c>
      <c r="C1860" t="s">
        <v>510</v>
      </c>
      <c r="D1860">
        <v>34758</v>
      </c>
      <c r="E1860" t="s">
        <v>707</v>
      </c>
      <c r="F1860">
        <v>6.9249999999999998</v>
      </c>
      <c r="G1860">
        <v>2010</v>
      </c>
      <c r="AN1860">
        <v>1</v>
      </c>
    </row>
    <row r="1861" spans="1:40" hidden="1" x14ac:dyDescent="0.25">
      <c r="A1861" t="s">
        <v>35</v>
      </c>
      <c r="B1861" t="s">
        <v>86</v>
      </c>
      <c r="C1861" t="s">
        <v>512</v>
      </c>
      <c r="D1861">
        <v>34760</v>
      </c>
      <c r="E1861" t="s">
        <v>707</v>
      </c>
      <c r="F1861">
        <v>1113.5630000000001</v>
      </c>
      <c r="G1861">
        <v>2010</v>
      </c>
      <c r="AN1861">
        <v>1</v>
      </c>
    </row>
    <row r="1862" spans="1:40" hidden="1" x14ac:dyDescent="0.25">
      <c r="A1862" t="s">
        <v>35</v>
      </c>
      <c r="B1862" t="s">
        <v>86</v>
      </c>
      <c r="C1862" t="s">
        <v>517</v>
      </c>
      <c r="D1862">
        <v>42305</v>
      </c>
      <c r="E1862" t="s">
        <v>707</v>
      </c>
      <c r="F1862">
        <v>6.1920000000000002</v>
      </c>
      <c r="G1862">
        <v>2010</v>
      </c>
      <c r="AN1862">
        <v>1</v>
      </c>
    </row>
    <row r="1863" spans="1:40" hidden="1" x14ac:dyDescent="0.25">
      <c r="A1863" t="s">
        <v>35</v>
      </c>
      <c r="B1863" t="s">
        <v>86</v>
      </c>
      <c r="C1863" t="s">
        <v>518</v>
      </c>
      <c r="D1863">
        <v>42306</v>
      </c>
      <c r="E1863" t="s">
        <v>707</v>
      </c>
      <c r="F1863">
        <v>6.6109999999999998</v>
      </c>
      <c r="G1863">
        <v>2010</v>
      </c>
      <c r="AN1863">
        <v>1</v>
      </c>
    </row>
    <row r="1864" spans="1:40" hidden="1" x14ac:dyDescent="0.25">
      <c r="A1864" t="s">
        <v>35</v>
      </c>
      <c r="B1864" t="s">
        <v>86</v>
      </c>
      <c r="C1864" t="s">
        <v>508</v>
      </c>
      <c r="D1864">
        <v>34756</v>
      </c>
      <c r="E1864" t="s">
        <v>708</v>
      </c>
      <c r="F1864">
        <v>3065.7150000000001</v>
      </c>
      <c r="G1864">
        <v>2011</v>
      </c>
      <c r="AN1864">
        <v>1</v>
      </c>
    </row>
    <row r="1865" spans="1:40" hidden="1" x14ac:dyDescent="0.25">
      <c r="A1865" t="s">
        <v>35</v>
      </c>
      <c r="B1865" t="s">
        <v>86</v>
      </c>
      <c r="C1865" t="s">
        <v>509</v>
      </c>
      <c r="D1865">
        <v>34757</v>
      </c>
      <c r="E1865" t="s">
        <v>707</v>
      </c>
      <c r="F1865">
        <v>6.4880000000000004</v>
      </c>
      <c r="G1865">
        <v>2011</v>
      </c>
      <c r="AN1865">
        <v>1</v>
      </c>
    </row>
    <row r="1866" spans="1:40" hidden="1" x14ac:dyDescent="0.25">
      <c r="A1866" t="s">
        <v>35</v>
      </c>
      <c r="B1866" t="s">
        <v>86</v>
      </c>
      <c r="C1866" t="s">
        <v>510</v>
      </c>
      <c r="D1866">
        <v>34758</v>
      </c>
      <c r="E1866" t="s">
        <v>707</v>
      </c>
      <c r="F1866">
        <v>7.2060000000000004</v>
      </c>
      <c r="G1866">
        <v>2011</v>
      </c>
      <c r="AN1866">
        <v>1</v>
      </c>
    </row>
    <row r="1867" spans="1:40" hidden="1" x14ac:dyDescent="0.25">
      <c r="A1867" t="s">
        <v>35</v>
      </c>
      <c r="B1867" t="s">
        <v>86</v>
      </c>
      <c r="C1867" t="s">
        <v>517</v>
      </c>
      <c r="D1867">
        <v>42305</v>
      </c>
      <c r="E1867" t="s">
        <v>707</v>
      </c>
      <c r="F1867">
        <v>1764</v>
      </c>
      <c r="G1867">
        <v>2011</v>
      </c>
      <c r="AN1867">
        <v>1</v>
      </c>
    </row>
    <row r="1868" spans="1:40" hidden="1" x14ac:dyDescent="0.25">
      <c r="A1868" t="s">
        <v>35</v>
      </c>
      <c r="B1868" t="s">
        <v>86</v>
      </c>
      <c r="C1868" t="s">
        <v>518</v>
      </c>
      <c r="D1868">
        <v>42306</v>
      </c>
      <c r="E1868" t="s">
        <v>707</v>
      </c>
      <c r="F1868">
        <v>6.8609999999999998</v>
      </c>
      <c r="G1868">
        <v>2011</v>
      </c>
      <c r="AN1868">
        <v>1</v>
      </c>
    </row>
    <row r="1869" spans="1:40" hidden="1" x14ac:dyDescent="0.25">
      <c r="A1869" t="s">
        <v>35</v>
      </c>
      <c r="B1869" t="s">
        <v>86</v>
      </c>
      <c r="C1869" t="s">
        <v>519</v>
      </c>
      <c r="D1869">
        <v>46803</v>
      </c>
      <c r="E1869" t="s">
        <v>707</v>
      </c>
      <c r="F1869">
        <v>96.332999999999998</v>
      </c>
      <c r="G1869">
        <v>2011</v>
      </c>
      <c r="AN1869">
        <v>1</v>
      </c>
    </row>
    <row r="1870" spans="1:40" hidden="1" x14ac:dyDescent="0.25">
      <c r="A1870" t="s">
        <v>35</v>
      </c>
      <c r="B1870" t="s">
        <v>86</v>
      </c>
      <c r="C1870" t="s">
        <v>508</v>
      </c>
      <c r="D1870">
        <v>34756</v>
      </c>
      <c r="E1870" t="s">
        <v>708</v>
      </c>
      <c r="F1870">
        <v>6200.8580000000002</v>
      </c>
      <c r="G1870">
        <v>2012</v>
      </c>
      <c r="AN1870">
        <v>1</v>
      </c>
    </row>
    <row r="1871" spans="1:40" hidden="1" x14ac:dyDescent="0.25">
      <c r="A1871" t="s">
        <v>35</v>
      </c>
      <c r="B1871" t="s">
        <v>86</v>
      </c>
      <c r="C1871" t="s">
        <v>509</v>
      </c>
      <c r="D1871">
        <v>34757</v>
      </c>
      <c r="E1871" t="s">
        <v>707</v>
      </c>
      <c r="F1871">
        <v>9.3109999999999999</v>
      </c>
      <c r="G1871">
        <v>2012</v>
      </c>
      <c r="AN1871">
        <v>1</v>
      </c>
    </row>
    <row r="1872" spans="1:40" hidden="1" x14ac:dyDescent="0.25">
      <c r="A1872" t="s">
        <v>35</v>
      </c>
      <c r="B1872" t="s">
        <v>86</v>
      </c>
      <c r="C1872" t="s">
        <v>510</v>
      </c>
      <c r="D1872">
        <v>34758</v>
      </c>
      <c r="E1872" t="s">
        <v>707</v>
      </c>
      <c r="F1872">
        <v>1968.4949999999999</v>
      </c>
      <c r="G1872">
        <v>2012</v>
      </c>
      <c r="AN1872">
        <v>1</v>
      </c>
    </row>
    <row r="1873" spans="1:40" hidden="1" x14ac:dyDescent="0.25">
      <c r="A1873" t="s">
        <v>35</v>
      </c>
      <c r="B1873" t="s">
        <v>86</v>
      </c>
      <c r="C1873" t="s">
        <v>518</v>
      </c>
      <c r="D1873">
        <v>42306</v>
      </c>
      <c r="E1873" t="s">
        <v>707</v>
      </c>
      <c r="F1873">
        <v>8</v>
      </c>
      <c r="G1873">
        <v>2012</v>
      </c>
      <c r="AN1873">
        <v>1</v>
      </c>
    </row>
    <row r="1874" spans="1:40" hidden="1" x14ac:dyDescent="0.25">
      <c r="A1874" t="s">
        <v>35</v>
      </c>
      <c r="B1874" t="s">
        <v>86</v>
      </c>
      <c r="C1874" t="s">
        <v>519</v>
      </c>
      <c r="D1874">
        <v>46803</v>
      </c>
      <c r="E1874" t="s">
        <v>707</v>
      </c>
      <c r="F1874">
        <v>210.78299999999999</v>
      </c>
      <c r="G1874">
        <v>2012</v>
      </c>
      <c r="AN1874">
        <v>1</v>
      </c>
    </row>
    <row r="1875" spans="1:40" hidden="1" x14ac:dyDescent="0.25">
      <c r="A1875" t="s">
        <v>35</v>
      </c>
      <c r="B1875" t="s">
        <v>86</v>
      </c>
      <c r="C1875" t="s">
        <v>520</v>
      </c>
      <c r="D1875">
        <v>46804</v>
      </c>
      <c r="E1875" t="s">
        <v>707</v>
      </c>
      <c r="F1875">
        <v>9.3070000000000004</v>
      </c>
      <c r="G1875">
        <v>2012</v>
      </c>
      <c r="AN1875">
        <v>1</v>
      </c>
    </row>
    <row r="1876" spans="1:40" hidden="1" x14ac:dyDescent="0.25">
      <c r="A1876" t="s">
        <v>35</v>
      </c>
      <c r="B1876" t="s">
        <v>86</v>
      </c>
      <c r="C1876" t="s">
        <v>521</v>
      </c>
      <c r="D1876">
        <v>46806</v>
      </c>
      <c r="E1876" t="s">
        <v>707</v>
      </c>
      <c r="F1876">
        <v>35.991999999999997</v>
      </c>
      <c r="G1876">
        <v>2012</v>
      </c>
      <c r="AN1876">
        <v>1</v>
      </c>
    </row>
    <row r="1877" spans="1:40" hidden="1" x14ac:dyDescent="0.25">
      <c r="A1877" t="s">
        <v>35</v>
      </c>
      <c r="B1877" t="s">
        <v>86</v>
      </c>
      <c r="C1877" t="s">
        <v>522</v>
      </c>
      <c r="D1877">
        <v>46807</v>
      </c>
      <c r="E1877" t="s">
        <v>707</v>
      </c>
      <c r="F1877">
        <v>415.459</v>
      </c>
      <c r="G1877">
        <v>2012</v>
      </c>
      <c r="AN1877">
        <v>1</v>
      </c>
    </row>
    <row r="1878" spans="1:40" hidden="1" x14ac:dyDescent="0.25">
      <c r="A1878" t="s">
        <v>35</v>
      </c>
      <c r="B1878" t="s">
        <v>86</v>
      </c>
      <c r="C1878" t="s">
        <v>518</v>
      </c>
      <c r="D1878">
        <v>42306</v>
      </c>
      <c r="E1878" t="s">
        <v>707</v>
      </c>
      <c r="F1878">
        <v>2318.0909999999999</v>
      </c>
      <c r="G1878">
        <v>2013</v>
      </c>
      <c r="AN1878">
        <v>1</v>
      </c>
    </row>
    <row r="1879" spans="1:40" hidden="1" x14ac:dyDescent="0.25">
      <c r="A1879" t="s">
        <v>35</v>
      </c>
      <c r="B1879" t="s">
        <v>86</v>
      </c>
      <c r="C1879" t="s">
        <v>519</v>
      </c>
      <c r="D1879">
        <v>46803</v>
      </c>
      <c r="E1879" t="s">
        <v>708</v>
      </c>
      <c r="F1879">
        <v>82.052000000000007</v>
      </c>
      <c r="G1879">
        <v>2013</v>
      </c>
      <c r="AN1879">
        <v>1</v>
      </c>
    </row>
    <row r="1880" spans="1:40" hidden="1" x14ac:dyDescent="0.25">
      <c r="A1880" t="s">
        <v>35</v>
      </c>
      <c r="B1880" t="s">
        <v>86</v>
      </c>
      <c r="C1880" t="s">
        <v>520</v>
      </c>
      <c r="D1880">
        <v>46804</v>
      </c>
      <c r="E1880" t="s">
        <v>707</v>
      </c>
      <c r="F1880">
        <v>9.0690000000000008</v>
      </c>
      <c r="G1880">
        <v>2013</v>
      </c>
      <c r="AN1880">
        <v>1</v>
      </c>
    </row>
    <row r="1881" spans="1:40" hidden="1" x14ac:dyDescent="0.25">
      <c r="A1881" t="s">
        <v>35</v>
      </c>
      <c r="B1881" t="s">
        <v>86</v>
      </c>
      <c r="C1881" t="s">
        <v>521</v>
      </c>
      <c r="D1881">
        <v>46806</v>
      </c>
      <c r="E1881" t="s">
        <v>707</v>
      </c>
      <c r="F1881">
        <v>51.133000000000003</v>
      </c>
      <c r="G1881">
        <v>2013</v>
      </c>
      <c r="AN1881">
        <v>1</v>
      </c>
    </row>
    <row r="1882" spans="1:40" hidden="1" x14ac:dyDescent="0.25">
      <c r="A1882" t="s">
        <v>35</v>
      </c>
      <c r="B1882" t="s">
        <v>86</v>
      </c>
      <c r="C1882" t="s">
        <v>522</v>
      </c>
      <c r="D1882">
        <v>46807</v>
      </c>
      <c r="E1882" t="s">
        <v>707</v>
      </c>
      <c r="F1882">
        <v>1153.2909999999999</v>
      </c>
      <c r="G1882">
        <v>2013</v>
      </c>
      <c r="AN1882">
        <v>1</v>
      </c>
    </row>
    <row r="1883" spans="1:40" hidden="1" x14ac:dyDescent="0.25">
      <c r="A1883" t="s">
        <v>35</v>
      </c>
      <c r="B1883" t="s">
        <v>86</v>
      </c>
      <c r="C1883" t="s">
        <v>523</v>
      </c>
      <c r="D1883">
        <v>48511</v>
      </c>
      <c r="E1883" t="s">
        <v>707</v>
      </c>
      <c r="F1883">
        <v>36.231000000000002</v>
      </c>
      <c r="G1883">
        <v>2013</v>
      </c>
      <c r="AN1883">
        <v>1</v>
      </c>
    </row>
    <row r="1884" spans="1:40" hidden="1" x14ac:dyDescent="0.25">
      <c r="A1884" t="s">
        <v>35</v>
      </c>
      <c r="B1884" t="s">
        <v>86</v>
      </c>
      <c r="C1884" t="s">
        <v>524</v>
      </c>
      <c r="D1884">
        <v>48512</v>
      </c>
      <c r="E1884" t="s">
        <v>707</v>
      </c>
      <c r="F1884">
        <v>68.236999999999995</v>
      </c>
      <c r="G1884">
        <v>2013</v>
      </c>
      <c r="AN1884">
        <v>1</v>
      </c>
    </row>
    <row r="1885" spans="1:40" hidden="1" x14ac:dyDescent="0.25">
      <c r="A1885" t="s">
        <v>35</v>
      </c>
      <c r="B1885" t="s">
        <v>86</v>
      </c>
      <c r="C1885" t="s">
        <v>519</v>
      </c>
      <c r="D1885">
        <v>46803</v>
      </c>
      <c r="E1885" t="s">
        <v>708</v>
      </c>
      <c r="F1885">
        <v>289.84699999999998</v>
      </c>
      <c r="G1885">
        <v>2014</v>
      </c>
      <c r="AN1885">
        <v>1</v>
      </c>
    </row>
    <row r="1886" spans="1:40" hidden="1" x14ac:dyDescent="0.25">
      <c r="A1886" t="s">
        <v>35</v>
      </c>
      <c r="B1886" t="s">
        <v>86</v>
      </c>
      <c r="C1886" t="s">
        <v>522</v>
      </c>
      <c r="D1886">
        <v>46807</v>
      </c>
      <c r="E1886" t="s">
        <v>707</v>
      </c>
      <c r="F1886">
        <v>1392.6869999999999</v>
      </c>
      <c r="G1886">
        <v>2014</v>
      </c>
      <c r="AN1886">
        <v>1</v>
      </c>
    </row>
    <row r="1887" spans="1:40" hidden="1" x14ac:dyDescent="0.25">
      <c r="A1887" t="s">
        <v>35</v>
      </c>
      <c r="B1887" t="s">
        <v>86</v>
      </c>
      <c r="C1887" t="s">
        <v>523</v>
      </c>
      <c r="D1887">
        <v>48511</v>
      </c>
      <c r="E1887" t="s">
        <v>707</v>
      </c>
      <c r="F1887">
        <v>779.87699999999995</v>
      </c>
      <c r="G1887">
        <v>2014</v>
      </c>
      <c r="AN1887">
        <v>1</v>
      </c>
    </row>
    <row r="1888" spans="1:40" hidden="1" x14ac:dyDescent="0.25">
      <c r="A1888" t="s">
        <v>35</v>
      </c>
      <c r="B1888" t="s">
        <v>86</v>
      </c>
      <c r="C1888" t="s">
        <v>524</v>
      </c>
      <c r="D1888">
        <v>48512</v>
      </c>
      <c r="E1888" t="s">
        <v>707</v>
      </c>
      <c r="F1888">
        <v>48.054000000000002</v>
      </c>
      <c r="G1888">
        <v>2014</v>
      </c>
      <c r="AN1888">
        <v>1</v>
      </c>
    </row>
    <row r="1889" spans="1:52" hidden="1" x14ac:dyDescent="0.25">
      <c r="A1889" t="s">
        <v>35</v>
      </c>
      <c r="B1889" t="s">
        <v>86</v>
      </c>
      <c r="C1889" t="s">
        <v>525</v>
      </c>
      <c r="D1889">
        <v>50170</v>
      </c>
      <c r="E1889" t="s">
        <v>707</v>
      </c>
      <c r="F1889">
        <v>90.765000000000001</v>
      </c>
      <c r="G1889">
        <v>2014</v>
      </c>
      <c r="AN1889">
        <v>1</v>
      </c>
    </row>
    <row r="1890" spans="1:52" hidden="1" x14ac:dyDescent="0.25">
      <c r="A1890" t="s">
        <v>35</v>
      </c>
      <c r="B1890" t="s">
        <v>86</v>
      </c>
      <c r="C1890" t="s">
        <v>526</v>
      </c>
      <c r="D1890">
        <v>50171</v>
      </c>
      <c r="E1890" t="s">
        <v>707</v>
      </c>
      <c r="F1890">
        <v>6.569</v>
      </c>
      <c r="G1890">
        <v>2014</v>
      </c>
      <c r="AN1890">
        <v>1</v>
      </c>
    </row>
    <row r="1891" spans="1:52" hidden="1" x14ac:dyDescent="0.25">
      <c r="A1891" t="s">
        <v>35</v>
      </c>
      <c r="B1891" t="s">
        <v>86</v>
      </c>
      <c r="C1891" t="s">
        <v>527</v>
      </c>
      <c r="D1891">
        <v>50172</v>
      </c>
      <c r="E1891" t="s">
        <v>707</v>
      </c>
      <c r="F1891">
        <v>23.504999999999999</v>
      </c>
      <c r="G1891">
        <v>2014</v>
      </c>
      <c r="AN1891">
        <v>1</v>
      </c>
    </row>
    <row r="1892" spans="1:52" hidden="1" x14ac:dyDescent="0.25">
      <c r="A1892" t="s">
        <v>35</v>
      </c>
      <c r="B1892" t="s">
        <v>86</v>
      </c>
      <c r="C1892" t="s">
        <v>528</v>
      </c>
      <c r="D1892">
        <v>50173</v>
      </c>
      <c r="E1892" t="s">
        <v>707</v>
      </c>
      <c r="F1892">
        <v>154.21199999999999</v>
      </c>
      <c r="G1892">
        <v>2014</v>
      </c>
      <c r="AN1892">
        <v>1</v>
      </c>
    </row>
    <row r="1893" spans="1:52" hidden="1" x14ac:dyDescent="0.25">
      <c r="A1893" t="s">
        <v>35</v>
      </c>
      <c r="B1893" t="s">
        <v>86</v>
      </c>
      <c r="C1893" t="s">
        <v>529</v>
      </c>
      <c r="D1893">
        <v>50174</v>
      </c>
      <c r="E1893" t="s">
        <v>707</v>
      </c>
      <c r="F1893">
        <v>22.504000000000001</v>
      </c>
      <c r="G1893">
        <v>2014</v>
      </c>
      <c r="AN1893">
        <v>1</v>
      </c>
    </row>
    <row r="1894" spans="1:52" s="4" customFormat="1" hidden="1" x14ac:dyDescent="0.25">
      <c r="A1894" s="4" t="s">
        <v>36</v>
      </c>
      <c r="B1894" s="4" t="s">
        <v>87</v>
      </c>
      <c r="C1894" s="4" t="s">
        <v>530</v>
      </c>
      <c r="D1894" s="4">
        <v>36267</v>
      </c>
      <c r="E1894" s="4" t="s">
        <v>707</v>
      </c>
      <c r="F1894" s="4">
        <v>30.28</v>
      </c>
      <c r="G1894" s="4">
        <v>2007</v>
      </c>
      <c r="J1894" s="4">
        <f>17856+11392</f>
        <v>29248</v>
      </c>
      <c r="L1894" s="4">
        <f>30280-J1894</f>
        <v>1032</v>
      </c>
      <c r="AZ1894" s="8"/>
    </row>
    <row r="1895" spans="1:52" hidden="1" x14ac:dyDescent="0.25">
      <c r="A1895" t="s">
        <v>36</v>
      </c>
      <c r="B1895" t="s">
        <v>87</v>
      </c>
      <c r="C1895" t="s">
        <v>531</v>
      </c>
      <c r="D1895">
        <v>36268</v>
      </c>
      <c r="E1895" t="s">
        <v>707</v>
      </c>
      <c r="F1895">
        <v>23.39</v>
      </c>
      <c r="G1895">
        <v>2007</v>
      </c>
      <c r="J1895">
        <f>15813+7361</f>
        <v>23174</v>
      </c>
      <c r="L1895">
        <f>23390-23174</f>
        <v>216</v>
      </c>
    </row>
    <row r="1896" spans="1:52" hidden="1" x14ac:dyDescent="0.25">
      <c r="A1896" t="s">
        <v>36</v>
      </c>
      <c r="B1896" t="s">
        <v>87</v>
      </c>
      <c r="C1896" t="s">
        <v>532</v>
      </c>
      <c r="D1896">
        <v>36269</v>
      </c>
      <c r="E1896" t="s">
        <v>708</v>
      </c>
      <c r="F1896">
        <v>30.852</v>
      </c>
      <c r="G1896">
        <v>2007</v>
      </c>
      <c r="J1896">
        <f>17036+12232</f>
        <v>29268</v>
      </c>
      <c r="L1896">
        <f>30852-29268</f>
        <v>1584</v>
      </c>
    </row>
    <row r="1897" spans="1:52" hidden="1" x14ac:dyDescent="0.25">
      <c r="A1897" t="s">
        <v>36</v>
      </c>
      <c r="B1897" t="s">
        <v>87</v>
      </c>
      <c r="C1897" t="s">
        <v>533</v>
      </c>
      <c r="D1897">
        <v>36270</v>
      </c>
      <c r="E1897" t="s">
        <v>707</v>
      </c>
      <c r="F1897">
        <v>24.847000000000001</v>
      </c>
      <c r="G1897">
        <v>2007</v>
      </c>
      <c r="J1897">
        <f>16563+7732</f>
        <v>24295</v>
      </c>
      <c r="L1897">
        <f>24847-24295</f>
        <v>552</v>
      </c>
    </row>
    <row r="1898" spans="1:52" hidden="1" x14ac:dyDescent="0.25">
      <c r="A1898" t="s">
        <v>36</v>
      </c>
      <c r="B1898" t="s">
        <v>87</v>
      </c>
      <c r="C1898" t="s">
        <v>534</v>
      </c>
      <c r="D1898">
        <v>36272</v>
      </c>
      <c r="E1898" t="s">
        <v>707</v>
      </c>
      <c r="F1898">
        <v>27.76</v>
      </c>
      <c r="G1898">
        <v>2007</v>
      </c>
      <c r="J1898">
        <f>18072+8104</f>
        <v>26176</v>
      </c>
      <c r="L1898">
        <f>27760-26176</f>
        <v>1584</v>
      </c>
    </row>
    <row r="1899" spans="1:52" hidden="1" x14ac:dyDescent="0.25">
      <c r="A1899" t="s">
        <v>36</v>
      </c>
      <c r="B1899" t="s">
        <v>87</v>
      </c>
      <c r="C1899" t="s">
        <v>530</v>
      </c>
      <c r="D1899">
        <v>36267</v>
      </c>
      <c r="E1899" t="s">
        <v>708</v>
      </c>
      <c r="F1899">
        <v>33.878999999999998</v>
      </c>
      <c r="G1899">
        <v>2008</v>
      </c>
      <c r="J1899">
        <f>19484+13363</f>
        <v>32847</v>
      </c>
      <c r="L1899">
        <f>33879-J1899</f>
        <v>1032</v>
      </c>
    </row>
    <row r="1900" spans="1:52" hidden="1" x14ac:dyDescent="0.25">
      <c r="A1900" t="s">
        <v>36</v>
      </c>
      <c r="B1900" t="s">
        <v>87</v>
      </c>
      <c r="C1900" t="s">
        <v>531</v>
      </c>
      <c r="D1900">
        <v>36268</v>
      </c>
      <c r="E1900" t="s">
        <v>707</v>
      </c>
      <c r="F1900">
        <v>24.532</v>
      </c>
      <c r="G1900">
        <v>2008</v>
      </c>
      <c r="J1900">
        <f>16453+7863</f>
        <v>24316</v>
      </c>
      <c r="L1900">
        <f>24532-J1900</f>
        <v>216</v>
      </c>
    </row>
    <row r="1901" spans="1:52" hidden="1" x14ac:dyDescent="0.25">
      <c r="A1901" t="s">
        <v>36</v>
      </c>
      <c r="B1901" t="s">
        <v>87</v>
      </c>
      <c r="C1901" t="s">
        <v>532</v>
      </c>
      <c r="D1901">
        <v>36269</v>
      </c>
      <c r="E1901" t="s">
        <v>707</v>
      </c>
      <c r="F1901">
        <v>31.501999999999999</v>
      </c>
      <c r="G1901">
        <v>2008</v>
      </c>
      <c r="J1901">
        <f>19484+8970</f>
        <v>28454</v>
      </c>
      <c r="L1901">
        <f>31502-J1901</f>
        <v>3048</v>
      </c>
    </row>
    <row r="1902" spans="1:52" hidden="1" x14ac:dyDescent="0.25">
      <c r="A1902" t="s">
        <v>36</v>
      </c>
      <c r="B1902" t="s">
        <v>87</v>
      </c>
      <c r="C1902" t="s">
        <v>533</v>
      </c>
      <c r="D1902">
        <v>36270</v>
      </c>
      <c r="E1902" t="s">
        <v>707</v>
      </c>
      <c r="F1902">
        <v>26.512</v>
      </c>
      <c r="G1902">
        <v>2008</v>
      </c>
      <c r="J1902">
        <f>17810+8150</f>
        <v>25960</v>
      </c>
      <c r="L1902">
        <f>26512-J1902</f>
        <v>552</v>
      </c>
    </row>
    <row r="1903" spans="1:52" hidden="1" x14ac:dyDescent="0.25">
      <c r="A1903" t="s">
        <v>36</v>
      </c>
      <c r="B1903" t="s">
        <v>87</v>
      </c>
      <c r="C1903" t="s">
        <v>535</v>
      </c>
      <c r="D1903">
        <v>36271</v>
      </c>
      <c r="E1903" t="s">
        <v>707</v>
      </c>
      <c r="F1903">
        <v>23.484999999999999</v>
      </c>
      <c r="G1903">
        <v>2008</v>
      </c>
      <c r="J1903">
        <f>15501+7430</f>
        <v>22931</v>
      </c>
      <c r="L1903">
        <f>23485-J1903</f>
        <v>554</v>
      </c>
    </row>
    <row r="1904" spans="1:52" hidden="1" x14ac:dyDescent="0.25">
      <c r="A1904" t="s">
        <v>36</v>
      </c>
      <c r="B1904" t="s">
        <v>87</v>
      </c>
      <c r="C1904" t="s">
        <v>530</v>
      </c>
      <c r="D1904">
        <v>36267</v>
      </c>
      <c r="E1904" t="s">
        <v>708</v>
      </c>
      <c r="F1904">
        <v>25.824999999999999</v>
      </c>
      <c r="G1904">
        <v>2009</v>
      </c>
      <c r="J1904">
        <f>14444+10349</f>
        <v>24793</v>
      </c>
      <c r="L1904">
        <f>25825-J1904</f>
        <v>1032</v>
      </c>
    </row>
    <row r="1905" spans="1:12" hidden="1" x14ac:dyDescent="0.25">
      <c r="A1905" t="s">
        <v>36</v>
      </c>
      <c r="B1905" t="s">
        <v>87</v>
      </c>
      <c r="C1905" t="s">
        <v>531</v>
      </c>
      <c r="D1905">
        <v>36268</v>
      </c>
      <c r="E1905" t="s">
        <v>707</v>
      </c>
      <c r="F1905">
        <v>21.731000000000002</v>
      </c>
      <c r="G1905">
        <v>2009</v>
      </c>
      <c r="J1905">
        <f>13109+8406</f>
        <v>21515</v>
      </c>
      <c r="L1905">
        <f>21731-J1905</f>
        <v>216</v>
      </c>
    </row>
    <row r="1906" spans="1:12" hidden="1" x14ac:dyDescent="0.25">
      <c r="A1906" t="s">
        <v>36</v>
      </c>
      <c r="B1906" t="s">
        <v>87</v>
      </c>
      <c r="C1906" t="s">
        <v>532</v>
      </c>
      <c r="D1906">
        <v>36269</v>
      </c>
      <c r="E1906" t="s">
        <v>707</v>
      </c>
      <c r="F1906">
        <v>25.489000000000001</v>
      </c>
      <c r="G1906">
        <v>2009</v>
      </c>
      <c r="J1906">
        <f>14004+8437</f>
        <v>22441</v>
      </c>
      <c r="L1906">
        <f>25489-J1906</f>
        <v>3048</v>
      </c>
    </row>
    <row r="1907" spans="1:12" hidden="1" x14ac:dyDescent="0.25">
      <c r="A1907" t="s">
        <v>36</v>
      </c>
      <c r="B1907" t="s">
        <v>87</v>
      </c>
      <c r="C1907" t="s">
        <v>533</v>
      </c>
      <c r="D1907">
        <v>36270</v>
      </c>
      <c r="E1907" t="s">
        <v>707</v>
      </c>
      <c r="F1907">
        <v>22.216999999999999</v>
      </c>
      <c r="G1907">
        <v>2009</v>
      </c>
      <c r="J1907">
        <f>13055+8610</f>
        <v>21665</v>
      </c>
      <c r="L1907">
        <f>22217-J1907</f>
        <v>552</v>
      </c>
    </row>
    <row r="1908" spans="1:12" hidden="1" x14ac:dyDescent="0.25">
      <c r="A1908" t="s">
        <v>36</v>
      </c>
      <c r="B1908" t="s">
        <v>87</v>
      </c>
      <c r="C1908" t="s">
        <v>535</v>
      </c>
      <c r="D1908">
        <v>36271</v>
      </c>
      <c r="E1908" t="s">
        <v>707</v>
      </c>
      <c r="F1908">
        <v>20.260000000000002</v>
      </c>
      <c r="G1908">
        <v>2009</v>
      </c>
      <c r="J1908">
        <f>11948+7760</f>
        <v>19708</v>
      </c>
      <c r="L1908">
        <f>20260-J1908</f>
        <v>552</v>
      </c>
    </row>
    <row r="1909" spans="1:12" hidden="1" x14ac:dyDescent="0.25">
      <c r="A1909" t="s">
        <v>36</v>
      </c>
      <c r="B1909" t="s">
        <v>87</v>
      </c>
      <c r="C1909" t="s">
        <v>530</v>
      </c>
      <c r="D1909">
        <v>36267</v>
      </c>
      <c r="E1909" t="s">
        <v>708</v>
      </c>
      <c r="F1909">
        <v>33.06</v>
      </c>
      <c r="G1909">
        <v>2010</v>
      </c>
      <c r="J1909">
        <f>21755+9721</f>
        <v>31476</v>
      </c>
      <c r="L1909">
        <f>33060-31476</f>
        <v>1584</v>
      </c>
    </row>
    <row r="1910" spans="1:12" hidden="1" x14ac:dyDescent="0.25">
      <c r="A1910" t="s">
        <v>36</v>
      </c>
      <c r="B1910" t="s">
        <v>87</v>
      </c>
      <c r="C1910" t="s">
        <v>531</v>
      </c>
      <c r="D1910">
        <v>36268</v>
      </c>
      <c r="E1910" t="s">
        <v>707</v>
      </c>
      <c r="F1910">
        <v>30.872</v>
      </c>
      <c r="G1910">
        <v>2010</v>
      </c>
      <c r="J1910">
        <f>21478+9154</f>
        <v>30632</v>
      </c>
      <c r="L1910">
        <f>30872-30632</f>
        <v>240</v>
      </c>
    </row>
    <row r="1911" spans="1:12" hidden="1" x14ac:dyDescent="0.25">
      <c r="A1911" t="s">
        <v>36</v>
      </c>
      <c r="B1911" t="s">
        <v>87</v>
      </c>
      <c r="C1911" t="s">
        <v>533</v>
      </c>
      <c r="D1911">
        <v>36270</v>
      </c>
      <c r="E1911" t="s">
        <v>707</v>
      </c>
      <c r="F1911">
        <v>28.584</v>
      </c>
      <c r="G1911">
        <v>2010</v>
      </c>
      <c r="J1911">
        <f>18514+9518</f>
        <v>28032</v>
      </c>
      <c r="L1911">
        <f>28584-28032</f>
        <v>552</v>
      </c>
    </row>
    <row r="1912" spans="1:12" hidden="1" x14ac:dyDescent="0.25">
      <c r="A1912" t="s">
        <v>36</v>
      </c>
      <c r="B1912" t="s">
        <v>87</v>
      </c>
      <c r="C1912" t="s">
        <v>535</v>
      </c>
      <c r="D1912">
        <v>36271</v>
      </c>
      <c r="E1912" t="s">
        <v>707</v>
      </c>
      <c r="F1912">
        <v>25.974</v>
      </c>
      <c r="G1912">
        <v>2010</v>
      </c>
      <c r="J1912">
        <f>17582+7840</f>
        <v>25422</v>
      </c>
      <c r="L1912">
        <f>25974-J1912</f>
        <v>552</v>
      </c>
    </row>
    <row r="1913" spans="1:12" hidden="1" x14ac:dyDescent="0.25">
      <c r="A1913" t="s">
        <v>36</v>
      </c>
      <c r="B1913" t="s">
        <v>87</v>
      </c>
      <c r="C1913" t="s">
        <v>534</v>
      </c>
      <c r="D1913">
        <v>36272</v>
      </c>
      <c r="E1913" t="s">
        <v>707</v>
      </c>
      <c r="F1913">
        <v>22.315999999999999</v>
      </c>
      <c r="G1913">
        <v>2010</v>
      </c>
      <c r="J1913">
        <f>11710+7558</f>
        <v>19268</v>
      </c>
      <c r="L1913">
        <f>22316-J1913</f>
        <v>3048</v>
      </c>
    </row>
    <row r="1914" spans="1:12" hidden="1" x14ac:dyDescent="0.25">
      <c r="A1914" t="s">
        <v>36</v>
      </c>
      <c r="B1914" t="s">
        <v>87</v>
      </c>
      <c r="C1914" t="s">
        <v>530</v>
      </c>
      <c r="D1914">
        <v>36267</v>
      </c>
      <c r="E1914" t="s">
        <v>708</v>
      </c>
      <c r="F1914">
        <v>30.827999999999999</v>
      </c>
      <c r="G1914">
        <v>2011</v>
      </c>
      <c r="J1914">
        <f>22771+6473</f>
        <v>29244</v>
      </c>
      <c r="L1914">
        <f>30828-J1914</f>
        <v>1584</v>
      </c>
    </row>
    <row r="1915" spans="1:12" hidden="1" x14ac:dyDescent="0.25">
      <c r="A1915" t="s">
        <v>36</v>
      </c>
      <c r="B1915" t="s">
        <v>87</v>
      </c>
      <c r="C1915" t="s">
        <v>531</v>
      </c>
      <c r="D1915">
        <v>36268</v>
      </c>
      <c r="E1915" t="s">
        <v>707</v>
      </c>
      <c r="F1915">
        <v>32.287999999999997</v>
      </c>
      <c r="G1915">
        <v>2011</v>
      </c>
      <c r="J1915">
        <f>23346+8702</f>
        <v>32048</v>
      </c>
      <c r="L1915">
        <f>32288-J1915</f>
        <v>240</v>
      </c>
    </row>
    <row r="1916" spans="1:12" hidden="1" x14ac:dyDescent="0.25">
      <c r="A1916" t="s">
        <v>36</v>
      </c>
      <c r="B1916" t="s">
        <v>87</v>
      </c>
      <c r="C1916" t="s">
        <v>533</v>
      </c>
      <c r="D1916">
        <v>36270</v>
      </c>
      <c r="E1916" t="s">
        <v>707</v>
      </c>
      <c r="F1916">
        <v>32.656999999999996</v>
      </c>
      <c r="G1916">
        <v>2011</v>
      </c>
      <c r="J1916">
        <f>22700+8925</f>
        <v>31625</v>
      </c>
      <c r="L1916">
        <f>32657-J1916</f>
        <v>1032</v>
      </c>
    </row>
    <row r="1917" spans="1:12" hidden="1" x14ac:dyDescent="0.25">
      <c r="A1917" t="s">
        <v>36</v>
      </c>
      <c r="B1917" t="s">
        <v>87</v>
      </c>
      <c r="C1917" t="s">
        <v>535</v>
      </c>
      <c r="D1917">
        <v>36271</v>
      </c>
      <c r="E1917" t="s">
        <v>707</v>
      </c>
      <c r="F1917">
        <v>34.411999999999999</v>
      </c>
      <c r="G1917">
        <v>2011</v>
      </c>
      <c r="J1917">
        <f>24150+9710</f>
        <v>33860</v>
      </c>
      <c r="L1917">
        <f>34412-J1917</f>
        <v>552</v>
      </c>
    </row>
    <row r="1918" spans="1:12" hidden="1" x14ac:dyDescent="0.25">
      <c r="A1918" t="s">
        <v>36</v>
      </c>
      <c r="B1918" t="s">
        <v>87</v>
      </c>
      <c r="C1918" t="s">
        <v>534</v>
      </c>
      <c r="D1918">
        <v>36272</v>
      </c>
      <c r="E1918" t="s">
        <v>707</v>
      </c>
      <c r="F1918">
        <v>29.140999999999998</v>
      </c>
      <c r="G1918">
        <v>2011</v>
      </c>
      <c r="J1918">
        <f>22700+4917</f>
        <v>27617</v>
      </c>
      <c r="L1918">
        <f>29141-J1918</f>
        <v>1524</v>
      </c>
    </row>
    <row r="1919" spans="1:12" hidden="1" x14ac:dyDescent="0.25">
      <c r="A1919" t="s">
        <v>36</v>
      </c>
      <c r="B1919" t="s">
        <v>87</v>
      </c>
      <c r="C1919" t="s">
        <v>530</v>
      </c>
      <c r="D1919">
        <v>36267</v>
      </c>
      <c r="E1919" t="s">
        <v>708</v>
      </c>
      <c r="F1919">
        <v>32.026000000000003</v>
      </c>
      <c r="G1919">
        <v>2012</v>
      </c>
      <c r="J1919">
        <f>18829+8391</f>
        <v>27220</v>
      </c>
      <c r="L1919">
        <f>32026-J1919</f>
        <v>4806</v>
      </c>
    </row>
    <row r="1920" spans="1:12" hidden="1" x14ac:dyDescent="0.25">
      <c r="A1920" t="s">
        <v>36</v>
      </c>
      <c r="B1920" t="s">
        <v>87</v>
      </c>
      <c r="C1920" t="s">
        <v>531</v>
      </c>
      <c r="D1920">
        <v>36268</v>
      </c>
      <c r="E1920" t="s">
        <v>707</v>
      </c>
      <c r="F1920">
        <v>27.431999999999999</v>
      </c>
      <c r="G1920">
        <v>2012</v>
      </c>
      <c r="J1920">
        <f>18829+8363</f>
        <v>27192</v>
      </c>
      <c r="L1920">
        <f>27432-J1920</f>
        <v>240</v>
      </c>
    </row>
    <row r="1921" spans="1:28" hidden="1" x14ac:dyDescent="0.25">
      <c r="A1921" t="s">
        <v>36</v>
      </c>
      <c r="B1921" t="s">
        <v>87</v>
      </c>
      <c r="C1921" t="s">
        <v>533</v>
      </c>
      <c r="D1921">
        <v>36270</v>
      </c>
      <c r="E1921" t="s">
        <v>707</v>
      </c>
      <c r="F1921">
        <v>28.146999999999998</v>
      </c>
      <c r="G1921">
        <v>2012</v>
      </c>
      <c r="J1921">
        <f>18750+8365</f>
        <v>27115</v>
      </c>
      <c r="L1921">
        <f>28147-J1921</f>
        <v>1032</v>
      </c>
    </row>
    <row r="1922" spans="1:28" hidden="1" x14ac:dyDescent="0.25">
      <c r="A1922" t="s">
        <v>36</v>
      </c>
      <c r="B1922" t="s">
        <v>87</v>
      </c>
      <c r="C1922" t="s">
        <v>535</v>
      </c>
      <c r="D1922">
        <v>36271</v>
      </c>
      <c r="E1922" t="s">
        <v>707</v>
      </c>
      <c r="F1922">
        <v>27.850999999999999</v>
      </c>
      <c r="G1922">
        <v>2012</v>
      </c>
      <c r="J1922">
        <f>18829+8470</f>
        <v>27299</v>
      </c>
      <c r="L1922">
        <f>27851-J1922</f>
        <v>552</v>
      </c>
    </row>
    <row r="1923" spans="1:28" hidden="1" x14ac:dyDescent="0.25">
      <c r="A1923" t="s">
        <v>36</v>
      </c>
      <c r="B1923" t="s">
        <v>87</v>
      </c>
      <c r="C1923" t="s">
        <v>530</v>
      </c>
      <c r="D1923">
        <v>36267</v>
      </c>
      <c r="E1923" t="s">
        <v>708</v>
      </c>
      <c r="F1923">
        <v>30.972999999999999</v>
      </c>
      <c r="G1923">
        <v>2013</v>
      </c>
      <c r="J1923">
        <f>17500+8424</f>
        <v>25924</v>
      </c>
      <c r="L1923">
        <f>30973-J1923</f>
        <v>5049</v>
      </c>
    </row>
    <row r="1924" spans="1:28" hidden="1" x14ac:dyDescent="0.25">
      <c r="A1924" t="s">
        <v>36</v>
      </c>
      <c r="B1924" t="s">
        <v>87</v>
      </c>
      <c r="C1924" t="s">
        <v>531</v>
      </c>
      <c r="D1924">
        <v>36268</v>
      </c>
      <c r="E1924" t="s">
        <v>707</v>
      </c>
      <c r="F1924">
        <v>26.545000000000002</v>
      </c>
      <c r="G1924">
        <v>2013</v>
      </c>
      <c r="J1924">
        <f>17500+8347</f>
        <v>25847</v>
      </c>
      <c r="L1924">
        <f>26545-J1924</f>
        <v>698</v>
      </c>
    </row>
    <row r="1925" spans="1:28" hidden="1" x14ac:dyDescent="0.25">
      <c r="A1925" t="s">
        <v>36</v>
      </c>
      <c r="B1925" t="s">
        <v>87</v>
      </c>
      <c r="C1925" t="s">
        <v>533</v>
      </c>
      <c r="D1925">
        <v>36270</v>
      </c>
      <c r="E1925" t="s">
        <v>707</v>
      </c>
      <c r="F1925">
        <v>29.196000000000002</v>
      </c>
      <c r="G1925">
        <v>2013</v>
      </c>
      <c r="J1925">
        <f>17500+8406</f>
        <v>25906</v>
      </c>
      <c r="L1925">
        <f>29196-J1925</f>
        <v>3290</v>
      </c>
    </row>
    <row r="1926" spans="1:28" hidden="1" x14ac:dyDescent="0.25">
      <c r="A1926" t="s">
        <v>36</v>
      </c>
      <c r="B1926" t="s">
        <v>87</v>
      </c>
      <c r="C1926" t="s">
        <v>535</v>
      </c>
      <c r="D1926">
        <v>36271</v>
      </c>
      <c r="E1926" t="s">
        <v>707</v>
      </c>
      <c r="F1926">
        <v>28.446999999999999</v>
      </c>
      <c r="G1926">
        <v>2013</v>
      </c>
      <c r="J1926">
        <f>17500+9000</f>
        <v>26500</v>
      </c>
      <c r="L1926">
        <f>28447-J1926</f>
        <v>1947</v>
      </c>
    </row>
    <row r="1927" spans="1:28" hidden="1" x14ac:dyDescent="0.25">
      <c r="A1927" t="s">
        <v>36</v>
      </c>
      <c r="B1927" t="s">
        <v>87</v>
      </c>
      <c r="C1927" t="s">
        <v>530</v>
      </c>
      <c r="D1927">
        <v>36267</v>
      </c>
      <c r="E1927" t="s">
        <v>708</v>
      </c>
      <c r="F1927">
        <v>37.780999999999999</v>
      </c>
      <c r="G1927">
        <v>2014</v>
      </c>
      <c r="J1927">
        <f>20502+8513</f>
        <v>29015</v>
      </c>
      <c r="L1927">
        <f>37781-J1927</f>
        <v>8766</v>
      </c>
    </row>
    <row r="1928" spans="1:28" hidden="1" x14ac:dyDescent="0.25">
      <c r="A1928" t="s">
        <v>36</v>
      </c>
      <c r="B1928" t="s">
        <v>87</v>
      </c>
      <c r="C1928" t="s">
        <v>531</v>
      </c>
      <c r="D1928">
        <v>36268</v>
      </c>
      <c r="E1928" t="s">
        <v>707</v>
      </c>
      <c r="F1928">
        <v>29.146000000000001</v>
      </c>
      <c r="G1928">
        <v>2014</v>
      </c>
      <c r="J1928">
        <f>20502+7874</f>
        <v>28376</v>
      </c>
      <c r="L1928">
        <f>29146-J1928</f>
        <v>770</v>
      </c>
    </row>
    <row r="1929" spans="1:28" hidden="1" x14ac:dyDescent="0.25">
      <c r="A1929" t="s">
        <v>36</v>
      </c>
      <c r="B1929" t="s">
        <v>87</v>
      </c>
      <c r="C1929" t="s">
        <v>533</v>
      </c>
      <c r="D1929">
        <v>36270</v>
      </c>
      <c r="E1929" t="s">
        <v>707</v>
      </c>
      <c r="F1929">
        <v>32.863999999999997</v>
      </c>
      <c r="G1929">
        <v>2014</v>
      </c>
      <c r="J1929">
        <f>20502+8750</f>
        <v>29252</v>
      </c>
      <c r="L1929">
        <f>32864-J1929</f>
        <v>3612</v>
      </c>
    </row>
    <row r="1930" spans="1:28" hidden="1" x14ac:dyDescent="0.25">
      <c r="A1930" t="s">
        <v>36</v>
      </c>
      <c r="B1930" t="s">
        <v>87</v>
      </c>
      <c r="C1930" t="s">
        <v>535</v>
      </c>
      <c r="D1930">
        <v>36271</v>
      </c>
      <c r="E1930" t="s">
        <v>707</v>
      </c>
      <c r="F1930">
        <v>32.329000000000001</v>
      </c>
      <c r="G1930">
        <v>2014</v>
      </c>
      <c r="J1930">
        <f>20502+8950</f>
        <v>29452</v>
      </c>
      <c r="L1930">
        <f>32329-J1930</f>
        <v>2877</v>
      </c>
    </row>
    <row r="1931" spans="1:28" hidden="1" x14ac:dyDescent="0.25">
      <c r="A1931" t="s">
        <v>36</v>
      </c>
      <c r="B1931" t="s">
        <v>87</v>
      </c>
      <c r="C1931" t="s">
        <v>536</v>
      </c>
      <c r="D1931">
        <v>49610</v>
      </c>
      <c r="E1931" t="s">
        <v>707</v>
      </c>
      <c r="F1931">
        <v>18.619</v>
      </c>
      <c r="G1931">
        <v>2014</v>
      </c>
      <c r="AB1931">
        <v>18619</v>
      </c>
    </row>
    <row r="1932" spans="1:28" hidden="1" x14ac:dyDescent="0.25">
      <c r="A1932" t="s">
        <v>36</v>
      </c>
      <c r="B1932" t="s">
        <v>87</v>
      </c>
      <c r="C1932" t="s">
        <v>530</v>
      </c>
      <c r="D1932">
        <v>36267</v>
      </c>
      <c r="E1932" t="s">
        <v>708</v>
      </c>
      <c r="F1932">
        <v>46.774999999999999</v>
      </c>
      <c r="G1932">
        <v>2015</v>
      </c>
      <c r="J1932">
        <f>24128+8757</f>
        <v>32885</v>
      </c>
      <c r="L1932">
        <f>46775-J1932</f>
        <v>13890</v>
      </c>
    </row>
    <row r="1933" spans="1:28" hidden="1" x14ac:dyDescent="0.25">
      <c r="A1933" t="s">
        <v>36</v>
      </c>
      <c r="B1933" t="s">
        <v>87</v>
      </c>
      <c r="C1933" t="s">
        <v>533</v>
      </c>
      <c r="D1933">
        <v>36270</v>
      </c>
      <c r="E1933" t="s">
        <v>707</v>
      </c>
      <c r="F1933">
        <v>36.185000000000002</v>
      </c>
      <c r="G1933">
        <v>2015</v>
      </c>
      <c r="J1933">
        <f>24128+8445</f>
        <v>32573</v>
      </c>
      <c r="L1933">
        <f>36185-J1933</f>
        <v>3612</v>
      </c>
    </row>
    <row r="1934" spans="1:28" hidden="1" x14ac:dyDescent="0.25">
      <c r="A1934" t="s">
        <v>36</v>
      </c>
      <c r="B1934" t="s">
        <v>87</v>
      </c>
      <c r="C1934" t="s">
        <v>535</v>
      </c>
      <c r="D1934">
        <v>36271</v>
      </c>
      <c r="E1934" t="s">
        <v>707</v>
      </c>
      <c r="F1934">
        <v>35.819000000000003</v>
      </c>
      <c r="G1934">
        <v>2015</v>
      </c>
      <c r="J1934">
        <f>8750+24128</f>
        <v>32878</v>
      </c>
      <c r="L1934">
        <f>35819-J1934</f>
        <v>2941</v>
      </c>
    </row>
    <row r="1935" spans="1:28" hidden="1" x14ac:dyDescent="0.25">
      <c r="A1935" t="s">
        <v>36</v>
      </c>
      <c r="B1935" t="s">
        <v>87</v>
      </c>
      <c r="C1935" t="s">
        <v>536</v>
      </c>
      <c r="D1935">
        <v>49610</v>
      </c>
      <c r="E1935" t="s">
        <v>707</v>
      </c>
      <c r="F1935">
        <v>4.6280000000000001</v>
      </c>
      <c r="G1935">
        <v>2015</v>
      </c>
      <c r="J1935">
        <v>2450</v>
      </c>
      <c r="L1935">
        <f>4628-J1935</f>
        <v>2178</v>
      </c>
    </row>
    <row r="1936" spans="1:28" hidden="1" x14ac:dyDescent="0.25">
      <c r="A1936" t="s">
        <v>36</v>
      </c>
      <c r="B1936" t="s">
        <v>87</v>
      </c>
      <c r="C1936" t="s">
        <v>537</v>
      </c>
      <c r="D1936">
        <v>51595</v>
      </c>
      <c r="E1936" t="s">
        <v>707</v>
      </c>
      <c r="F1936">
        <v>35.401000000000003</v>
      </c>
      <c r="G1936">
        <v>2015</v>
      </c>
      <c r="J1936">
        <f>24128+10025</f>
        <v>34153</v>
      </c>
      <c r="L1936">
        <f>35401-J1936</f>
        <v>1248</v>
      </c>
    </row>
    <row r="1937" spans="1:45" hidden="1" x14ac:dyDescent="0.25">
      <c r="A1937" t="s">
        <v>36</v>
      </c>
      <c r="B1937" t="s">
        <v>87</v>
      </c>
      <c r="C1937" t="s">
        <v>530</v>
      </c>
      <c r="D1937">
        <v>36267</v>
      </c>
      <c r="E1937" t="s">
        <v>708</v>
      </c>
      <c r="F1937">
        <v>45.667999999999999</v>
      </c>
      <c r="G1937">
        <v>2016</v>
      </c>
      <c r="J1937">
        <f>26000+9000</f>
        <v>35000</v>
      </c>
      <c r="L1937">
        <f>45668-J1937</f>
        <v>10668</v>
      </c>
    </row>
    <row r="1938" spans="1:45" hidden="1" x14ac:dyDescent="0.25">
      <c r="A1938" t="s">
        <v>36</v>
      </c>
      <c r="B1938" t="s">
        <v>87</v>
      </c>
      <c r="C1938" t="s">
        <v>533</v>
      </c>
      <c r="D1938">
        <v>36270</v>
      </c>
      <c r="E1938" t="s">
        <v>707</v>
      </c>
      <c r="F1938">
        <v>39.578000000000003</v>
      </c>
      <c r="G1938">
        <v>2016</v>
      </c>
      <c r="J1938">
        <f>26250+8750</f>
        <v>35000</v>
      </c>
      <c r="L1938">
        <f>39578-J1938</f>
        <v>4578</v>
      </c>
    </row>
    <row r="1939" spans="1:45" hidden="1" x14ac:dyDescent="0.25">
      <c r="A1939" t="s">
        <v>36</v>
      </c>
      <c r="B1939" t="s">
        <v>87</v>
      </c>
      <c r="C1939" t="s">
        <v>536</v>
      </c>
      <c r="D1939">
        <v>49610</v>
      </c>
      <c r="E1939" t="s">
        <v>707</v>
      </c>
      <c r="F1939">
        <v>39.35</v>
      </c>
      <c r="G1939">
        <v>2016</v>
      </c>
      <c r="J1939">
        <f>27434+8820</f>
        <v>36254</v>
      </c>
      <c r="L1939">
        <f>39350-J1939</f>
        <v>3096</v>
      </c>
    </row>
    <row r="1940" spans="1:45" hidden="1" x14ac:dyDescent="0.25">
      <c r="A1940" t="s">
        <v>36</v>
      </c>
      <c r="B1940" t="s">
        <v>87</v>
      </c>
      <c r="C1940" t="s">
        <v>537</v>
      </c>
      <c r="D1940">
        <v>51595</v>
      </c>
      <c r="E1940" t="s">
        <v>707</v>
      </c>
      <c r="F1940">
        <v>37.557000000000002</v>
      </c>
      <c r="G1940">
        <v>2016</v>
      </c>
      <c r="J1940">
        <f>26000+9000</f>
        <v>35000</v>
      </c>
      <c r="L1940">
        <f>37557-J1940</f>
        <v>2557</v>
      </c>
    </row>
    <row r="1941" spans="1:45" hidden="1" x14ac:dyDescent="0.25">
      <c r="A1941" t="s">
        <v>36</v>
      </c>
      <c r="B1941" t="s">
        <v>87</v>
      </c>
      <c r="C1941" t="s">
        <v>538</v>
      </c>
      <c r="D1941">
        <v>53623</v>
      </c>
      <c r="E1941" t="s">
        <v>707</v>
      </c>
      <c r="F1941">
        <v>20.314</v>
      </c>
      <c r="G1941">
        <v>2016</v>
      </c>
      <c r="AB1941">
        <v>20314</v>
      </c>
    </row>
    <row r="1942" spans="1:45" hidden="1" x14ac:dyDescent="0.25">
      <c r="A1942" t="s">
        <v>36</v>
      </c>
      <c r="B1942" t="s">
        <v>87</v>
      </c>
      <c r="C1942" t="s">
        <v>530</v>
      </c>
      <c r="D1942">
        <v>36267</v>
      </c>
      <c r="E1942" t="s">
        <v>707</v>
      </c>
      <c r="F1942">
        <v>155.25</v>
      </c>
      <c r="G1942">
        <v>2017</v>
      </c>
      <c r="AS1942">
        <v>155250</v>
      </c>
    </row>
    <row r="1943" spans="1:45" hidden="1" x14ac:dyDescent="0.25">
      <c r="A1943" t="s">
        <v>36</v>
      </c>
      <c r="B1943" t="s">
        <v>87</v>
      </c>
      <c r="C1943" t="s">
        <v>533</v>
      </c>
      <c r="D1943">
        <v>36270</v>
      </c>
      <c r="E1943" t="s">
        <v>708</v>
      </c>
      <c r="F1943">
        <v>142.52000000000001</v>
      </c>
      <c r="G1943">
        <v>2017</v>
      </c>
      <c r="J1943">
        <f>8750+26250+100000</f>
        <v>135000</v>
      </c>
      <c r="L1943">
        <f>142520-J1943</f>
        <v>7520</v>
      </c>
    </row>
    <row r="1944" spans="1:45" hidden="1" x14ac:dyDescent="0.25">
      <c r="A1944" t="s">
        <v>36</v>
      </c>
      <c r="B1944" t="s">
        <v>87</v>
      </c>
      <c r="C1944" t="s">
        <v>536</v>
      </c>
      <c r="D1944">
        <v>49610</v>
      </c>
      <c r="E1944" t="s">
        <v>707</v>
      </c>
      <c r="F1944">
        <v>38.131</v>
      </c>
      <c r="G1944">
        <v>2017</v>
      </c>
      <c r="J1944">
        <f>8700+26000</f>
        <v>34700</v>
      </c>
      <c r="L1944">
        <f>38131-J1944</f>
        <v>3431</v>
      </c>
    </row>
    <row r="1945" spans="1:45" hidden="1" x14ac:dyDescent="0.25">
      <c r="A1945" t="s">
        <v>36</v>
      </c>
      <c r="B1945" t="s">
        <v>87</v>
      </c>
      <c r="C1945" t="s">
        <v>537</v>
      </c>
      <c r="D1945">
        <v>51595</v>
      </c>
      <c r="E1945" t="s">
        <v>707</v>
      </c>
      <c r="F1945">
        <v>38.572000000000003</v>
      </c>
      <c r="G1945">
        <v>2017</v>
      </c>
      <c r="J1945">
        <f>9000+26000</f>
        <v>35000</v>
      </c>
      <c r="L1945">
        <f>38572-J1945</f>
        <v>3572</v>
      </c>
    </row>
    <row r="1946" spans="1:45" hidden="1" x14ac:dyDescent="0.25">
      <c r="A1946" t="s">
        <v>36</v>
      </c>
      <c r="B1946" t="s">
        <v>87</v>
      </c>
      <c r="C1946" t="s">
        <v>538</v>
      </c>
      <c r="D1946">
        <v>53623</v>
      </c>
      <c r="E1946" t="s">
        <v>707</v>
      </c>
      <c r="F1946">
        <v>6.7670000000000003</v>
      </c>
      <c r="G1946">
        <v>2017</v>
      </c>
      <c r="J1946">
        <v>3198</v>
      </c>
      <c r="L1946">
        <f>6767-J1946</f>
        <v>3569</v>
      </c>
    </row>
    <row r="1947" spans="1:45" hidden="1" x14ac:dyDescent="0.25">
      <c r="A1947" t="s">
        <v>36</v>
      </c>
      <c r="B1947" t="s">
        <v>87</v>
      </c>
      <c r="C1947" t="s">
        <v>539</v>
      </c>
      <c r="D1947">
        <v>55618</v>
      </c>
      <c r="E1947" t="s">
        <v>707</v>
      </c>
      <c r="F1947">
        <v>36.927999999999997</v>
      </c>
      <c r="G1947">
        <v>2017</v>
      </c>
      <c r="J1947">
        <f>9000+26000</f>
        <v>35000</v>
      </c>
      <c r="L1947">
        <f>36928-J1947</f>
        <v>1928</v>
      </c>
    </row>
    <row r="1948" spans="1:45" hidden="1" x14ac:dyDescent="0.25">
      <c r="A1948" t="s">
        <v>36</v>
      </c>
      <c r="B1948" t="s">
        <v>87</v>
      </c>
      <c r="C1948" t="s">
        <v>533</v>
      </c>
      <c r="D1948">
        <v>36270</v>
      </c>
      <c r="E1948" t="s">
        <v>708</v>
      </c>
      <c r="F1948">
        <v>146.68600000000001</v>
      </c>
      <c r="G1948">
        <v>2018</v>
      </c>
      <c r="J1948">
        <f>27250+8958+100000</f>
        <v>136208</v>
      </c>
      <c r="L1948">
        <f>146686-J1948</f>
        <v>10478</v>
      </c>
    </row>
    <row r="1949" spans="1:45" hidden="1" x14ac:dyDescent="0.25">
      <c r="A1949" t="s">
        <v>36</v>
      </c>
      <c r="B1949" t="s">
        <v>87</v>
      </c>
      <c r="C1949" t="s">
        <v>536</v>
      </c>
      <c r="D1949">
        <v>49610</v>
      </c>
      <c r="E1949" t="s">
        <v>707</v>
      </c>
      <c r="F1949">
        <v>39.612000000000002</v>
      </c>
      <c r="G1949">
        <v>2018</v>
      </c>
      <c r="J1949">
        <f>27000+9000</f>
        <v>36000</v>
      </c>
      <c r="L1949">
        <f>39612-J1949</f>
        <v>3612</v>
      </c>
    </row>
    <row r="1950" spans="1:45" hidden="1" x14ac:dyDescent="0.25">
      <c r="A1950" t="s">
        <v>36</v>
      </c>
      <c r="B1950" t="s">
        <v>87</v>
      </c>
      <c r="C1950" t="s">
        <v>537</v>
      </c>
      <c r="D1950">
        <v>51595</v>
      </c>
      <c r="E1950" t="s">
        <v>707</v>
      </c>
      <c r="F1950">
        <v>39.612000000000002</v>
      </c>
      <c r="G1950">
        <v>2018</v>
      </c>
      <c r="J1950">
        <f>27000+9000</f>
        <v>36000</v>
      </c>
      <c r="L1950">
        <f>39612-J1950</f>
        <v>3612</v>
      </c>
    </row>
    <row r="1951" spans="1:45" hidden="1" x14ac:dyDescent="0.25">
      <c r="A1951" t="s">
        <v>36</v>
      </c>
      <c r="B1951" t="s">
        <v>87</v>
      </c>
      <c r="C1951" t="s">
        <v>538</v>
      </c>
      <c r="D1951">
        <v>53623</v>
      </c>
      <c r="E1951" t="s">
        <v>707</v>
      </c>
      <c r="F1951">
        <v>42.606999999999999</v>
      </c>
      <c r="G1951">
        <v>2018</v>
      </c>
      <c r="J1951">
        <f>8262+30734</f>
        <v>38996</v>
      </c>
      <c r="L1951">
        <f>42608-J1951</f>
        <v>3612</v>
      </c>
    </row>
    <row r="1952" spans="1:45" hidden="1" x14ac:dyDescent="0.25">
      <c r="A1952" t="s">
        <v>36</v>
      </c>
      <c r="B1952" t="s">
        <v>87</v>
      </c>
      <c r="C1952" t="s">
        <v>540</v>
      </c>
      <c r="D1952">
        <v>60507</v>
      </c>
      <c r="E1952" t="s">
        <v>707</v>
      </c>
      <c r="F1952">
        <v>6.4130000000000003</v>
      </c>
      <c r="G1952">
        <v>2018</v>
      </c>
      <c r="J1952">
        <f>2017</f>
        <v>2017</v>
      </c>
      <c r="L1952">
        <f>6413-J1952</f>
        <v>4396</v>
      </c>
    </row>
    <row r="1953" spans="1:52" s="4" customFormat="1" hidden="1" x14ac:dyDescent="0.25">
      <c r="A1953" s="4" t="s">
        <v>37</v>
      </c>
      <c r="B1953" s="4" t="s">
        <v>88</v>
      </c>
      <c r="C1953" s="4" t="s">
        <v>541</v>
      </c>
      <c r="D1953" s="4">
        <v>61137</v>
      </c>
      <c r="E1953" s="4" t="s">
        <v>707</v>
      </c>
      <c r="F1953" s="4">
        <v>29.678999999999998</v>
      </c>
      <c r="G1953" s="4">
        <v>2007</v>
      </c>
      <c r="J1953" s="4">
        <v>17222</v>
      </c>
      <c r="L1953" s="4" t="s">
        <v>769</v>
      </c>
      <c r="Q1953" s="4">
        <v>10579</v>
      </c>
      <c r="AE1953" s="4">
        <v>1878</v>
      </c>
      <c r="AM1953" s="4" t="s">
        <v>769</v>
      </c>
      <c r="AZ1953" s="8"/>
    </row>
    <row r="1954" spans="1:52" hidden="1" x14ac:dyDescent="0.25">
      <c r="A1954" t="s">
        <v>37</v>
      </c>
      <c r="B1954" t="s">
        <v>88</v>
      </c>
      <c r="C1954" t="s">
        <v>542</v>
      </c>
      <c r="D1954">
        <v>61138</v>
      </c>
      <c r="E1954" t="s">
        <v>707</v>
      </c>
      <c r="F1954">
        <v>48.503999999999998</v>
      </c>
      <c r="G1954">
        <v>2007</v>
      </c>
      <c r="J1954">
        <v>38156</v>
      </c>
      <c r="Q1954">
        <v>10348</v>
      </c>
    </row>
    <row r="1955" spans="1:52" hidden="1" x14ac:dyDescent="0.25">
      <c r="A1955" t="s">
        <v>37</v>
      </c>
      <c r="B1955" t="s">
        <v>88</v>
      </c>
      <c r="C1955" t="s">
        <v>543</v>
      </c>
      <c r="D1955">
        <v>61139</v>
      </c>
      <c r="E1955" t="s">
        <v>708</v>
      </c>
      <c r="F1955">
        <v>102.818</v>
      </c>
      <c r="G1955">
        <v>2007</v>
      </c>
      <c r="AE1955">
        <v>102818</v>
      </c>
    </row>
    <row r="1956" spans="1:52" hidden="1" x14ac:dyDescent="0.25">
      <c r="A1956" t="s">
        <v>37</v>
      </c>
      <c r="B1956" t="s">
        <v>88</v>
      </c>
      <c r="C1956" t="s">
        <v>544</v>
      </c>
      <c r="D1956">
        <v>61140</v>
      </c>
      <c r="E1956" t="s">
        <v>707</v>
      </c>
      <c r="F1956">
        <v>46.167999999999999</v>
      </c>
      <c r="G1956">
        <v>2007</v>
      </c>
      <c r="J1956">
        <v>44554</v>
      </c>
      <c r="Q1956">
        <v>1614</v>
      </c>
    </row>
    <row r="1957" spans="1:52" hidden="1" x14ac:dyDescent="0.25">
      <c r="A1957" t="s">
        <v>37</v>
      </c>
      <c r="B1957" t="s">
        <v>88</v>
      </c>
      <c r="C1957" t="s">
        <v>545</v>
      </c>
      <c r="D1957">
        <v>61142</v>
      </c>
      <c r="E1957" t="s">
        <v>707</v>
      </c>
      <c r="F1957">
        <v>47.600999999999999</v>
      </c>
      <c r="G1957">
        <v>2007</v>
      </c>
      <c r="J1957">
        <v>32882</v>
      </c>
      <c r="Q1957">
        <v>14719</v>
      </c>
    </row>
    <row r="1958" spans="1:52" hidden="1" x14ac:dyDescent="0.25">
      <c r="A1958" t="s">
        <v>37</v>
      </c>
      <c r="B1958" t="s">
        <v>88</v>
      </c>
      <c r="C1958" t="s">
        <v>541</v>
      </c>
      <c r="D1958">
        <v>61137</v>
      </c>
      <c r="E1958" t="s">
        <v>707</v>
      </c>
      <c r="F1958">
        <v>32.036999999999999</v>
      </c>
      <c r="G1958">
        <v>2008</v>
      </c>
      <c r="J1958">
        <v>18746</v>
      </c>
      <c r="L1958" t="s">
        <v>769</v>
      </c>
      <c r="Q1958">
        <v>11334</v>
      </c>
      <c r="AM1958" t="s">
        <v>769</v>
      </c>
    </row>
    <row r="1959" spans="1:52" hidden="1" x14ac:dyDescent="0.25">
      <c r="A1959" t="s">
        <v>37</v>
      </c>
      <c r="B1959" t="s">
        <v>88</v>
      </c>
      <c r="C1959" t="s">
        <v>542</v>
      </c>
      <c r="D1959">
        <v>61138</v>
      </c>
      <c r="E1959" t="s">
        <v>707</v>
      </c>
      <c r="F1959">
        <v>53.262999999999998</v>
      </c>
      <c r="G1959">
        <v>2008</v>
      </c>
      <c r="J1959">
        <v>42164</v>
      </c>
      <c r="Q1959">
        <v>11099</v>
      </c>
    </row>
    <row r="1960" spans="1:52" hidden="1" x14ac:dyDescent="0.25">
      <c r="A1960" t="s">
        <v>37</v>
      </c>
      <c r="B1960" t="s">
        <v>88</v>
      </c>
      <c r="C1960" t="s">
        <v>543</v>
      </c>
      <c r="D1960">
        <v>61139</v>
      </c>
      <c r="E1960" t="s">
        <v>708</v>
      </c>
      <c r="F1960">
        <v>110.288</v>
      </c>
      <c r="G1960">
        <v>2008</v>
      </c>
      <c r="AE1960">
        <v>110288</v>
      </c>
    </row>
    <row r="1961" spans="1:52" hidden="1" x14ac:dyDescent="0.25">
      <c r="A1961" t="s">
        <v>37</v>
      </c>
      <c r="B1961" t="s">
        <v>88</v>
      </c>
      <c r="C1961" t="s">
        <v>544</v>
      </c>
      <c r="D1961">
        <v>61140</v>
      </c>
      <c r="E1961" t="s">
        <v>707</v>
      </c>
      <c r="F1961">
        <v>31.128</v>
      </c>
      <c r="G1961">
        <v>2008</v>
      </c>
      <c r="J1961">
        <v>30684</v>
      </c>
      <c r="Q1961">
        <v>444</v>
      </c>
    </row>
    <row r="1962" spans="1:52" hidden="1" x14ac:dyDescent="0.25">
      <c r="A1962" t="s">
        <v>37</v>
      </c>
      <c r="B1962" t="s">
        <v>88</v>
      </c>
      <c r="C1962" t="s">
        <v>545</v>
      </c>
      <c r="D1962">
        <v>61142</v>
      </c>
      <c r="E1962" t="s">
        <v>707</v>
      </c>
      <c r="F1962">
        <v>51.997</v>
      </c>
      <c r="G1962">
        <v>2008</v>
      </c>
      <c r="J1962">
        <v>36208</v>
      </c>
      <c r="Q1962">
        <v>15789</v>
      </c>
    </row>
    <row r="1963" spans="1:52" hidden="1" x14ac:dyDescent="0.25">
      <c r="A1963" t="s">
        <v>37</v>
      </c>
      <c r="B1963" t="s">
        <v>88</v>
      </c>
      <c r="C1963" t="s">
        <v>541</v>
      </c>
      <c r="D1963">
        <v>61137</v>
      </c>
      <c r="E1963" t="s">
        <v>707</v>
      </c>
      <c r="F1963">
        <v>32.104999999999997</v>
      </c>
      <c r="G1963">
        <v>2009</v>
      </c>
      <c r="J1963">
        <v>18397</v>
      </c>
      <c r="L1963" t="s">
        <v>769</v>
      </c>
      <c r="Q1963">
        <v>11836</v>
      </c>
      <c r="AM1963" t="s">
        <v>769</v>
      </c>
    </row>
    <row r="1964" spans="1:52" hidden="1" x14ac:dyDescent="0.25">
      <c r="A1964" t="s">
        <v>37</v>
      </c>
      <c r="B1964" t="s">
        <v>88</v>
      </c>
      <c r="C1964" t="s">
        <v>542</v>
      </c>
      <c r="D1964">
        <v>61138</v>
      </c>
      <c r="E1964" t="s">
        <v>707</v>
      </c>
      <c r="F1964">
        <v>51.401000000000003</v>
      </c>
      <c r="G1964">
        <v>2009</v>
      </c>
      <c r="J1964">
        <v>40315</v>
      </c>
      <c r="Q1964">
        <v>11086</v>
      </c>
    </row>
    <row r="1965" spans="1:52" hidden="1" x14ac:dyDescent="0.25">
      <c r="A1965" t="s">
        <v>37</v>
      </c>
      <c r="B1965" t="s">
        <v>88</v>
      </c>
      <c r="C1965" t="s">
        <v>543</v>
      </c>
      <c r="D1965">
        <v>61139</v>
      </c>
      <c r="E1965" t="s">
        <v>708</v>
      </c>
      <c r="F1965">
        <v>104.505</v>
      </c>
      <c r="G1965">
        <v>2009</v>
      </c>
      <c r="AE1965">
        <v>104505</v>
      </c>
    </row>
    <row r="1966" spans="1:52" hidden="1" x14ac:dyDescent="0.25">
      <c r="A1966" t="s">
        <v>37</v>
      </c>
      <c r="B1966" t="s">
        <v>88</v>
      </c>
      <c r="C1966" t="s">
        <v>544</v>
      </c>
      <c r="D1966">
        <v>61140</v>
      </c>
      <c r="E1966" t="s">
        <v>707</v>
      </c>
      <c r="F1966">
        <v>29.335999999999999</v>
      </c>
      <c r="G1966">
        <v>2009</v>
      </c>
      <c r="J1966">
        <v>29159</v>
      </c>
      <c r="Q1966">
        <v>177</v>
      </c>
    </row>
    <row r="1967" spans="1:52" hidden="1" x14ac:dyDescent="0.25">
      <c r="A1967" t="s">
        <v>37</v>
      </c>
      <c r="B1967" t="s">
        <v>88</v>
      </c>
      <c r="C1967" t="s">
        <v>545</v>
      </c>
      <c r="D1967">
        <v>61142</v>
      </c>
      <c r="E1967" t="s">
        <v>707</v>
      </c>
      <c r="F1967">
        <v>49.649000000000001</v>
      </c>
      <c r="G1967">
        <v>2009</v>
      </c>
      <c r="J1967">
        <v>34688</v>
      </c>
      <c r="Q1967">
        <v>14961</v>
      </c>
    </row>
    <row r="1968" spans="1:52" hidden="1" x14ac:dyDescent="0.25">
      <c r="A1968" t="s">
        <v>37</v>
      </c>
      <c r="B1968" t="s">
        <v>88</v>
      </c>
      <c r="C1968" t="s">
        <v>541</v>
      </c>
      <c r="D1968">
        <v>61137</v>
      </c>
      <c r="E1968" t="s">
        <v>707</v>
      </c>
      <c r="F1968">
        <v>34.424999999999997</v>
      </c>
      <c r="G1968">
        <v>2010</v>
      </c>
      <c r="J1968">
        <v>21363</v>
      </c>
      <c r="L1968" t="s">
        <v>769</v>
      </c>
      <c r="Q1968">
        <v>10967</v>
      </c>
      <c r="AM1968" t="s">
        <v>769</v>
      </c>
    </row>
    <row r="1969" spans="1:51" hidden="1" x14ac:dyDescent="0.25">
      <c r="A1969" t="s">
        <v>37</v>
      </c>
      <c r="B1969" t="s">
        <v>88</v>
      </c>
      <c r="C1969" t="s">
        <v>542</v>
      </c>
      <c r="D1969">
        <v>61138</v>
      </c>
      <c r="E1969" t="s">
        <v>707</v>
      </c>
      <c r="F1969">
        <v>48.877000000000002</v>
      </c>
      <c r="G1969">
        <v>2010</v>
      </c>
      <c r="J1969">
        <v>38327</v>
      </c>
      <c r="Q1969">
        <v>10550</v>
      </c>
    </row>
    <row r="1970" spans="1:51" hidden="1" x14ac:dyDescent="0.25">
      <c r="A1970" t="s">
        <v>37</v>
      </c>
      <c r="B1970" t="s">
        <v>88</v>
      </c>
      <c r="C1970" t="s">
        <v>543</v>
      </c>
      <c r="D1970">
        <v>61139</v>
      </c>
      <c r="E1970" t="s">
        <v>708</v>
      </c>
      <c r="F1970">
        <v>99.456000000000003</v>
      </c>
      <c r="G1970">
        <v>2010</v>
      </c>
      <c r="AE1970">
        <v>99456</v>
      </c>
    </row>
    <row r="1971" spans="1:51" hidden="1" x14ac:dyDescent="0.25">
      <c r="A1971" t="s">
        <v>37</v>
      </c>
      <c r="B1971" t="s">
        <v>88</v>
      </c>
      <c r="C1971" t="s">
        <v>544</v>
      </c>
      <c r="D1971">
        <v>61140</v>
      </c>
      <c r="E1971" t="s">
        <v>707</v>
      </c>
      <c r="F1971">
        <v>48.222000000000001</v>
      </c>
      <c r="G1971">
        <v>2010</v>
      </c>
      <c r="J1971">
        <v>47693</v>
      </c>
      <c r="Q1971">
        <v>529</v>
      </c>
    </row>
    <row r="1972" spans="1:51" hidden="1" x14ac:dyDescent="0.25">
      <c r="A1972" t="s">
        <v>37</v>
      </c>
      <c r="B1972" t="s">
        <v>88</v>
      </c>
      <c r="C1972" t="s">
        <v>545</v>
      </c>
      <c r="D1972">
        <v>61142</v>
      </c>
      <c r="E1972" t="s">
        <v>707</v>
      </c>
      <c r="F1972">
        <v>48.093000000000004</v>
      </c>
      <c r="G1972">
        <v>2010</v>
      </c>
      <c r="J1972">
        <v>33855</v>
      </c>
      <c r="Q1972">
        <v>14238</v>
      </c>
    </row>
    <row r="1973" spans="1:51" hidden="1" x14ac:dyDescent="0.25">
      <c r="A1973" t="s">
        <v>37</v>
      </c>
      <c r="B1973" t="s">
        <v>88</v>
      </c>
      <c r="C1973" t="s">
        <v>541</v>
      </c>
      <c r="D1973">
        <v>61137</v>
      </c>
      <c r="E1973" t="s">
        <v>707</v>
      </c>
      <c r="F1973">
        <v>36.417999999999999</v>
      </c>
      <c r="G1973">
        <v>2011</v>
      </c>
      <c r="J1973">
        <v>22693</v>
      </c>
      <c r="L1973" t="s">
        <v>769</v>
      </c>
      <c r="Q1973">
        <v>11453</v>
      </c>
      <c r="AM1973" t="s">
        <v>769</v>
      </c>
    </row>
    <row r="1974" spans="1:51" hidden="1" x14ac:dyDescent="0.25">
      <c r="A1974" t="s">
        <v>37</v>
      </c>
      <c r="B1974" t="s">
        <v>88</v>
      </c>
      <c r="C1974" t="s">
        <v>542</v>
      </c>
      <c r="D1974">
        <v>61138</v>
      </c>
      <c r="E1974" t="s">
        <v>707</v>
      </c>
      <c r="F1974">
        <v>53.156999999999996</v>
      </c>
      <c r="G1974">
        <v>2011</v>
      </c>
      <c r="J1974">
        <v>41870</v>
      </c>
      <c r="Q1974">
        <v>11287</v>
      </c>
    </row>
    <row r="1975" spans="1:51" hidden="1" x14ac:dyDescent="0.25">
      <c r="A1975" t="s">
        <v>37</v>
      </c>
      <c r="B1975" t="s">
        <v>88</v>
      </c>
      <c r="C1975" t="s">
        <v>543</v>
      </c>
      <c r="D1975">
        <v>61139</v>
      </c>
      <c r="E1975" t="s">
        <v>708</v>
      </c>
      <c r="F1975">
        <v>104.393</v>
      </c>
      <c r="G1975">
        <v>2011</v>
      </c>
      <c r="AY1975">
        <v>104393</v>
      </c>
    </row>
    <row r="1976" spans="1:51" hidden="1" x14ac:dyDescent="0.25">
      <c r="A1976" t="s">
        <v>37</v>
      </c>
      <c r="B1976" t="s">
        <v>88</v>
      </c>
      <c r="C1976" t="s">
        <v>544</v>
      </c>
      <c r="D1976">
        <v>61140</v>
      </c>
      <c r="E1976" t="s">
        <v>707</v>
      </c>
      <c r="F1976">
        <v>53.353000000000002</v>
      </c>
      <c r="G1976">
        <v>2011</v>
      </c>
      <c r="J1976">
        <v>53185</v>
      </c>
      <c r="Q1976">
        <v>168</v>
      </c>
    </row>
    <row r="1977" spans="1:51" hidden="1" x14ac:dyDescent="0.25">
      <c r="A1977" t="s">
        <v>37</v>
      </c>
      <c r="B1977" t="s">
        <v>88</v>
      </c>
      <c r="C1977" t="s">
        <v>545</v>
      </c>
      <c r="D1977">
        <v>61142</v>
      </c>
      <c r="E1977" t="s">
        <v>707</v>
      </c>
      <c r="F1977">
        <v>52.540999999999997</v>
      </c>
      <c r="G1977">
        <v>2011</v>
      </c>
      <c r="J1977">
        <v>37596</v>
      </c>
      <c r="Q1977">
        <v>14945</v>
      </c>
    </row>
    <row r="1978" spans="1:51" hidden="1" x14ac:dyDescent="0.25">
      <c r="A1978" t="s">
        <v>37</v>
      </c>
      <c r="B1978" t="s">
        <v>88</v>
      </c>
      <c r="C1978" t="s">
        <v>541</v>
      </c>
      <c r="D1978">
        <v>61137</v>
      </c>
      <c r="E1978" t="s">
        <v>707</v>
      </c>
      <c r="F1978">
        <v>37.463999999999999</v>
      </c>
      <c r="G1978">
        <v>2012</v>
      </c>
      <c r="J1978">
        <v>22984</v>
      </c>
      <c r="L1978" t="s">
        <v>769</v>
      </c>
      <c r="Q1978">
        <v>11397</v>
      </c>
      <c r="AM1978" t="s">
        <v>769</v>
      </c>
    </row>
    <row r="1979" spans="1:51" hidden="1" x14ac:dyDescent="0.25">
      <c r="A1979" t="s">
        <v>37</v>
      </c>
      <c r="B1979" t="s">
        <v>88</v>
      </c>
      <c r="C1979" t="s">
        <v>542</v>
      </c>
      <c r="D1979">
        <v>61138</v>
      </c>
      <c r="E1979" t="s">
        <v>707</v>
      </c>
      <c r="F1979">
        <v>50.286999999999999</v>
      </c>
      <c r="G1979">
        <v>2012</v>
      </c>
      <c r="J1979">
        <v>39859</v>
      </c>
      <c r="Q1979">
        <v>10428</v>
      </c>
    </row>
    <row r="1980" spans="1:51" hidden="1" x14ac:dyDescent="0.25">
      <c r="A1980" t="s">
        <v>37</v>
      </c>
      <c r="B1980" t="s">
        <v>88</v>
      </c>
      <c r="C1980" t="s">
        <v>543</v>
      </c>
      <c r="D1980">
        <v>61139</v>
      </c>
      <c r="E1980" t="s">
        <v>708</v>
      </c>
      <c r="F1980">
        <v>96.45</v>
      </c>
      <c r="G1980">
        <v>2012</v>
      </c>
      <c r="AE1980">
        <v>96450</v>
      </c>
    </row>
    <row r="1981" spans="1:51" hidden="1" x14ac:dyDescent="0.25">
      <c r="A1981" t="s">
        <v>37</v>
      </c>
      <c r="B1981" t="s">
        <v>88</v>
      </c>
      <c r="C1981" t="s">
        <v>544</v>
      </c>
      <c r="D1981">
        <v>61140</v>
      </c>
      <c r="E1981" t="s">
        <v>707</v>
      </c>
      <c r="F1981">
        <v>36.274999999999999</v>
      </c>
      <c r="G1981">
        <v>2012</v>
      </c>
      <c r="J1981">
        <v>36027</v>
      </c>
      <c r="Q1981">
        <v>248</v>
      </c>
    </row>
    <row r="1982" spans="1:51" hidden="1" x14ac:dyDescent="0.25">
      <c r="A1982" t="s">
        <v>37</v>
      </c>
      <c r="B1982" t="s">
        <v>88</v>
      </c>
      <c r="C1982" t="s">
        <v>545</v>
      </c>
      <c r="D1982">
        <v>61142</v>
      </c>
      <c r="E1982" t="s">
        <v>707</v>
      </c>
      <c r="F1982">
        <v>50.073</v>
      </c>
      <c r="G1982">
        <v>2012</v>
      </c>
      <c r="J1982">
        <v>36265</v>
      </c>
      <c r="Q1982">
        <v>13807</v>
      </c>
    </row>
    <row r="1983" spans="1:51" hidden="1" x14ac:dyDescent="0.25">
      <c r="A1983" t="s">
        <v>37</v>
      </c>
      <c r="B1983" t="s">
        <v>88</v>
      </c>
      <c r="C1983" t="s">
        <v>541</v>
      </c>
      <c r="D1983">
        <v>61137</v>
      </c>
      <c r="E1983" t="s">
        <v>707</v>
      </c>
      <c r="F1983">
        <v>36.344000000000001</v>
      </c>
      <c r="G1983">
        <v>2013</v>
      </c>
      <c r="J1983">
        <v>23126</v>
      </c>
      <c r="L1983" t="s">
        <v>769</v>
      </c>
      <c r="Q1983">
        <v>10729</v>
      </c>
      <c r="AM1983" t="s">
        <v>769</v>
      </c>
    </row>
    <row r="1984" spans="1:51" hidden="1" x14ac:dyDescent="0.25">
      <c r="A1984" t="s">
        <v>37</v>
      </c>
      <c r="B1984" t="s">
        <v>88</v>
      </c>
      <c r="C1984" t="s">
        <v>542</v>
      </c>
      <c r="D1984">
        <v>61138</v>
      </c>
      <c r="E1984" t="s">
        <v>707</v>
      </c>
      <c r="F1984">
        <v>53.735999999999997</v>
      </c>
      <c r="G1984">
        <v>2013</v>
      </c>
      <c r="J1984">
        <v>42361</v>
      </c>
      <c r="Q1984">
        <v>11375</v>
      </c>
    </row>
    <row r="1985" spans="1:39" hidden="1" x14ac:dyDescent="0.25">
      <c r="A1985" t="s">
        <v>37</v>
      </c>
      <c r="B1985" t="s">
        <v>88</v>
      </c>
      <c r="C1985" t="s">
        <v>543</v>
      </c>
      <c r="D1985">
        <v>61139</v>
      </c>
      <c r="E1985" t="s">
        <v>708</v>
      </c>
      <c r="F1985">
        <v>99.575000000000003</v>
      </c>
      <c r="G1985">
        <v>2013</v>
      </c>
      <c r="AE1985">
        <v>99575</v>
      </c>
    </row>
    <row r="1986" spans="1:39" hidden="1" x14ac:dyDescent="0.25">
      <c r="A1986" t="s">
        <v>37</v>
      </c>
      <c r="B1986" t="s">
        <v>88</v>
      </c>
      <c r="C1986" t="s">
        <v>544</v>
      </c>
      <c r="D1986">
        <v>61140</v>
      </c>
      <c r="E1986" t="s">
        <v>707</v>
      </c>
      <c r="F1986">
        <v>41.094000000000001</v>
      </c>
      <c r="G1986">
        <v>2013</v>
      </c>
      <c r="J1986">
        <v>40790</v>
      </c>
      <c r="Q1986">
        <v>304</v>
      </c>
    </row>
    <row r="1987" spans="1:39" hidden="1" x14ac:dyDescent="0.25">
      <c r="A1987" t="s">
        <v>37</v>
      </c>
      <c r="B1987" t="s">
        <v>88</v>
      </c>
      <c r="C1987" t="s">
        <v>546</v>
      </c>
      <c r="D1987">
        <v>61141</v>
      </c>
      <c r="E1987" t="s">
        <v>707</v>
      </c>
      <c r="F1987">
        <v>9.6219999999999999</v>
      </c>
      <c r="G1987">
        <v>2013</v>
      </c>
      <c r="J1987">
        <v>6781</v>
      </c>
      <c r="Q1987">
        <v>2841</v>
      </c>
    </row>
    <row r="1988" spans="1:39" hidden="1" x14ac:dyDescent="0.25">
      <c r="A1988" t="s">
        <v>37</v>
      </c>
      <c r="B1988" t="s">
        <v>88</v>
      </c>
      <c r="C1988" t="s">
        <v>545</v>
      </c>
      <c r="D1988">
        <v>61142</v>
      </c>
      <c r="E1988" t="s">
        <v>707</v>
      </c>
      <c r="F1988">
        <v>52.311999999999998</v>
      </c>
      <c r="G1988">
        <v>2013</v>
      </c>
      <c r="J1988">
        <v>38057</v>
      </c>
      <c r="Q1988">
        <v>14255</v>
      </c>
    </row>
    <row r="1989" spans="1:39" hidden="1" x14ac:dyDescent="0.25">
      <c r="A1989" t="s">
        <v>37</v>
      </c>
      <c r="B1989" t="s">
        <v>88</v>
      </c>
      <c r="C1989" t="s">
        <v>547</v>
      </c>
      <c r="D1989">
        <v>61136</v>
      </c>
      <c r="E1989" t="s">
        <v>707</v>
      </c>
      <c r="F1989">
        <v>33.231000000000002</v>
      </c>
      <c r="G1989">
        <v>2014</v>
      </c>
      <c r="J1989">
        <v>33231</v>
      </c>
    </row>
    <row r="1990" spans="1:39" hidden="1" x14ac:dyDescent="0.25">
      <c r="A1990" t="s">
        <v>37</v>
      </c>
      <c r="B1990" t="s">
        <v>88</v>
      </c>
      <c r="C1990" t="s">
        <v>541</v>
      </c>
      <c r="D1990">
        <v>61137</v>
      </c>
      <c r="E1990" t="s">
        <v>707</v>
      </c>
      <c r="F1990">
        <v>34.542999999999999</v>
      </c>
      <c r="G1990">
        <v>2014</v>
      </c>
      <c r="J1990">
        <v>21988</v>
      </c>
      <c r="L1990" t="s">
        <v>769</v>
      </c>
      <c r="Q1990">
        <v>10178</v>
      </c>
      <c r="AM1990" t="s">
        <v>769</v>
      </c>
    </row>
    <row r="1991" spans="1:39" hidden="1" x14ac:dyDescent="0.25">
      <c r="A1991" t="s">
        <v>37</v>
      </c>
      <c r="B1991" t="s">
        <v>88</v>
      </c>
      <c r="C1991" t="s">
        <v>542</v>
      </c>
      <c r="D1991">
        <v>61138</v>
      </c>
      <c r="E1991" t="s">
        <v>707</v>
      </c>
      <c r="F1991">
        <v>52.643999999999998</v>
      </c>
      <c r="G1991">
        <v>2014</v>
      </c>
      <c r="J1991">
        <v>41250</v>
      </c>
      <c r="Q1991">
        <v>11394</v>
      </c>
    </row>
    <row r="1992" spans="1:39" hidden="1" x14ac:dyDescent="0.25">
      <c r="A1992" t="s">
        <v>37</v>
      </c>
      <c r="B1992" t="s">
        <v>88</v>
      </c>
      <c r="C1992" t="s">
        <v>543</v>
      </c>
      <c r="D1992">
        <v>61139</v>
      </c>
      <c r="E1992" t="s">
        <v>708</v>
      </c>
      <c r="F1992">
        <v>99.733999999999995</v>
      </c>
      <c r="G1992">
        <v>2014</v>
      </c>
      <c r="AE1992">
        <v>99734</v>
      </c>
    </row>
    <row r="1993" spans="1:39" hidden="1" x14ac:dyDescent="0.25">
      <c r="A1993" t="s">
        <v>37</v>
      </c>
      <c r="B1993" t="s">
        <v>88</v>
      </c>
      <c r="C1993" t="s">
        <v>544</v>
      </c>
      <c r="D1993">
        <v>61140</v>
      </c>
      <c r="E1993" t="s">
        <v>707</v>
      </c>
      <c r="F1993">
        <v>10.289</v>
      </c>
      <c r="G1993">
        <v>2014</v>
      </c>
      <c r="J1993">
        <v>33231</v>
      </c>
      <c r="Q1993">
        <v>114</v>
      </c>
    </row>
    <row r="1994" spans="1:39" hidden="1" x14ac:dyDescent="0.25">
      <c r="A1994" t="s">
        <v>37</v>
      </c>
      <c r="B1994" t="s">
        <v>88</v>
      </c>
      <c r="C1994" t="s">
        <v>546</v>
      </c>
      <c r="D1994">
        <v>61141</v>
      </c>
      <c r="E1994" t="s">
        <v>707</v>
      </c>
      <c r="F1994">
        <v>37.316000000000003</v>
      </c>
      <c r="G1994">
        <v>2014</v>
      </c>
      <c r="J1994">
        <v>21988</v>
      </c>
      <c r="L1994" t="s">
        <v>769</v>
      </c>
      <c r="Q1994">
        <v>12906</v>
      </c>
      <c r="AM1994" t="s">
        <v>769</v>
      </c>
    </row>
    <row r="1995" spans="1:39" hidden="1" x14ac:dyDescent="0.25">
      <c r="A1995" t="s">
        <v>37</v>
      </c>
      <c r="B1995" t="s">
        <v>88</v>
      </c>
      <c r="C1995" t="s">
        <v>545</v>
      </c>
      <c r="D1995">
        <v>61142</v>
      </c>
      <c r="E1995" t="s">
        <v>707</v>
      </c>
      <c r="F1995">
        <v>56.459000000000003</v>
      </c>
      <c r="G1995">
        <v>2014</v>
      </c>
      <c r="J1995">
        <v>42181</v>
      </c>
      <c r="Q1995">
        <v>14278</v>
      </c>
    </row>
    <row r="1996" spans="1:39" hidden="1" x14ac:dyDescent="0.25">
      <c r="A1996" t="s">
        <v>37</v>
      </c>
      <c r="B1996" t="s">
        <v>88</v>
      </c>
      <c r="C1996" t="s">
        <v>541</v>
      </c>
      <c r="D1996">
        <v>61137</v>
      </c>
      <c r="E1996" t="s">
        <v>707</v>
      </c>
      <c r="F1996">
        <v>31.544</v>
      </c>
      <c r="G1996">
        <v>2015</v>
      </c>
      <c r="J1996">
        <v>19521</v>
      </c>
      <c r="L1996" t="s">
        <v>769</v>
      </c>
      <c r="Q1996">
        <v>9616</v>
      </c>
      <c r="AM1996" t="s">
        <v>769</v>
      </c>
    </row>
    <row r="1997" spans="1:39" hidden="1" x14ac:dyDescent="0.25">
      <c r="A1997" t="s">
        <v>37</v>
      </c>
      <c r="B1997" t="s">
        <v>88</v>
      </c>
      <c r="C1997" t="s">
        <v>542</v>
      </c>
      <c r="D1997">
        <v>61138</v>
      </c>
      <c r="E1997" t="s">
        <v>707</v>
      </c>
      <c r="F1997">
        <v>45.308999999999997</v>
      </c>
      <c r="G1997">
        <v>2015</v>
      </c>
      <c r="J1997">
        <v>34603</v>
      </c>
      <c r="Q1997">
        <v>10706</v>
      </c>
    </row>
    <row r="1998" spans="1:39" hidden="1" x14ac:dyDescent="0.25">
      <c r="A1998" t="s">
        <v>37</v>
      </c>
      <c r="B1998" t="s">
        <v>88</v>
      </c>
      <c r="C1998" t="s">
        <v>543</v>
      </c>
      <c r="D1998">
        <v>61139</v>
      </c>
      <c r="E1998" t="s">
        <v>708</v>
      </c>
      <c r="F1998">
        <v>83.221999999999994</v>
      </c>
      <c r="G1998">
        <v>2015</v>
      </c>
      <c r="AE1998">
        <v>83222</v>
      </c>
    </row>
    <row r="1999" spans="1:39" hidden="1" x14ac:dyDescent="0.25">
      <c r="A1999" t="s">
        <v>37</v>
      </c>
      <c r="B1999" t="s">
        <v>88</v>
      </c>
      <c r="C1999" t="s">
        <v>546</v>
      </c>
      <c r="D1999">
        <v>61141</v>
      </c>
      <c r="E1999" t="s">
        <v>707</v>
      </c>
      <c r="F1999">
        <v>31.649000000000001</v>
      </c>
      <c r="G1999">
        <v>2015</v>
      </c>
      <c r="J1999">
        <v>19521</v>
      </c>
      <c r="L1999" t="s">
        <v>769</v>
      </c>
      <c r="Q1999">
        <v>10889</v>
      </c>
      <c r="AM1999" t="s">
        <v>769</v>
      </c>
    </row>
    <row r="2000" spans="1:39" hidden="1" x14ac:dyDescent="0.25">
      <c r="A2000" t="s">
        <v>37</v>
      </c>
      <c r="B2000" t="s">
        <v>88</v>
      </c>
      <c r="C2000" t="s">
        <v>545</v>
      </c>
      <c r="D2000">
        <v>61142</v>
      </c>
      <c r="E2000" t="s">
        <v>707</v>
      </c>
      <c r="F2000">
        <v>47.293999999999997</v>
      </c>
      <c r="G2000">
        <v>2015</v>
      </c>
      <c r="J2000">
        <v>35380</v>
      </c>
      <c r="Q2000">
        <v>11914</v>
      </c>
    </row>
    <row r="2001" spans="1:39" hidden="1" x14ac:dyDescent="0.25">
      <c r="A2001" t="s">
        <v>37</v>
      </c>
      <c r="B2001" t="s">
        <v>88</v>
      </c>
      <c r="C2001" t="s">
        <v>541</v>
      </c>
      <c r="D2001">
        <v>61137</v>
      </c>
      <c r="E2001" t="s">
        <v>708</v>
      </c>
      <c r="F2001">
        <v>30.193000000000001</v>
      </c>
      <c r="G2001">
        <v>2016</v>
      </c>
      <c r="J2001">
        <v>19175</v>
      </c>
      <c r="L2001" t="s">
        <v>769</v>
      </c>
      <c r="Q2001">
        <v>8707</v>
      </c>
      <c r="AM2001" t="s">
        <v>769</v>
      </c>
    </row>
    <row r="2002" spans="1:39" hidden="1" x14ac:dyDescent="0.25">
      <c r="A2002" t="s">
        <v>37</v>
      </c>
      <c r="B2002" t="s">
        <v>88</v>
      </c>
      <c r="C2002" t="s">
        <v>542</v>
      </c>
      <c r="D2002">
        <v>61138</v>
      </c>
      <c r="E2002" t="s">
        <v>707</v>
      </c>
      <c r="F2002">
        <v>45.457000000000001</v>
      </c>
      <c r="G2002">
        <v>2016</v>
      </c>
      <c r="J2002">
        <v>34775</v>
      </c>
      <c r="Q2002">
        <v>10682</v>
      </c>
    </row>
    <row r="2003" spans="1:39" hidden="1" x14ac:dyDescent="0.25">
      <c r="A2003" t="s">
        <v>37</v>
      </c>
      <c r="B2003" t="s">
        <v>88</v>
      </c>
      <c r="C2003" t="s">
        <v>543</v>
      </c>
      <c r="D2003">
        <v>61139</v>
      </c>
      <c r="E2003" t="s">
        <v>707</v>
      </c>
      <c r="F2003">
        <v>83.037999999999997</v>
      </c>
      <c r="G2003">
        <v>2016</v>
      </c>
      <c r="AE2003">
        <v>83038</v>
      </c>
    </row>
    <row r="2004" spans="1:39" hidden="1" x14ac:dyDescent="0.25">
      <c r="A2004" t="s">
        <v>37</v>
      </c>
      <c r="B2004" t="s">
        <v>88</v>
      </c>
      <c r="C2004" t="s">
        <v>546</v>
      </c>
      <c r="D2004">
        <v>61141</v>
      </c>
      <c r="E2004" t="s">
        <v>707</v>
      </c>
      <c r="F2004">
        <v>30.721</v>
      </c>
      <c r="G2004">
        <v>2016</v>
      </c>
      <c r="J2004">
        <v>19175</v>
      </c>
      <c r="L2004" t="s">
        <v>769</v>
      </c>
      <c r="Q2004">
        <v>10350</v>
      </c>
      <c r="AM2004" t="s">
        <v>769</v>
      </c>
    </row>
    <row r="2005" spans="1:39" hidden="1" x14ac:dyDescent="0.25">
      <c r="A2005" t="s">
        <v>37</v>
      </c>
      <c r="B2005" t="s">
        <v>88</v>
      </c>
      <c r="C2005" t="s">
        <v>545</v>
      </c>
      <c r="D2005">
        <v>61142</v>
      </c>
      <c r="E2005" t="s">
        <v>707</v>
      </c>
      <c r="F2005">
        <v>47.438000000000002</v>
      </c>
      <c r="G2005">
        <v>2016</v>
      </c>
      <c r="J2005">
        <v>35550</v>
      </c>
      <c r="Q2005">
        <v>11888</v>
      </c>
    </row>
    <row r="2006" spans="1:39" hidden="1" x14ac:dyDescent="0.25">
      <c r="A2006" t="s">
        <v>37</v>
      </c>
      <c r="B2006" t="s">
        <v>88</v>
      </c>
      <c r="C2006" t="s">
        <v>541</v>
      </c>
      <c r="D2006">
        <v>61137</v>
      </c>
      <c r="E2006" t="s">
        <v>708</v>
      </c>
      <c r="F2006">
        <v>29.797000000000001</v>
      </c>
      <c r="G2006">
        <v>2017</v>
      </c>
      <c r="J2006">
        <v>20054</v>
      </c>
      <c r="L2006" t="s">
        <v>769</v>
      </c>
      <c r="Q2006">
        <v>7435</v>
      </c>
      <c r="AM2006" t="s">
        <v>769</v>
      </c>
    </row>
    <row r="2007" spans="1:39" hidden="1" x14ac:dyDescent="0.25">
      <c r="A2007" t="s">
        <v>37</v>
      </c>
      <c r="B2007" t="s">
        <v>88</v>
      </c>
      <c r="C2007" t="s">
        <v>542</v>
      </c>
      <c r="D2007">
        <v>61138</v>
      </c>
      <c r="E2007" t="s">
        <v>707</v>
      </c>
      <c r="F2007">
        <v>46.777999999999999</v>
      </c>
      <c r="G2007">
        <v>2017</v>
      </c>
      <c r="J2007">
        <v>35875</v>
      </c>
      <c r="Q2007">
        <v>10903</v>
      </c>
    </row>
    <row r="2008" spans="1:39" hidden="1" x14ac:dyDescent="0.25">
      <c r="A2008" t="s">
        <v>37</v>
      </c>
      <c r="B2008" t="s">
        <v>88</v>
      </c>
      <c r="C2008" t="s">
        <v>543</v>
      </c>
      <c r="D2008">
        <v>61139</v>
      </c>
      <c r="E2008" t="s">
        <v>707</v>
      </c>
      <c r="F2008">
        <v>84.754999999999995</v>
      </c>
      <c r="G2008">
        <v>2017</v>
      </c>
      <c r="AE2008">
        <v>84755</v>
      </c>
    </row>
    <row r="2009" spans="1:39" hidden="1" x14ac:dyDescent="0.25">
      <c r="A2009" t="s">
        <v>37</v>
      </c>
      <c r="B2009" t="s">
        <v>88</v>
      </c>
      <c r="C2009" t="s">
        <v>546</v>
      </c>
      <c r="D2009">
        <v>61141</v>
      </c>
      <c r="E2009" t="s">
        <v>707</v>
      </c>
      <c r="F2009">
        <v>32.456000000000003</v>
      </c>
      <c r="G2009">
        <v>2017</v>
      </c>
      <c r="J2009">
        <v>20054</v>
      </c>
      <c r="L2009" t="s">
        <v>769</v>
      </c>
      <c r="Q2009">
        <v>11228</v>
      </c>
      <c r="AM2009" t="s">
        <v>769</v>
      </c>
    </row>
    <row r="2010" spans="1:39" hidden="1" x14ac:dyDescent="0.25">
      <c r="A2010" t="s">
        <v>37</v>
      </c>
      <c r="B2010" t="s">
        <v>88</v>
      </c>
      <c r="C2010" t="s">
        <v>545</v>
      </c>
      <c r="D2010">
        <v>61142</v>
      </c>
      <c r="E2010" t="s">
        <v>707</v>
      </c>
      <c r="F2010">
        <v>50.804000000000002</v>
      </c>
      <c r="G2010">
        <v>2017</v>
      </c>
      <c r="J2010">
        <v>36666</v>
      </c>
      <c r="Q2010">
        <v>14138</v>
      </c>
    </row>
    <row r="2011" spans="1:39" hidden="1" x14ac:dyDescent="0.25">
      <c r="A2011" t="s">
        <v>37</v>
      </c>
      <c r="B2011" t="s">
        <v>88</v>
      </c>
      <c r="C2011" t="s">
        <v>541</v>
      </c>
      <c r="D2011">
        <v>61137</v>
      </c>
      <c r="E2011" t="s">
        <v>708</v>
      </c>
      <c r="F2011">
        <v>32.56</v>
      </c>
      <c r="G2011">
        <v>2018</v>
      </c>
      <c r="J2011">
        <v>20255</v>
      </c>
      <c r="L2011" t="s">
        <v>769</v>
      </c>
      <c r="Q2011">
        <v>7963</v>
      </c>
      <c r="AM2011" t="s">
        <v>769</v>
      </c>
    </row>
    <row r="2012" spans="1:39" hidden="1" x14ac:dyDescent="0.25">
      <c r="A2012" t="s">
        <v>37</v>
      </c>
      <c r="B2012" t="s">
        <v>88</v>
      </c>
      <c r="C2012" t="s">
        <v>542</v>
      </c>
      <c r="D2012">
        <v>61138</v>
      </c>
      <c r="E2012" t="s">
        <v>707</v>
      </c>
      <c r="F2012">
        <v>49.707000000000001</v>
      </c>
      <c r="G2012">
        <v>2018</v>
      </c>
      <c r="J2012">
        <v>37607</v>
      </c>
      <c r="Q2012">
        <v>12100</v>
      </c>
    </row>
    <row r="2013" spans="1:39" hidden="1" x14ac:dyDescent="0.25">
      <c r="A2013" t="s">
        <v>37</v>
      </c>
      <c r="B2013" t="s">
        <v>88</v>
      </c>
      <c r="C2013" t="s">
        <v>543</v>
      </c>
      <c r="D2013">
        <v>61139</v>
      </c>
      <c r="E2013" t="s">
        <v>707</v>
      </c>
      <c r="F2013">
        <v>88.632000000000005</v>
      </c>
      <c r="G2013">
        <v>2018</v>
      </c>
      <c r="AE2013">
        <v>88632</v>
      </c>
    </row>
    <row r="2014" spans="1:39" hidden="1" x14ac:dyDescent="0.25">
      <c r="A2014" t="s">
        <v>37</v>
      </c>
      <c r="B2014" t="s">
        <v>88</v>
      </c>
      <c r="C2014" t="s">
        <v>546</v>
      </c>
      <c r="D2014">
        <v>61141</v>
      </c>
      <c r="E2014" t="s">
        <v>707</v>
      </c>
      <c r="F2014">
        <v>33.994999999999997</v>
      </c>
      <c r="G2014">
        <v>2018</v>
      </c>
      <c r="J2014">
        <v>20255</v>
      </c>
      <c r="L2014" t="s">
        <v>769</v>
      </c>
      <c r="Q2014">
        <v>11059</v>
      </c>
      <c r="AM2014" t="s">
        <v>769</v>
      </c>
    </row>
    <row r="2015" spans="1:39" hidden="1" x14ac:dyDescent="0.25">
      <c r="A2015" t="s">
        <v>37</v>
      </c>
      <c r="B2015" t="s">
        <v>88</v>
      </c>
      <c r="C2015" t="s">
        <v>548</v>
      </c>
      <c r="D2015">
        <v>62078</v>
      </c>
      <c r="E2015" t="s">
        <v>707</v>
      </c>
      <c r="F2015">
        <v>64.727999999999994</v>
      </c>
      <c r="G2015">
        <v>2018</v>
      </c>
      <c r="J2015">
        <v>39734</v>
      </c>
      <c r="Q2015">
        <v>12940</v>
      </c>
      <c r="AD2015">
        <v>12054</v>
      </c>
    </row>
    <row r="2016" spans="1:39" x14ac:dyDescent="0.25">
      <c r="A2016" t="s">
        <v>38</v>
      </c>
      <c r="B2016" t="s">
        <v>89</v>
      </c>
      <c r="C2016" t="s">
        <v>549</v>
      </c>
      <c r="D2016">
        <v>9283</v>
      </c>
      <c r="E2016" t="s">
        <v>707</v>
      </c>
      <c r="F2016">
        <v>2331.2919999999999</v>
      </c>
      <c r="G2016">
        <v>2006</v>
      </c>
    </row>
    <row r="2017" spans="1:7" x14ac:dyDescent="0.25">
      <c r="A2017" t="s">
        <v>38</v>
      </c>
      <c r="B2017" t="s">
        <v>89</v>
      </c>
      <c r="C2017" t="s">
        <v>550</v>
      </c>
      <c r="D2017">
        <v>9286</v>
      </c>
      <c r="E2017" t="s">
        <v>708</v>
      </c>
      <c r="F2017">
        <v>1717.5830000000001</v>
      </c>
      <c r="G2017">
        <v>2006</v>
      </c>
    </row>
    <row r="2018" spans="1:7" x14ac:dyDescent="0.25">
      <c r="A2018" t="s">
        <v>38</v>
      </c>
      <c r="B2018" t="s">
        <v>89</v>
      </c>
      <c r="C2018" t="s">
        <v>551</v>
      </c>
      <c r="D2018">
        <v>12123</v>
      </c>
      <c r="E2018" t="s">
        <v>707</v>
      </c>
      <c r="F2018">
        <v>1248.5340000000001</v>
      </c>
      <c r="G2018">
        <v>2006</v>
      </c>
    </row>
    <row r="2019" spans="1:7" x14ac:dyDescent="0.25">
      <c r="A2019" t="s">
        <v>38</v>
      </c>
      <c r="B2019" t="s">
        <v>89</v>
      </c>
      <c r="C2019" t="s">
        <v>552</v>
      </c>
      <c r="D2019">
        <v>26841</v>
      </c>
      <c r="E2019" t="s">
        <v>707</v>
      </c>
      <c r="F2019">
        <v>633.35900000000004</v>
      </c>
      <c r="G2019">
        <v>2006</v>
      </c>
    </row>
    <row r="2020" spans="1:7" x14ac:dyDescent="0.25">
      <c r="A2020" t="s">
        <v>38</v>
      </c>
      <c r="B2020" t="s">
        <v>89</v>
      </c>
      <c r="C2020" t="s">
        <v>553</v>
      </c>
      <c r="D2020">
        <v>26842</v>
      </c>
      <c r="E2020" t="s">
        <v>707</v>
      </c>
      <c r="F2020">
        <v>189.137</v>
      </c>
      <c r="G2020">
        <v>2006</v>
      </c>
    </row>
    <row r="2021" spans="1:7" x14ac:dyDescent="0.25">
      <c r="A2021" t="s">
        <v>38</v>
      </c>
      <c r="B2021" t="s">
        <v>89</v>
      </c>
      <c r="C2021" t="s">
        <v>554</v>
      </c>
      <c r="D2021">
        <v>32528</v>
      </c>
      <c r="E2021" t="s">
        <v>707</v>
      </c>
      <c r="F2021">
        <v>120.596</v>
      </c>
      <c r="G2021">
        <v>2006</v>
      </c>
    </row>
    <row r="2022" spans="1:7" x14ac:dyDescent="0.25">
      <c r="A2022" t="s">
        <v>38</v>
      </c>
      <c r="B2022" t="s">
        <v>89</v>
      </c>
      <c r="C2022" t="s">
        <v>549</v>
      </c>
      <c r="D2022">
        <v>9283</v>
      </c>
      <c r="E2022" t="s">
        <v>707</v>
      </c>
      <c r="F2022">
        <v>2734.9070000000002</v>
      </c>
      <c r="G2022">
        <v>2007</v>
      </c>
    </row>
    <row r="2023" spans="1:7" x14ac:dyDescent="0.25">
      <c r="A2023" t="s">
        <v>38</v>
      </c>
      <c r="B2023" t="s">
        <v>89</v>
      </c>
      <c r="C2023" t="s">
        <v>550</v>
      </c>
      <c r="D2023">
        <v>9286</v>
      </c>
      <c r="E2023" t="s">
        <v>708</v>
      </c>
      <c r="F2023">
        <v>2688.39</v>
      </c>
      <c r="G2023">
        <v>2007</v>
      </c>
    </row>
    <row r="2024" spans="1:7" x14ac:dyDescent="0.25">
      <c r="A2024" t="s">
        <v>38</v>
      </c>
      <c r="B2024" t="s">
        <v>89</v>
      </c>
      <c r="C2024" t="s">
        <v>552</v>
      </c>
      <c r="D2024">
        <v>26841</v>
      </c>
      <c r="E2024" t="s">
        <v>707</v>
      </c>
      <c r="F2024">
        <v>418.18799999999999</v>
      </c>
      <c r="G2024">
        <v>2007</v>
      </c>
    </row>
    <row r="2025" spans="1:7" x14ac:dyDescent="0.25">
      <c r="A2025" t="s">
        <v>38</v>
      </c>
      <c r="B2025" t="s">
        <v>89</v>
      </c>
      <c r="C2025" t="s">
        <v>554</v>
      </c>
      <c r="D2025">
        <v>32528</v>
      </c>
      <c r="E2025" t="s">
        <v>707</v>
      </c>
      <c r="F2025">
        <v>197.80699999999999</v>
      </c>
      <c r="G2025">
        <v>2007</v>
      </c>
    </row>
    <row r="2026" spans="1:7" x14ac:dyDescent="0.25">
      <c r="A2026" t="s">
        <v>38</v>
      </c>
      <c r="B2026" t="s">
        <v>89</v>
      </c>
      <c r="C2026" t="s">
        <v>555</v>
      </c>
      <c r="D2026">
        <v>34178</v>
      </c>
      <c r="E2026" t="s">
        <v>707</v>
      </c>
      <c r="F2026">
        <v>5535.0190000000002</v>
      </c>
      <c r="G2026">
        <v>2007</v>
      </c>
    </row>
    <row r="2027" spans="1:7" x14ac:dyDescent="0.25">
      <c r="A2027" t="s">
        <v>38</v>
      </c>
      <c r="B2027" t="s">
        <v>89</v>
      </c>
      <c r="C2027" t="s">
        <v>549</v>
      </c>
      <c r="D2027">
        <v>9283</v>
      </c>
      <c r="E2027" t="s">
        <v>707</v>
      </c>
      <c r="F2027">
        <v>3633.7190000000001</v>
      </c>
      <c r="G2027">
        <v>2008</v>
      </c>
    </row>
    <row r="2028" spans="1:7" x14ac:dyDescent="0.25">
      <c r="A2028" t="s">
        <v>38</v>
      </c>
      <c r="B2028" t="s">
        <v>89</v>
      </c>
      <c r="C2028" t="s">
        <v>550</v>
      </c>
      <c r="D2028">
        <v>9286</v>
      </c>
      <c r="E2028" t="s">
        <v>708</v>
      </c>
      <c r="F2028">
        <v>3203.7739999999999</v>
      </c>
      <c r="G2028">
        <v>2008</v>
      </c>
    </row>
    <row r="2029" spans="1:7" x14ac:dyDescent="0.25">
      <c r="A2029" t="s">
        <v>38</v>
      </c>
      <c r="B2029" t="s">
        <v>89</v>
      </c>
      <c r="C2029" t="s">
        <v>552</v>
      </c>
      <c r="D2029">
        <v>26841</v>
      </c>
      <c r="E2029" t="s">
        <v>707</v>
      </c>
      <c r="F2029">
        <v>281.05099999999999</v>
      </c>
      <c r="G2029">
        <v>2008</v>
      </c>
    </row>
    <row r="2030" spans="1:7" x14ac:dyDescent="0.25">
      <c r="A2030" t="s">
        <v>38</v>
      </c>
      <c r="B2030" t="s">
        <v>89</v>
      </c>
      <c r="C2030" t="s">
        <v>554</v>
      </c>
      <c r="D2030">
        <v>32528</v>
      </c>
      <c r="E2030" t="s">
        <v>707</v>
      </c>
      <c r="F2030">
        <v>205.541</v>
      </c>
      <c r="G2030">
        <v>2008</v>
      </c>
    </row>
    <row r="2031" spans="1:7" x14ac:dyDescent="0.25">
      <c r="A2031" t="s">
        <v>38</v>
      </c>
      <c r="B2031" t="s">
        <v>89</v>
      </c>
      <c r="C2031" t="s">
        <v>549</v>
      </c>
      <c r="D2031">
        <v>9283</v>
      </c>
      <c r="E2031" t="s">
        <v>707</v>
      </c>
      <c r="F2031">
        <v>1062.912</v>
      </c>
      <c r="G2031">
        <v>2009</v>
      </c>
    </row>
    <row r="2032" spans="1:7" x14ac:dyDescent="0.25">
      <c r="A2032" t="s">
        <v>38</v>
      </c>
      <c r="B2032" t="s">
        <v>89</v>
      </c>
      <c r="C2032" t="s">
        <v>550</v>
      </c>
      <c r="D2032">
        <v>9286</v>
      </c>
      <c r="E2032" t="s">
        <v>708</v>
      </c>
      <c r="F2032">
        <v>813.22299999999996</v>
      </c>
      <c r="G2032">
        <v>2009</v>
      </c>
    </row>
    <row r="2033" spans="1:7" x14ac:dyDescent="0.25">
      <c r="A2033" t="s">
        <v>38</v>
      </c>
      <c r="B2033" t="s">
        <v>89</v>
      </c>
      <c r="C2033" t="s">
        <v>552</v>
      </c>
      <c r="D2033">
        <v>26841</v>
      </c>
      <c r="E2033" t="s">
        <v>707</v>
      </c>
      <c r="F2033">
        <v>109.354</v>
      </c>
      <c r="G2033">
        <v>2009</v>
      </c>
    </row>
    <row r="2034" spans="1:7" x14ac:dyDescent="0.25">
      <c r="A2034" t="s">
        <v>38</v>
      </c>
      <c r="B2034" t="s">
        <v>89</v>
      </c>
      <c r="C2034" t="s">
        <v>554</v>
      </c>
      <c r="D2034">
        <v>32528</v>
      </c>
      <c r="E2034" t="s">
        <v>707</v>
      </c>
      <c r="F2034">
        <v>106.629</v>
      </c>
      <c r="G2034">
        <v>2009</v>
      </c>
    </row>
    <row r="2035" spans="1:7" x14ac:dyDescent="0.25">
      <c r="A2035" t="s">
        <v>38</v>
      </c>
      <c r="B2035" t="s">
        <v>89</v>
      </c>
      <c r="C2035" t="s">
        <v>549</v>
      </c>
      <c r="D2035">
        <v>9283</v>
      </c>
      <c r="E2035" t="s">
        <v>707</v>
      </c>
      <c r="F2035">
        <v>1773.2249999999999</v>
      </c>
      <c r="G2035">
        <v>2010</v>
      </c>
    </row>
    <row r="2036" spans="1:7" x14ac:dyDescent="0.25">
      <c r="A2036" t="s">
        <v>38</v>
      </c>
      <c r="B2036" t="s">
        <v>89</v>
      </c>
      <c r="C2036" t="s">
        <v>550</v>
      </c>
      <c r="D2036">
        <v>9286</v>
      </c>
      <c r="E2036" t="s">
        <v>708</v>
      </c>
      <c r="F2036">
        <v>1555.5309999999999</v>
      </c>
      <c r="G2036">
        <v>2010</v>
      </c>
    </row>
    <row r="2037" spans="1:7" x14ac:dyDescent="0.25">
      <c r="A2037" t="s">
        <v>38</v>
      </c>
      <c r="B2037" t="s">
        <v>89</v>
      </c>
      <c r="C2037" t="s">
        <v>552</v>
      </c>
      <c r="D2037">
        <v>26841</v>
      </c>
      <c r="E2037" t="s">
        <v>707</v>
      </c>
      <c r="F2037">
        <v>146.18</v>
      </c>
      <c r="G2037">
        <v>2010</v>
      </c>
    </row>
    <row r="2038" spans="1:7" x14ac:dyDescent="0.25">
      <c r="A2038" t="s">
        <v>38</v>
      </c>
      <c r="B2038" t="s">
        <v>89</v>
      </c>
      <c r="C2038" t="s">
        <v>554</v>
      </c>
      <c r="D2038">
        <v>32528</v>
      </c>
      <c r="E2038" t="s">
        <v>707</v>
      </c>
      <c r="F2038">
        <v>149.239</v>
      </c>
      <c r="G2038">
        <v>2010</v>
      </c>
    </row>
    <row r="2039" spans="1:7" x14ac:dyDescent="0.25">
      <c r="A2039" t="s">
        <v>38</v>
      </c>
      <c r="B2039" t="s">
        <v>89</v>
      </c>
      <c r="C2039" t="s">
        <v>549</v>
      </c>
      <c r="D2039">
        <v>9283</v>
      </c>
      <c r="E2039" t="s">
        <v>707</v>
      </c>
      <c r="F2039">
        <v>2160.511</v>
      </c>
      <c r="G2039">
        <v>2011</v>
      </c>
    </row>
    <row r="2040" spans="1:7" x14ac:dyDescent="0.25">
      <c r="A2040" t="s">
        <v>38</v>
      </c>
      <c r="B2040" t="s">
        <v>89</v>
      </c>
      <c r="C2040" t="s">
        <v>550</v>
      </c>
      <c r="D2040">
        <v>9286</v>
      </c>
      <c r="E2040" t="s">
        <v>708</v>
      </c>
      <c r="F2040">
        <v>1867.5440000000001</v>
      </c>
      <c r="G2040">
        <v>2011</v>
      </c>
    </row>
    <row r="2041" spans="1:7" x14ac:dyDescent="0.25">
      <c r="A2041" t="s">
        <v>38</v>
      </c>
      <c r="B2041" t="s">
        <v>89</v>
      </c>
      <c r="C2041" t="s">
        <v>552</v>
      </c>
      <c r="D2041">
        <v>26841</v>
      </c>
      <c r="E2041" t="s">
        <v>707</v>
      </c>
      <c r="F2041">
        <v>189.649</v>
      </c>
      <c r="G2041">
        <v>2011</v>
      </c>
    </row>
    <row r="2042" spans="1:7" x14ac:dyDescent="0.25">
      <c r="A2042" t="s">
        <v>38</v>
      </c>
      <c r="B2042" t="s">
        <v>89</v>
      </c>
      <c r="C2042" t="s">
        <v>554</v>
      </c>
      <c r="D2042">
        <v>32528</v>
      </c>
      <c r="E2042" t="s">
        <v>707</v>
      </c>
      <c r="F2042">
        <v>192.44</v>
      </c>
      <c r="G2042">
        <v>2011</v>
      </c>
    </row>
    <row r="2043" spans="1:7" x14ac:dyDescent="0.25">
      <c r="A2043" t="s">
        <v>38</v>
      </c>
      <c r="B2043" t="s">
        <v>89</v>
      </c>
      <c r="C2043" t="s">
        <v>549</v>
      </c>
      <c r="D2043">
        <v>9283</v>
      </c>
      <c r="E2043" t="s">
        <v>707</v>
      </c>
      <c r="F2043">
        <v>1771.778</v>
      </c>
      <c r="G2043">
        <v>2012</v>
      </c>
    </row>
    <row r="2044" spans="1:7" x14ac:dyDescent="0.25">
      <c r="A2044" t="s">
        <v>38</v>
      </c>
      <c r="B2044" t="s">
        <v>89</v>
      </c>
      <c r="C2044" t="s">
        <v>550</v>
      </c>
      <c r="D2044">
        <v>9286</v>
      </c>
      <c r="E2044" t="s">
        <v>708</v>
      </c>
      <c r="F2044">
        <v>1574.46</v>
      </c>
      <c r="G2044">
        <v>2012</v>
      </c>
    </row>
    <row r="2045" spans="1:7" x14ac:dyDescent="0.25">
      <c r="A2045" t="s">
        <v>38</v>
      </c>
      <c r="B2045" t="s">
        <v>89</v>
      </c>
      <c r="C2045" t="s">
        <v>552</v>
      </c>
      <c r="D2045">
        <v>26841</v>
      </c>
      <c r="E2045" t="s">
        <v>707</v>
      </c>
      <c r="F2045">
        <v>134.63300000000001</v>
      </c>
      <c r="G2045">
        <v>2012</v>
      </c>
    </row>
    <row r="2046" spans="1:7" x14ac:dyDescent="0.25">
      <c r="A2046" t="s">
        <v>38</v>
      </c>
      <c r="B2046" t="s">
        <v>89</v>
      </c>
      <c r="C2046" t="s">
        <v>554</v>
      </c>
      <c r="D2046">
        <v>32528</v>
      </c>
      <c r="E2046" t="s">
        <v>707</v>
      </c>
      <c r="F2046">
        <v>132.756</v>
      </c>
      <c r="G2046">
        <v>2012</v>
      </c>
    </row>
    <row r="2047" spans="1:7" x14ac:dyDescent="0.25">
      <c r="A2047" t="s">
        <v>38</v>
      </c>
      <c r="B2047" t="s">
        <v>89</v>
      </c>
      <c r="C2047" t="s">
        <v>549</v>
      </c>
      <c r="D2047">
        <v>9283</v>
      </c>
      <c r="E2047" t="s">
        <v>707</v>
      </c>
      <c r="F2047">
        <v>1644.6030000000001</v>
      </c>
      <c r="G2047">
        <v>2013</v>
      </c>
    </row>
    <row r="2048" spans="1:7" x14ac:dyDescent="0.25">
      <c r="A2048" t="s">
        <v>38</v>
      </c>
      <c r="B2048" t="s">
        <v>89</v>
      </c>
      <c r="C2048" t="s">
        <v>550</v>
      </c>
      <c r="D2048">
        <v>9286</v>
      </c>
      <c r="E2048" t="s">
        <v>708</v>
      </c>
      <c r="F2048">
        <v>36709.322999999997</v>
      </c>
      <c r="G2048">
        <v>2013</v>
      </c>
    </row>
    <row r="2049" spans="1:7" x14ac:dyDescent="0.25">
      <c r="A2049" t="s">
        <v>38</v>
      </c>
      <c r="B2049" t="s">
        <v>89</v>
      </c>
      <c r="C2049" t="s">
        <v>552</v>
      </c>
      <c r="D2049">
        <v>26841</v>
      </c>
      <c r="E2049" t="s">
        <v>707</v>
      </c>
      <c r="F2049">
        <v>156.70599999999999</v>
      </c>
      <c r="G2049">
        <v>2013</v>
      </c>
    </row>
    <row r="2050" spans="1:7" x14ac:dyDescent="0.25">
      <c r="A2050" t="s">
        <v>38</v>
      </c>
      <c r="B2050" t="s">
        <v>89</v>
      </c>
      <c r="C2050" t="s">
        <v>554</v>
      </c>
      <c r="D2050">
        <v>32528</v>
      </c>
      <c r="E2050" t="s">
        <v>707</v>
      </c>
      <c r="F2050">
        <v>159.822</v>
      </c>
      <c r="G2050">
        <v>2013</v>
      </c>
    </row>
    <row r="2051" spans="1:7" x14ac:dyDescent="0.25">
      <c r="A2051" t="s">
        <v>38</v>
      </c>
      <c r="B2051" t="s">
        <v>89</v>
      </c>
      <c r="C2051" t="s">
        <v>556</v>
      </c>
      <c r="D2051">
        <v>49304</v>
      </c>
      <c r="E2051" t="s">
        <v>707</v>
      </c>
      <c r="F2051">
        <v>353.19</v>
      </c>
      <c r="G2051">
        <v>2013</v>
      </c>
    </row>
    <row r="2052" spans="1:7" x14ac:dyDescent="0.25">
      <c r="A2052" t="s">
        <v>38</v>
      </c>
      <c r="B2052" t="s">
        <v>89</v>
      </c>
      <c r="C2052" t="s">
        <v>549</v>
      </c>
      <c r="D2052">
        <v>9283</v>
      </c>
      <c r="E2052" t="s">
        <v>707</v>
      </c>
      <c r="F2052">
        <v>1102.537</v>
      </c>
      <c r="G2052">
        <v>2014</v>
      </c>
    </row>
    <row r="2053" spans="1:7" x14ac:dyDescent="0.25">
      <c r="A2053" t="s">
        <v>38</v>
      </c>
      <c r="B2053" t="s">
        <v>89</v>
      </c>
      <c r="C2053" t="s">
        <v>550</v>
      </c>
      <c r="D2053">
        <v>9286</v>
      </c>
      <c r="E2053" t="s">
        <v>708</v>
      </c>
      <c r="F2053">
        <v>738.221</v>
      </c>
      <c r="G2053">
        <v>2014</v>
      </c>
    </row>
    <row r="2054" spans="1:7" x14ac:dyDescent="0.25">
      <c r="A2054" t="s">
        <v>38</v>
      </c>
      <c r="B2054" t="s">
        <v>89</v>
      </c>
      <c r="C2054" t="s">
        <v>552</v>
      </c>
      <c r="D2054">
        <v>26841</v>
      </c>
      <c r="E2054" t="s">
        <v>707</v>
      </c>
      <c r="F2054">
        <v>97.143000000000001</v>
      </c>
      <c r="G2054">
        <v>2014</v>
      </c>
    </row>
    <row r="2055" spans="1:7" x14ac:dyDescent="0.25">
      <c r="A2055" t="s">
        <v>38</v>
      </c>
      <c r="B2055" t="s">
        <v>89</v>
      </c>
      <c r="C2055" t="s">
        <v>554</v>
      </c>
      <c r="D2055">
        <v>32528</v>
      </c>
      <c r="E2055" t="s">
        <v>707</v>
      </c>
      <c r="F2055">
        <v>93.471999999999994</v>
      </c>
      <c r="G2055">
        <v>2014</v>
      </c>
    </row>
    <row r="2056" spans="1:7" x14ac:dyDescent="0.25">
      <c r="A2056" t="s">
        <v>38</v>
      </c>
      <c r="B2056" t="s">
        <v>89</v>
      </c>
      <c r="C2056" t="s">
        <v>556</v>
      </c>
      <c r="D2056">
        <v>49304</v>
      </c>
      <c r="E2056" t="s">
        <v>707</v>
      </c>
      <c r="F2056">
        <v>624.346</v>
      </c>
      <c r="G2056">
        <v>2014</v>
      </c>
    </row>
    <row r="2057" spans="1:7" x14ac:dyDescent="0.25">
      <c r="A2057" t="s">
        <v>38</v>
      </c>
      <c r="B2057" t="s">
        <v>89</v>
      </c>
      <c r="C2057" t="s">
        <v>549</v>
      </c>
      <c r="D2057">
        <v>9283</v>
      </c>
      <c r="E2057" t="s">
        <v>707</v>
      </c>
      <c r="F2057">
        <v>16891.557000000001</v>
      </c>
      <c r="G2057">
        <v>2015</v>
      </c>
    </row>
    <row r="2058" spans="1:7" x14ac:dyDescent="0.25">
      <c r="A2058" t="s">
        <v>38</v>
      </c>
      <c r="B2058" t="s">
        <v>89</v>
      </c>
      <c r="C2058" t="s">
        <v>550</v>
      </c>
      <c r="D2058">
        <v>9286</v>
      </c>
      <c r="E2058" t="s">
        <v>708</v>
      </c>
      <c r="F2058">
        <v>811.60500000000002</v>
      </c>
      <c r="G2058">
        <v>2015</v>
      </c>
    </row>
    <row r="2059" spans="1:7" x14ac:dyDescent="0.25">
      <c r="A2059" t="s">
        <v>38</v>
      </c>
      <c r="B2059" t="s">
        <v>89</v>
      </c>
      <c r="C2059" t="s">
        <v>552</v>
      </c>
      <c r="D2059">
        <v>26841</v>
      </c>
      <c r="E2059" t="s">
        <v>707</v>
      </c>
      <c r="F2059">
        <v>105.934</v>
      </c>
      <c r="G2059">
        <v>2015</v>
      </c>
    </row>
    <row r="2060" spans="1:7" x14ac:dyDescent="0.25">
      <c r="A2060" t="s">
        <v>38</v>
      </c>
      <c r="B2060" t="s">
        <v>89</v>
      </c>
      <c r="C2060" t="s">
        <v>554</v>
      </c>
      <c r="D2060">
        <v>32528</v>
      </c>
      <c r="E2060" t="s">
        <v>707</v>
      </c>
      <c r="F2060">
        <v>109.089</v>
      </c>
      <c r="G2060">
        <v>2015</v>
      </c>
    </row>
    <row r="2061" spans="1:7" x14ac:dyDescent="0.25">
      <c r="A2061" t="s">
        <v>38</v>
      </c>
      <c r="B2061" t="s">
        <v>89</v>
      </c>
      <c r="C2061" t="s">
        <v>556</v>
      </c>
      <c r="D2061">
        <v>49304</v>
      </c>
      <c r="E2061" t="s">
        <v>707</v>
      </c>
      <c r="F2061">
        <v>483.71899999999999</v>
      </c>
      <c r="G2061">
        <v>2015</v>
      </c>
    </row>
    <row r="2062" spans="1:7" x14ac:dyDescent="0.25">
      <c r="A2062" t="s">
        <v>38</v>
      </c>
      <c r="B2062" t="s">
        <v>89</v>
      </c>
      <c r="C2062" t="s">
        <v>550</v>
      </c>
      <c r="D2062">
        <v>9286</v>
      </c>
      <c r="E2062" t="s">
        <v>708</v>
      </c>
      <c r="F2062">
        <v>579.19500000000005</v>
      </c>
      <c r="G2062">
        <v>2016</v>
      </c>
    </row>
    <row r="2063" spans="1:7" x14ac:dyDescent="0.25">
      <c r="A2063" t="s">
        <v>38</v>
      </c>
      <c r="B2063" t="s">
        <v>89</v>
      </c>
      <c r="C2063" t="s">
        <v>552</v>
      </c>
      <c r="D2063">
        <v>26841</v>
      </c>
      <c r="E2063" t="s">
        <v>707</v>
      </c>
      <c r="F2063">
        <v>95.79</v>
      </c>
      <c r="G2063">
        <v>2016</v>
      </c>
    </row>
    <row r="2064" spans="1:7" x14ac:dyDescent="0.25">
      <c r="A2064" t="s">
        <v>38</v>
      </c>
      <c r="B2064" t="s">
        <v>89</v>
      </c>
      <c r="C2064" t="s">
        <v>554</v>
      </c>
      <c r="D2064">
        <v>32528</v>
      </c>
      <c r="E2064" t="s">
        <v>707</v>
      </c>
      <c r="F2064">
        <v>69.637</v>
      </c>
      <c r="G2064">
        <v>2016</v>
      </c>
    </row>
    <row r="2065" spans="1:7" x14ac:dyDescent="0.25">
      <c r="A2065" t="s">
        <v>38</v>
      </c>
      <c r="B2065" t="s">
        <v>89</v>
      </c>
      <c r="C2065" t="s">
        <v>556</v>
      </c>
      <c r="D2065">
        <v>49304</v>
      </c>
      <c r="E2065" t="s">
        <v>707</v>
      </c>
      <c r="F2065">
        <v>7698.8239999999996</v>
      </c>
      <c r="G2065">
        <v>2016</v>
      </c>
    </row>
    <row r="2066" spans="1:7" x14ac:dyDescent="0.25">
      <c r="A2066" t="s">
        <v>38</v>
      </c>
      <c r="B2066" t="s">
        <v>89</v>
      </c>
      <c r="C2066" t="s">
        <v>557</v>
      </c>
      <c r="D2066">
        <v>55225</v>
      </c>
      <c r="E2066" t="s">
        <v>707</v>
      </c>
      <c r="F2066">
        <v>137.65100000000001</v>
      </c>
      <c r="G2066">
        <v>2016</v>
      </c>
    </row>
    <row r="2067" spans="1:7" x14ac:dyDescent="0.25">
      <c r="A2067" t="s">
        <v>38</v>
      </c>
      <c r="B2067" t="s">
        <v>89</v>
      </c>
      <c r="C2067" t="s">
        <v>550</v>
      </c>
      <c r="D2067">
        <v>9286</v>
      </c>
      <c r="E2067" t="s">
        <v>708</v>
      </c>
      <c r="F2067">
        <v>741.83900000000006</v>
      </c>
      <c r="G2067">
        <v>2017</v>
      </c>
    </row>
    <row r="2068" spans="1:7" x14ac:dyDescent="0.25">
      <c r="A2068" t="s">
        <v>38</v>
      </c>
      <c r="B2068" t="s">
        <v>89</v>
      </c>
      <c r="C2068" t="s">
        <v>552</v>
      </c>
      <c r="D2068">
        <v>26841</v>
      </c>
      <c r="E2068" t="s">
        <v>707</v>
      </c>
      <c r="F2068">
        <v>128.56800000000001</v>
      </c>
      <c r="G2068">
        <v>2017</v>
      </c>
    </row>
    <row r="2069" spans="1:7" x14ac:dyDescent="0.25">
      <c r="A2069" t="s">
        <v>38</v>
      </c>
      <c r="B2069" t="s">
        <v>89</v>
      </c>
      <c r="C2069" t="s">
        <v>554</v>
      </c>
      <c r="D2069">
        <v>32528</v>
      </c>
      <c r="E2069" t="s">
        <v>707</v>
      </c>
      <c r="F2069">
        <v>111.66800000000001</v>
      </c>
      <c r="G2069">
        <v>2017</v>
      </c>
    </row>
    <row r="2070" spans="1:7" x14ac:dyDescent="0.25">
      <c r="A2070" t="s">
        <v>38</v>
      </c>
      <c r="B2070" t="s">
        <v>89</v>
      </c>
      <c r="C2070" t="s">
        <v>557</v>
      </c>
      <c r="D2070">
        <v>55225</v>
      </c>
      <c r="E2070" t="s">
        <v>707</v>
      </c>
      <c r="F2070">
        <v>129.09100000000001</v>
      </c>
      <c r="G2070">
        <v>2017</v>
      </c>
    </row>
    <row r="2071" spans="1:7" x14ac:dyDescent="0.25">
      <c r="A2071" t="s">
        <v>38</v>
      </c>
      <c r="B2071" t="s">
        <v>89</v>
      </c>
      <c r="C2071" t="s">
        <v>550</v>
      </c>
      <c r="D2071">
        <v>9286</v>
      </c>
      <c r="E2071" t="s">
        <v>708</v>
      </c>
      <c r="F2071">
        <v>860.81500000000005</v>
      </c>
      <c r="G2071">
        <v>2018</v>
      </c>
    </row>
    <row r="2072" spans="1:7" x14ac:dyDescent="0.25">
      <c r="A2072" t="s">
        <v>38</v>
      </c>
      <c r="B2072" t="s">
        <v>89</v>
      </c>
      <c r="C2072" t="s">
        <v>552</v>
      </c>
      <c r="D2072">
        <v>26841</v>
      </c>
      <c r="E2072" t="s">
        <v>707</v>
      </c>
      <c r="F2072">
        <v>1480.133</v>
      </c>
      <c r="G2072">
        <v>2018</v>
      </c>
    </row>
    <row r="2073" spans="1:7" x14ac:dyDescent="0.25">
      <c r="A2073" t="s">
        <v>38</v>
      </c>
      <c r="B2073" t="s">
        <v>89</v>
      </c>
      <c r="C2073" t="s">
        <v>554</v>
      </c>
      <c r="D2073">
        <v>32528</v>
      </c>
      <c r="E2073" t="s">
        <v>707</v>
      </c>
      <c r="F2073">
        <v>130.709</v>
      </c>
      <c r="G2073">
        <v>2018</v>
      </c>
    </row>
    <row r="2074" spans="1:7" x14ac:dyDescent="0.25">
      <c r="A2074" t="s">
        <v>38</v>
      </c>
      <c r="B2074" t="s">
        <v>89</v>
      </c>
      <c r="C2074" t="s">
        <v>557</v>
      </c>
      <c r="D2074">
        <v>55225</v>
      </c>
      <c r="E2074" t="s">
        <v>707</v>
      </c>
      <c r="F2074">
        <v>176.422</v>
      </c>
      <c r="G2074">
        <v>2018</v>
      </c>
    </row>
    <row r="2075" spans="1:7" x14ac:dyDescent="0.25">
      <c r="A2075" t="s">
        <v>39</v>
      </c>
      <c r="B2075" t="s">
        <v>90</v>
      </c>
      <c r="C2075" t="s">
        <v>558</v>
      </c>
      <c r="D2075">
        <v>7507</v>
      </c>
      <c r="E2075" t="s">
        <v>708</v>
      </c>
      <c r="F2075">
        <v>41.972000000000001</v>
      </c>
      <c r="G2075">
        <v>2006</v>
      </c>
    </row>
    <row r="2076" spans="1:7" x14ac:dyDescent="0.25">
      <c r="A2076" t="s">
        <v>39</v>
      </c>
      <c r="B2076" t="s">
        <v>90</v>
      </c>
      <c r="C2076" t="s">
        <v>559</v>
      </c>
      <c r="D2076">
        <v>28623</v>
      </c>
      <c r="E2076" t="s">
        <v>707</v>
      </c>
      <c r="F2076">
        <v>15.472</v>
      </c>
      <c r="G2076">
        <v>2006</v>
      </c>
    </row>
    <row r="2077" spans="1:7" x14ac:dyDescent="0.25">
      <c r="A2077" t="s">
        <v>39</v>
      </c>
      <c r="B2077" t="s">
        <v>90</v>
      </c>
      <c r="C2077" t="s">
        <v>560</v>
      </c>
      <c r="D2077">
        <v>32459</v>
      </c>
      <c r="E2077" t="s">
        <v>707</v>
      </c>
      <c r="F2077">
        <v>16.11</v>
      </c>
      <c r="G2077">
        <v>2006</v>
      </c>
    </row>
    <row r="2078" spans="1:7" x14ac:dyDescent="0.25">
      <c r="A2078" t="s">
        <v>39</v>
      </c>
      <c r="B2078" t="s">
        <v>90</v>
      </c>
      <c r="C2078" t="s">
        <v>561</v>
      </c>
      <c r="D2078">
        <v>32460</v>
      </c>
      <c r="E2078" t="s">
        <v>707</v>
      </c>
      <c r="F2078">
        <v>74.644000000000005</v>
      </c>
      <c r="G2078">
        <v>2006</v>
      </c>
    </row>
    <row r="2079" spans="1:7" x14ac:dyDescent="0.25">
      <c r="A2079" t="s">
        <v>39</v>
      </c>
      <c r="B2079" t="s">
        <v>90</v>
      </c>
      <c r="C2079" t="s">
        <v>562</v>
      </c>
      <c r="D2079">
        <v>32461</v>
      </c>
      <c r="E2079" t="s">
        <v>707</v>
      </c>
      <c r="F2079">
        <v>6.6</v>
      </c>
      <c r="G2079">
        <v>2006</v>
      </c>
    </row>
    <row r="2080" spans="1:7" x14ac:dyDescent="0.25">
      <c r="A2080" t="s">
        <v>39</v>
      </c>
      <c r="B2080" t="s">
        <v>90</v>
      </c>
      <c r="C2080" t="s">
        <v>558</v>
      </c>
      <c r="D2080">
        <v>7507</v>
      </c>
      <c r="E2080" t="s">
        <v>708</v>
      </c>
      <c r="F2080">
        <v>25.984000000000002</v>
      </c>
      <c r="G2080">
        <v>2007</v>
      </c>
    </row>
    <row r="2081" spans="1:7" x14ac:dyDescent="0.25">
      <c r="A2081" t="s">
        <v>39</v>
      </c>
      <c r="B2081" t="s">
        <v>90</v>
      </c>
      <c r="C2081" t="s">
        <v>563</v>
      </c>
      <c r="D2081">
        <v>31007</v>
      </c>
      <c r="E2081" t="s">
        <v>707</v>
      </c>
      <c r="F2081">
        <v>14.75</v>
      </c>
      <c r="G2081">
        <v>2007</v>
      </c>
    </row>
    <row r="2082" spans="1:7" x14ac:dyDescent="0.25">
      <c r="A2082" t="s">
        <v>39</v>
      </c>
      <c r="B2082" t="s">
        <v>90</v>
      </c>
      <c r="C2082" t="s">
        <v>560</v>
      </c>
      <c r="D2082">
        <v>32459</v>
      </c>
      <c r="E2082" t="s">
        <v>707</v>
      </c>
      <c r="F2082">
        <v>19.401</v>
      </c>
      <c r="G2082">
        <v>2007</v>
      </c>
    </row>
    <row r="2083" spans="1:7" x14ac:dyDescent="0.25">
      <c r="A2083" t="s">
        <v>39</v>
      </c>
      <c r="B2083" t="s">
        <v>90</v>
      </c>
      <c r="C2083" t="s">
        <v>561</v>
      </c>
      <c r="D2083">
        <v>32460</v>
      </c>
      <c r="E2083" t="s">
        <v>707</v>
      </c>
      <c r="F2083">
        <v>12.635999999999999</v>
      </c>
      <c r="G2083">
        <v>2007</v>
      </c>
    </row>
    <row r="2084" spans="1:7" x14ac:dyDescent="0.25">
      <c r="A2084" t="s">
        <v>39</v>
      </c>
      <c r="B2084" t="s">
        <v>90</v>
      </c>
      <c r="C2084" t="s">
        <v>562</v>
      </c>
      <c r="D2084">
        <v>32461</v>
      </c>
      <c r="E2084" t="s">
        <v>707</v>
      </c>
      <c r="F2084">
        <v>6.75</v>
      </c>
      <c r="G2084">
        <v>2007</v>
      </c>
    </row>
    <row r="2085" spans="1:7" x14ac:dyDescent="0.25">
      <c r="A2085" t="s">
        <v>39</v>
      </c>
      <c r="B2085" t="s">
        <v>90</v>
      </c>
      <c r="C2085" t="s">
        <v>558</v>
      </c>
      <c r="D2085">
        <v>7507</v>
      </c>
      <c r="E2085" t="s">
        <v>708</v>
      </c>
      <c r="F2085">
        <v>41.314</v>
      </c>
      <c r="G2085">
        <v>2008</v>
      </c>
    </row>
    <row r="2086" spans="1:7" x14ac:dyDescent="0.25">
      <c r="A2086" t="s">
        <v>39</v>
      </c>
      <c r="B2086" t="s">
        <v>90</v>
      </c>
      <c r="C2086" t="s">
        <v>564</v>
      </c>
      <c r="D2086">
        <v>10108</v>
      </c>
      <c r="E2086" t="s">
        <v>707</v>
      </c>
      <c r="F2086">
        <v>22.648</v>
      </c>
      <c r="G2086">
        <v>2008</v>
      </c>
    </row>
    <row r="2087" spans="1:7" x14ac:dyDescent="0.25">
      <c r="A2087" t="s">
        <v>39</v>
      </c>
      <c r="B2087" t="s">
        <v>90</v>
      </c>
      <c r="C2087" t="s">
        <v>563</v>
      </c>
      <c r="D2087">
        <v>31007</v>
      </c>
      <c r="E2087" t="s">
        <v>707</v>
      </c>
      <c r="F2087">
        <v>15.8</v>
      </c>
      <c r="G2087">
        <v>2008</v>
      </c>
    </row>
    <row r="2088" spans="1:7" x14ac:dyDescent="0.25">
      <c r="A2088" t="s">
        <v>39</v>
      </c>
      <c r="B2088" t="s">
        <v>90</v>
      </c>
      <c r="C2088" t="s">
        <v>560</v>
      </c>
      <c r="D2088">
        <v>32459</v>
      </c>
      <c r="E2088" t="s">
        <v>707</v>
      </c>
      <c r="F2088">
        <v>1.196</v>
      </c>
      <c r="G2088">
        <v>2008</v>
      </c>
    </row>
    <row r="2089" spans="1:7" x14ac:dyDescent="0.25">
      <c r="A2089" t="s">
        <v>39</v>
      </c>
      <c r="B2089" t="s">
        <v>90</v>
      </c>
      <c r="C2089" t="s">
        <v>561</v>
      </c>
      <c r="D2089">
        <v>32460</v>
      </c>
      <c r="E2089" t="s">
        <v>707</v>
      </c>
      <c r="F2089">
        <v>11.438000000000001</v>
      </c>
      <c r="G2089">
        <v>2008</v>
      </c>
    </row>
    <row r="2090" spans="1:7" x14ac:dyDescent="0.25">
      <c r="A2090" t="s">
        <v>39</v>
      </c>
      <c r="B2090" t="s">
        <v>90</v>
      </c>
      <c r="C2090" t="s">
        <v>562</v>
      </c>
      <c r="D2090">
        <v>32461</v>
      </c>
      <c r="E2090" t="s">
        <v>707</v>
      </c>
      <c r="F2090">
        <v>6.75</v>
      </c>
      <c r="G2090">
        <v>2008</v>
      </c>
    </row>
    <row r="2091" spans="1:7" x14ac:dyDescent="0.25">
      <c r="A2091" t="s">
        <v>39</v>
      </c>
      <c r="B2091" t="s">
        <v>90</v>
      </c>
      <c r="C2091" t="s">
        <v>565</v>
      </c>
      <c r="D2091">
        <v>37253</v>
      </c>
      <c r="E2091" t="s">
        <v>707</v>
      </c>
      <c r="F2091">
        <v>11.438000000000001</v>
      </c>
      <c r="G2091">
        <v>2008</v>
      </c>
    </row>
    <row r="2092" spans="1:7" x14ac:dyDescent="0.25">
      <c r="A2092" t="s">
        <v>39</v>
      </c>
      <c r="B2092" t="s">
        <v>90</v>
      </c>
      <c r="C2092" t="s">
        <v>558</v>
      </c>
      <c r="D2092">
        <v>7507</v>
      </c>
      <c r="E2092" t="s">
        <v>708</v>
      </c>
      <c r="F2092">
        <v>50.524999999999999</v>
      </c>
      <c r="G2092">
        <v>2009</v>
      </c>
    </row>
    <row r="2093" spans="1:7" x14ac:dyDescent="0.25">
      <c r="A2093" t="s">
        <v>39</v>
      </c>
      <c r="B2093" t="s">
        <v>90</v>
      </c>
      <c r="C2093" t="s">
        <v>564</v>
      </c>
      <c r="D2093">
        <v>10108</v>
      </c>
      <c r="E2093" t="s">
        <v>707</v>
      </c>
      <c r="F2093">
        <v>13.31</v>
      </c>
      <c r="G2093">
        <v>2009</v>
      </c>
    </row>
    <row r="2094" spans="1:7" x14ac:dyDescent="0.25">
      <c r="A2094" t="s">
        <v>39</v>
      </c>
      <c r="B2094" t="s">
        <v>90</v>
      </c>
      <c r="C2094" t="s">
        <v>563</v>
      </c>
      <c r="D2094">
        <v>31007</v>
      </c>
      <c r="E2094" t="s">
        <v>707</v>
      </c>
      <c r="F2094">
        <v>9.7780000000000005</v>
      </c>
      <c r="G2094">
        <v>2009</v>
      </c>
    </row>
    <row r="2095" spans="1:7" x14ac:dyDescent="0.25">
      <c r="A2095" t="s">
        <v>39</v>
      </c>
      <c r="B2095" t="s">
        <v>90</v>
      </c>
      <c r="C2095" t="s">
        <v>562</v>
      </c>
      <c r="D2095">
        <v>32461</v>
      </c>
      <c r="E2095" t="s">
        <v>707</v>
      </c>
      <c r="F2095">
        <v>7.35</v>
      </c>
      <c r="G2095">
        <v>2009</v>
      </c>
    </row>
    <row r="2096" spans="1:7" x14ac:dyDescent="0.25">
      <c r="A2096" t="s">
        <v>39</v>
      </c>
      <c r="B2096" t="s">
        <v>90</v>
      </c>
      <c r="C2096" t="s">
        <v>565</v>
      </c>
      <c r="D2096">
        <v>37253</v>
      </c>
      <c r="E2096" t="s">
        <v>707</v>
      </c>
      <c r="F2096">
        <v>12.31</v>
      </c>
      <c r="G2096">
        <v>2009</v>
      </c>
    </row>
    <row r="2097" spans="1:7" x14ac:dyDescent="0.25">
      <c r="A2097" t="s">
        <v>39</v>
      </c>
      <c r="B2097" t="s">
        <v>90</v>
      </c>
      <c r="C2097" t="s">
        <v>558</v>
      </c>
      <c r="D2097">
        <v>7507</v>
      </c>
      <c r="E2097" t="s">
        <v>708</v>
      </c>
      <c r="F2097">
        <v>76.814999999999998</v>
      </c>
      <c r="G2097">
        <v>2010</v>
      </c>
    </row>
    <row r="2098" spans="1:7" x14ac:dyDescent="0.25">
      <c r="A2098" t="s">
        <v>39</v>
      </c>
      <c r="B2098" t="s">
        <v>90</v>
      </c>
      <c r="C2098" t="s">
        <v>564</v>
      </c>
      <c r="D2098">
        <v>10108</v>
      </c>
      <c r="E2098" t="s">
        <v>707</v>
      </c>
      <c r="F2098">
        <v>41.682000000000002</v>
      </c>
      <c r="G2098">
        <v>2010</v>
      </c>
    </row>
    <row r="2099" spans="1:7" x14ac:dyDescent="0.25">
      <c r="A2099" t="s">
        <v>39</v>
      </c>
      <c r="B2099" t="s">
        <v>90</v>
      </c>
      <c r="C2099" t="s">
        <v>563</v>
      </c>
      <c r="D2099">
        <v>31007</v>
      </c>
      <c r="E2099" t="s">
        <v>707</v>
      </c>
      <c r="F2099">
        <v>10.050000000000001</v>
      </c>
      <c r="G2099">
        <v>2010</v>
      </c>
    </row>
    <row r="2100" spans="1:7" x14ac:dyDescent="0.25">
      <c r="A2100" t="s">
        <v>39</v>
      </c>
      <c r="B2100" t="s">
        <v>90</v>
      </c>
      <c r="C2100" t="s">
        <v>562</v>
      </c>
      <c r="D2100">
        <v>32461</v>
      </c>
      <c r="E2100" t="s">
        <v>707</v>
      </c>
      <c r="F2100">
        <v>8.3059999999999992</v>
      </c>
      <c r="G2100">
        <v>2010</v>
      </c>
    </row>
    <row r="2101" spans="1:7" x14ac:dyDescent="0.25">
      <c r="A2101" t="s">
        <v>39</v>
      </c>
      <c r="B2101" t="s">
        <v>90</v>
      </c>
      <c r="C2101" t="s">
        <v>565</v>
      </c>
      <c r="D2101">
        <v>37253</v>
      </c>
      <c r="E2101" t="s">
        <v>707</v>
      </c>
      <c r="F2101">
        <v>12.31</v>
      </c>
      <c r="G2101">
        <v>2010</v>
      </c>
    </row>
    <row r="2102" spans="1:7" x14ac:dyDescent="0.25">
      <c r="A2102" t="s">
        <v>39</v>
      </c>
      <c r="B2102" t="s">
        <v>90</v>
      </c>
      <c r="C2102" t="s">
        <v>566</v>
      </c>
      <c r="D2102">
        <v>43841</v>
      </c>
      <c r="E2102" t="s">
        <v>707</v>
      </c>
      <c r="F2102">
        <v>7.35</v>
      </c>
      <c r="G2102">
        <v>2010</v>
      </c>
    </row>
    <row r="2103" spans="1:7" x14ac:dyDescent="0.25">
      <c r="A2103" t="s">
        <v>39</v>
      </c>
      <c r="B2103" t="s">
        <v>90</v>
      </c>
      <c r="C2103" t="s">
        <v>558</v>
      </c>
      <c r="D2103">
        <v>7507</v>
      </c>
      <c r="E2103" t="s">
        <v>708</v>
      </c>
      <c r="F2103">
        <v>111.643</v>
      </c>
      <c r="G2103">
        <v>2011</v>
      </c>
    </row>
    <row r="2104" spans="1:7" x14ac:dyDescent="0.25">
      <c r="A2104" t="s">
        <v>39</v>
      </c>
      <c r="B2104" t="s">
        <v>90</v>
      </c>
      <c r="C2104" t="s">
        <v>563</v>
      </c>
      <c r="D2104">
        <v>31007</v>
      </c>
      <c r="E2104" t="s">
        <v>707</v>
      </c>
      <c r="F2104">
        <v>8.85</v>
      </c>
      <c r="G2104">
        <v>2011</v>
      </c>
    </row>
    <row r="2105" spans="1:7" x14ac:dyDescent="0.25">
      <c r="A2105" t="s">
        <v>39</v>
      </c>
      <c r="B2105" t="s">
        <v>90</v>
      </c>
      <c r="C2105" t="s">
        <v>565</v>
      </c>
      <c r="D2105">
        <v>37253</v>
      </c>
      <c r="E2105" t="s">
        <v>707</v>
      </c>
      <c r="F2105">
        <v>12.31</v>
      </c>
      <c r="G2105">
        <v>2011</v>
      </c>
    </row>
    <row r="2106" spans="1:7" x14ac:dyDescent="0.25">
      <c r="A2106" t="s">
        <v>39</v>
      </c>
      <c r="B2106" t="s">
        <v>90</v>
      </c>
      <c r="C2106" t="s">
        <v>566</v>
      </c>
      <c r="D2106">
        <v>43841</v>
      </c>
      <c r="E2106" t="s">
        <v>707</v>
      </c>
      <c r="F2106">
        <v>7.35</v>
      </c>
      <c r="G2106">
        <v>2011</v>
      </c>
    </row>
    <row r="2107" spans="1:7" x14ac:dyDescent="0.25">
      <c r="A2107" t="s">
        <v>39</v>
      </c>
      <c r="B2107" t="s">
        <v>90</v>
      </c>
      <c r="C2107" t="s">
        <v>567</v>
      </c>
      <c r="D2107">
        <v>45433</v>
      </c>
      <c r="E2107" t="s">
        <v>707</v>
      </c>
      <c r="F2107">
        <v>18.605</v>
      </c>
      <c r="G2107">
        <v>2011</v>
      </c>
    </row>
    <row r="2108" spans="1:7" x14ac:dyDescent="0.25">
      <c r="A2108" t="s">
        <v>40</v>
      </c>
      <c r="B2108" t="s">
        <v>91</v>
      </c>
      <c r="C2108" t="s">
        <v>568</v>
      </c>
      <c r="D2108">
        <v>21438</v>
      </c>
      <c r="E2108" t="s">
        <v>707</v>
      </c>
      <c r="F2108">
        <v>41.226999999999997</v>
      </c>
      <c r="G2108">
        <v>2006</v>
      </c>
    </row>
    <row r="2109" spans="1:7" x14ac:dyDescent="0.25">
      <c r="A2109" t="s">
        <v>40</v>
      </c>
      <c r="B2109" t="s">
        <v>91</v>
      </c>
      <c r="C2109" t="s">
        <v>569</v>
      </c>
      <c r="D2109">
        <v>29059</v>
      </c>
      <c r="E2109" t="s">
        <v>707</v>
      </c>
      <c r="F2109">
        <v>48.37</v>
      </c>
      <c r="G2109">
        <v>2006</v>
      </c>
    </row>
    <row r="2110" spans="1:7" x14ac:dyDescent="0.25">
      <c r="A2110" t="s">
        <v>40</v>
      </c>
      <c r="B2110" t="s">
        <v>91</v>
      </c>
      <c r="C2110" t="s">
        <v>570</v>
      </c>
      <c r="D2110">
        <v>30896</v>
      </c>
      <c r="E2110" t="s">
        <v>708</v>
      </c>
      <c r="F2110">
        <v>395.709</v>
      </c>
      <c r="G2110">
        <v>2006</v>
      </c>
    </row>
    <row r="2111" spans="1:7" x14ac:dyDescent="0.25">
      <c r="A2111" t="s">
        <v>40</v>
      </c>
      <c r="B2111" t="s">
        <v>91</v>
      </c>
      <c r="C2111" t="s">
        <v>571</v>
      </c>
      <c r="D2111">
        <v>32368</v>
      </c>
      <c r="E2111" t="s">
        <v>707</v>
      </c>
      <c r="F2111">
        <v>98.26</v>
      </c>
      <c r="G2111">
        <v>2006</v>
      </c>
    </row>
    <row r="2112" spans="1:7" x14ac:dyDescent="0.25">
      <c r="A2112" t="s">
        <v>40</v>
      </c>
      <c r="B2112" t="s">
        <v>91</v>
      </c>
      <c r="C2112" t="s">
        <v>572</v>
      </c>
      <c r="D2112">
        <v>32369</v>
      </c>
      <c r="E2112" t="s">
        <v>707</v>
      </c>
      <c r="F2112">
        <v>109.24</v>
      </c>
      <c r="G2112">
        <v>2006</v>
      </c>
    </row>
    <row r="2113" spans="1:7" x14ac:dyDescent="0.25">
      <c r="A2113" t="s">
        <v>40</v>
      </c>
      <c r="B2113" t="s">
        <v>91</v>
      </c>
      <c r="C2113" t="s">
        <v>568</v>
      </c>
      <c r="D2113">
        <v>21438</v>
      </c>
      <c r="E2113" t="s">
        <v>707</v>
      </c>
      <c r="F2113">
        <v>54.031999999999996</v>
      </c>
      <c r="G2113">
        <v>2007</v>
      </c>
    </row>
    <row r="2114" spans="1:7" x14ac:dyDescent="0.25">
      <c r="A2114" t="s">
        <v>40</v>
      </c>
      <c r="B2114" t="s">
        <v>91</v>
      </c>
      <c r="C2114" t="s">
        <v>569</v>
      </c>
      <c r="D2114">
        <v>29059</v>
      </c>
      <c r="E2114" t="s">
        <v>707</v>
      </c>
      <c r="F2114">
        <v>61.55</v>
      </c>
      <c r="G2114">
        <v>2007</v>
      </c>
    </row>
    <row r="2115" spans="1:7" x14ac:dyDescent="0.25">
      <c r="A2115" t="s">
        <v>40</v>
      </c>
      <c r="B2115" t="s">
        <v>91</v>
      </c>
      <c r="C2115" t="s">
        <v>570</v>
      </c>
      <c r="D2115">
        <v>30896</v>
      </c>
      <c r="E2115" t="s">
        <v>708</v>
      </c>
      <c r="F2115">
        <v>518.30899999999997</v>
      </c>
      <c r="G2115">
        <v>2007</v>
      </c>
    </row>
    <row r="2116" spans="1:7" x14ac:dyDescent="0.25">
      <c r="A2116" t="s">
        <v>40</v>
      </c>
      <c r="B2116" t="s">
        <v>91</v>
      </c>
      <c r="C2116" t="s">
        <v>571</v>
      </c>
      <c r="D2116">
        <v>32368</v>
      </c>
      <c r="E2116" t="s">
        <v>707</v>
      </c>
      <c r="F2116">
        <v>43.220999999999997</v>
      </c>
      <c r="G2116">
        <v>2007</v>
      </c>
    </row>
    <row r="2117" spans="1:7" x14ac:dyDescent="0.25">
      <c r="A2117" t="s">
        <v>40</v>
      </c>
      <c r="B2117" t="s">
        <v>91</v>
      </c>
      <c r="C2117" t="s">
        <v>572</v>
      </c>
      <c r="D2117">
        <v>32369</v>
      </c>
      <c r="E2117" t="s">
        <v>707</v>
      </c>
      <c r="F2117">
        <v>70.724999999999994</v>
      </c>
      <c r="G2117">
        <v>2007</v>
      </c>
    </row>
    <row r="2118" spans="1:7" x14ac:dyDescent="0.25">
      <c r="A2118" t="s">
        <v>40</v>
      </c>
      <c r="B2118" t="s">
        <v>91</v>
      </c>
      <c r="C2118" t="s">
        <v>573</v>
      </c>
      <c r="D2118">
        <v>36985</v>
      </c>
      <c r="E2118" t="s">
        <v>707</v>
      </c>
      <c r="F2118">
        <v>22.474</v>
      </c>
      <c r="G2118">
        <v>2007</v>
      </c>
    </row>
    <row r="2119" spans="1:7" x14ac:dyDescent="0.25">
      <c r="A2119" t="s">
        <v>40</v>
      </c>
      <c r="B2119" t="s">
        <v>91</v>
      </c>
      <c r="C2119" t="s">
        <v>568</v>
      </c>
      <c r="D2119">
        <v>21438</v>
      </c>
      <c r="E2119" t="s">
        <v>707</v>
      </c>
      <c r="F2119">
        <v>69.034999999999997</v>
      </c>
      <c r="G2119">
        <v>2008</v>
      </c>
    </row>
    <row r="2120" spans="1:7" x14ac:dyDescent="0.25">
      <c r="A2120" t="s">
        <v>40</v>
      </c>
      <c r="B2120" t="s">
        <v>91</v>
      </c>
      <c r="C2120" t="s">
        <v>569</v>
      </c>
      <c r="D2120">
        <v>29059</v>
      </c>
      <c r="E2120" t="s">
        <v>707</v>
      </c>
      <c r="F2120">
        <v>74.567999999999998</v>
      </c>
      <c r="G2120">
        <v>2008</v>
      </c>
    </row>
    <row r="2121" spans="1:7" x14ac:dyDescent="0.25">
      <c r="A2121" t="s">
        <v>40</v>
      </c>
      <c r="B2121" t="s">
        <v>91</v>
      </c>
      <c r="C2121" t="s">
        <v>570</v>
      </c>
      <c r="D2121">
        <v>30896</v>
      </c>
      <c r="E2121" t="s">
        <v>708</v>
      </c>
      <c r="F2121">
        <v>288.7</v>
      </c>
      <c r="G2121">
        <v>2008</v>
      </c>
    </row>
    <row r="2122" spans="1:7" x14ac:dyDescent="0.25">
      <c r="A2122" t="s">
        <v>40</v>
      </c>
      <c r="B2122" t="s">
        <v>91</v>
      </c>
      <c r="C2122" t="s">
        <v>571</v>
      </c>
      <c r="D2122">
        <v>32368</v>
      </c>
      <c r="E2122" t="s">
        <v>707</v>
      </c>
      <c r="F2122">
        <v>672.79</v>
      </c>
      <c r="G2122">
        <v>2008</v>
      </c>
    </row>
    <row r="2123" spans="1:7" x14ac:dyDescent="0.25">
      <c r="A2123" t="s">
        <v>40</v>
      </c>
      <c r="B2123" t="s">
        <v>91</v>
      </c>
      <c r="C2123" t="s">
        <v>574</v>
      </c>
      <c r="D2123">
        <v>36984</v>
      </c>
      <c r="E2123" t="s">
        <v>707</v>
      </c>
      <c r="F2123">
        <v>61.01</v>
      </c>
      <c r="G2123">
        <v>2008</v>
      </c>
    </row>
    <row r="2124" spans="1:7" x14ac:dyDescent="0.25">
      <c r="A2124" t="s">
        <v>40</v>
      </c>
      <c r="B2124" t="s">
        <v>91</v>
      </c>
      <c r="C2124" t="s">
        <v>573</v>
      </c>
      <c r="D2124">
        <v>36985</v>
      </c>
      <c r="E2124" t="s">
        <v>707</v>
      </c>
      <c r="F2124">
        <v>278.767</v>
      </c>
      <c r="G2124">
        <v>2008</v>
      </c>
    </row>
    <row r="2125" spans="1:7" x14ac:dyDescent="0.25">
      <c r="A2125" t="s">
        <v>40</v>
      </c>
      <c r="B2125" t="s">
        <v>91</v>
      </c>
      <c r="C2125" t="s">
        <v>568</v>
      </c>
      <c r="D2125">
        <v>21438</v>
      </c>
      <c r="E2125" t="s">
        <v>707</v>
      </c>
      <c r="F2125">
        <v>653.66300000000001</v>
      </c>
      <c r="G2125">
        <v>2009</v>
      </c>
    </row>
    <row r="2126" spans="1:7" x14ac:dyDescent="0.25">
      <c r="A2126" t="s">
        <v>40</v>
      </c>
      <c r="B2126" t="s">
        <v>91</v>
      </c>
      <c r="C2126" t="s">
        <v>569</v>
      </c>
      <c r="D2126">
        <v>29059</v>
      </c>
      <c r="E2126" t="s">
        <v>707</v>
      </c>
      <c r="F2126">
        <v>608.78499999999997</v>
      </c>
      <c r="G2126">
        <v>2009</v>
      </c>
    </row>
    <row r="2127" spans="1:7" x14ac:dyDescent="0.25">
      <c r="A2127" t="s">
        <v>40</v>
      </c>
      <c r="B2127" t="s">
        <v>91</v>
      </c>
      <c r="C2127" t="s">
        <v>570</v>
      </c>
      <c r="D2127">
        <v>30896</v>
      </c>
      <c r="E2127" t="s">
        <v>708</v>
      </c>
      <c r="F2127">
        <v>113.191</v>
      </c>
      <c r="G2127">
        <v>2009</v>
      </c>
    </row>
    <row r="2128" spans="1:7" x14ac:dyDescent="0.25">
      <c r="A2128" t="s">
        <v>40</v>
      </c>
      <c r="B2128" t="s">
        <v>91</v>
      </c>
      <c r="C2128" t="s">
        <v>574</v>
      </c>
      <c r="D2128">
        <v>36984</v>
      </c>
      <c r="E2128" t="s">
        <v>707</v>
      </c>
      <c r="F2128">
        <v>164.875</v>
      </c>
      <c r="G2128">
        <v>2009</v>
      </c>
    </row>
    <row r="2129" spans="1:7" x14ac:dyDescent="0.25">
      <c r="A2129" t="s">
        <v>40</v>
      </c>
      <c r="B2129" t="s">
        <v>91</v>
      </c>
      <c r="C2129" t="s">
        <v>573</v>
      </c>
      <c r="D2129">
        <v>36985</v>
      </c>
      <c r="E2129" t="s">
        <v>707</v>
      </c>
      <c r="F2129">
        <v>36.944000000000003</v>
      </c>
      <c r="G2129">
        <v>2009</v>
      </c>
    </row>
    <row r="2130" spans="1:7" x14ac:dyDescent="0.25">
      <c r="A2130" t="s">
        <v>40</v>
      </c>
      <c r="B2130" t="s">
        <v>91</v>
      </c>
      <c r="C2130" t="s">
        <v>568</v>
      </c>
      <c r="D2130">
        <v>21438</v>
      </c>
      <c r="E2130" t="s">
        <v>707</v>
      </c>
      <c r="F2130">
        <v>44.542999999999999</v>
      </c>
      <c r="G2130">
        <v>2010</v>
      </c>
    </row>
    <row r="2131" spans="1:7" x14ac:dyDescent="0.25">
      <c r="A2131" t="s">
        <v>40</v>
      </c>
      <c r="B2131" t="s">
        <v>91</v>
      </c>
      <c r="C2131" t="s">
        <v>575</v>
      </c>
      <c r="D2131">
        <v>29058</v>
      </c>
      <c r="E2131" t="s">
        <v>708</v>
      </c>
      <c r="F2131">
        <v>60.938000000000002</v>
      </c>
      <c r="G2131">
        <v>2010</v>
      </c>
    </row>
    <row r="2132" spans="1:7" x14ac:dyDescent="0.25">
      <c r="A2132" t="s">
        <v>40</v>
      </c>
      <c r="B2132" t="s">
        <v>91</v>
      </c>
      <c r="C2132" t="s">
        <v>570</v>
      </c>
      <c r="D2132">
        <v>30896</v>
      </c>
      <c r="E2132" t="s">
        <v>707</v>
      </c>
      <c r="F2132">
        <v>11261.929</v>
      </c>
      <c r="G2132">
        <v>2010</v>
      </c>
    </row>
    <row r="2133" spans="1:7" x14ac:dyDescent="0.25">
      <c r="A2133" t="s">
        <v>40</v>
      </c>
      <c r="B2133" t="s">
        <v>91</v>
      </c>
      <c r="C2133" t="s">
        <v>574</v>
      </c>
      <c r="D2133">
        <v>36984</v>
      </c>
      <c r="E2133" t="s">
        <v>707</v>
      </c>
      <c r="F2133">
        <v>40.923999999999999</v>
      </c>
      <c r="G2133">
        <v>2010</v>
      </c>
    </row>
    <row r="2134" spans="1:7" x14ac:dyDescent="0.25">
      <c r="A2134" t="s">
        <v>40</v>
      </c>
      <c r="B2134" t="s">
        <v>91</v>
      </c>
      <c r="C2134" t="s">
        <v>573</v>
      </c>
      <c r="D2134">
        <v>36985</v>
      </c>
      <c r="E2134" t="s">
        <v>707</v>
      </c>
      <c r="F2134">
        <v>53.957000000000001</v>
      </c>
      <c r="G2134">
        <v>2010</v>
      </c>
    </row>
    <row r="2135" spans="1:7" x14ac:dyDescent="0.25">
      <c r="A2135" t="s">
        <v>40</v>
      </c>
      <c r="B2135" t="s">
        <v>91</v>
      </c>
      <c r="C2135" t="s">
        <v>576</v>
      </c>
      <c r="D2135">
        <v>43447</v>
      </c>
      <c r="E2135" t="s">
        <v>707</v>
      </c>
      <c r="F2135">
        <v>55.12</v>
      </c>
      <c r="G2135">
        <v>2010</v>
      </c>
    </row>
    <row r="2136" spans="1:7" x14ac:dyDescent="0.25">
      <c r="A2136" t="s">
        <v>40</v>
      </c>
      <c r="B2136" t="s">
        <v>91</v>
      </c>
      <c r="C2136" t="s">
        <v>568</v>
      </c>
      <c r="D2136">
        <v>21438</v>
      </c>
      <c r="E2136" t="s">
        <v>707</v>
      </c>
      <c r="F2136">
        <v>3471.3510000000001</v>
      </c>
      <c r="G2136">
        <v>2011</v>
      </c>
    </row>
    <row r="2137" spans="1:7" x14ac:dyDescent="0.25">
      <c r="A2137" t="s">
        <v>40</v>
      </c>
      <c r="B2137" t="s">
        <v>91</v>
      </c>
      <c r="C2137" t="s">
        <v>575</v>
      </c>
      <c r="D2137">
        <v>29058</v>
      </c>
      <c r="E2137" t="s">
        <v>708</v>
      </c>
      <c r="F2137">
        <v>71.766000000000005</v>
      </c>
      <c r="G2137">
        <v>2011</v>
      </c>
    </row>
    <row r="2138" spans="1:7" x14ac:dyDescent="0.25">
      <c r="A2138" t="s">
        <v>40</v>
      </c>
      <c r="B2138" t="s">
        <v>91</v>
      </c>
      <c r="C2138" t="s">
        <v>572</v>
      </c>
      <c r="D2138">
        <v>32369</v>
      </c>
      <c r="E2138" t="s">
        <v>707</v>
      </c>
      <c r="F2138">
        <v>1627.7629999999999</v>
      </c>
      <c r="G2138">
        <v>2011</v>
      </c>
    </row>
    <row r="2139" spans="1:7" x14ac:dyDescent="0.25">
      <c r="A2139" t="s">
        <v>40</v>
      </c>
      <c r="B2139" t="s">
        <v>91</v>
      </c>
      <c r="C2139" t="s">
        <v>574</v>
      </c>
      <c r="D2139">
        <v>36984</v>
      </c>
      <c r="E2139" t="s">
        <v>707</v>
      </c>
      <c r="F2139">
        <v>81.134</v>
      </c>
      <c r="G2139">
        <v>2011</v>
      </c>
    </row>
    <row r="2140" spans="1:7" x14ac:dyDescent="0.25">
      <c r="A2140" t="s">
        <v>40</v>
      </c>
      <c r="B2140" t="s">
        <v>91</v>
      </c>
      <c r="C2140" t="s">
        <v>573</v>
      </c>
      <c r="D2140">
        <v>36985</v>
      </c>
      <c r="E2140" t="s">
        <v>707</v>
      </c>
      <c r="F2140">
        <v>106.09699999999999</v>
      </c>
      <c r="G2140">
        <v>2011</v>
      </c>
    </row>
    <row r="2141" spans="1:7" x14ac:dyDescent="0.25">
      <c r="A2141" t="s">
        <v>40</v>
      </c>
      <c r="B2141" t="s">
        <v>91</v>
      </c>
      <c r="C2141" t="s">
        <v>576</v>
      </c>
      <c r="D2141">
        <v>43447</v>
      </c>
      <c r="E2141" t="s">
        <v>707</v>
      </c>
      <c r="F2141">
        <v>101.76900000000001</v>
      </c>
      <c r="G2141">
        <v>2011</v>
      </c>
    </row>
    <row r="2142" spans="1:7" x14ac:dyDescent="0.25">
      <c r="A2142" t="s">
        <v>40</v>
      </c>
      <c r="B2142" t="s">
        <v>91</v>
      </c>
      <c r="C2142" t="s">
        <v>577</v>
      </c>
      <c r="D2142">
        <v>45434</v>
      </c>
      <c r="E2142" t="s">
        <v>707</v>
      </c>
      <c r="F2142">
        <v>115.157</v>
      </c>
      <c r="G2142">
        <v>2011</v>
      </c>
    </row>
    <row r="2143" spans="1:7" x14ac:dyDescent="0.25">
      <c r="A2143" t="s">
        <v>40</v>
      </c>
      <c r="B2143" t="s">
        <v>91</v>
      </c>
      <c r="C2143" t="s">
        <v>575</v>
      </c>
      <c r="D2143">
        <v>29058</v>
      </c>
      <c r="E2143" t="s">
        <v>708</v>
      </c>
      <c r="F2143">
        <v>38.686999999999998</v>
      </c>
      <c r="G2143">
        <v>2012</v>
      </c>
    </row>
    <row r="2144" spans="1:7" x14ac:dyDescent="0.25">
      <c r="A2144" t="s">
        <v>40</v>
      </c>
      <c r="B2144" t="s">
        <v>91</v>
      </c>
      <c r="C2144" t="s">
        <v>574</v>
      </c>
      <c r="D2144">
        <v>36984</v>
      </c>
      <c r="E2144" t="s">
        <v>707</v>
      </c>
      <c r="F2144">
        <v>20.6</v>
      </c>
      <c r="G2144">
        <v>2012</v>
      </c>
    </row>
    <row r="2145" spans="1:7" x14ac:dyDescent="0.25">
      <c r="A2145" t="s">
        <v>40</v>
      </c>
      <c r="B2145" t="s">
        <v>91</v>
      </c>
      <c r="C2145" t="s">
        <v>573</v>
      </c>
      <c r="D2145">
        <v>36985</v>
      </c>
      <c r="E2145" t="s">
        <v>707</v>
      </c>
      <c r="F2145">
        <v>66.296999999999997</v>
      </c>
      <c r="G2145">
        <v>2012</v>
      </c>
    </row>
    <row r="2146" spans="1:7" x14ac:dyDescent="0.25">
      <c r="A2146" t="s">
        <v>40</v>
      </c>
      <c r="B2146" t="s">
        <v>91</v>
      </c>
      <c r="C2146" t="s">
        <v>576</v>
      </c>
      <c r="D2146">
        <v>43447</v>
      </c>
      <c r="E2146" t="s">
        <v>707</v>
      </c>
      <c r="F2146">
        <v>36.409999999999997</v>
      </c>
      <c r="G2146">
        <v>2012</v>
      </c>
    </row>
    <row r="2147" spans="1:7" x14ac:dyDescent="0.25">
      <c r="A2147" t="s">
        <v>40</v>
      </c>
      <c r="B2147" t="s">
        <v>91</v>
      </c>
      <c r="C2147" t="s">
        <v>577</v>
      </c>
      <c r="D2147">
        <v>45434</v>
      </c>
      <c r="E2147" t="s">
        <v>707</v>
      </c>
      <c r="F2147">
        <v>37.5</v>
      </c>
      <c r="G2147">
        <v>2012</v>
      </c>
    </row>
    <row r="2148" spans="1:7" x14ac:dyDescent="0.25">
      <c r="A2148" t="s">
        <v>40</v>
      </c>
      <c r="B2148" t="s">
        <v>91</v>
      </c>
      <c r="C2148" t="s">
        <v>578</v>
      </c>
      <c r="D2148">
        <v>47553</v>
      </c>
      <c r="E2148" t="s">
        <v>707</v>
      </c>
      <c r="F2148">
        <v>1278.471</v>
      </c>
      <c r="G2148">
        <v>2012</v>
      </c>
    </row>
    <row r="2149" spans="1:7" x14ac:dyDescent="0.25">
      <c r="A2149" t="s">
        <v>40</v>
      </c>
      <c r="B2149" t="s">
        <v>91</v>
      </c>
      <c r="C2149" t="s">
        <v>575</v>
      </c>
      <c r="D2149">
        <v>29058</v>
      </c>
      <c r="E2149" t="s">
        <v>708</v>
      </c>
      <c r="F2149">
        <v>9683.9879999999994</v>
      </c>
      <c r="G2149">
        <v>2013</v>
      </c>
    </row>
    <row r="2150" spans="1:7" x14ac:dyDescent="0.25">
      <c r="A2150" t="s">
        <v>40</v>
      </c>
      <c r="B2150" t="s">
        <v>91</v>
      </c>
      <c r="C2150" t="s">
        <v>574</v>
      </c>
      <c r="D2150">
        <v>36984</v>
      </c>
      <c r="E2150" t="s">
        <v>707</v>
      </c>
      <c r="F2150">
        <v>3095.9059999999999</v>
      </c>
      <c r="G2150">
        <v>2013</v>
      </c>
    </row>
    <row r="2151" spans="1:7" x14ac:dyDescent="0.25">
      <c r="A2151" t="s">
        <v>40</v>
      </c>
      <c r="B2151" t="s">
        <v>91</v>
      </c>
      <c r="C2151" t="s">
        <v>573</v>
      </c>
      <c r="D2151">
        <v>36985</v>
      </c>
      <c r="E2151" t="s">
        <v>707</v>
      </c>
      <c r="F2151">
        <v>92.897999999999996</v>
      </c>
      <c r="G2151">
        <v>2013</v>
      </c>
    </row>
    <row r="2152" spans="1:7" x14ac:dyDescent="0.25">
      <c r="A2152" t="s">
        <v>40</v>
      </c>
      <c r="B2152" t="s">
        <v>91</v>
      </c>
      <c r="C2152" t="s">
        <v>577</v>
      </c>
      <c r="D2152">
        <v>45434</v>
      </c>
      <c r="E2152" t="s">
        <v>707</v>
      </c>
      <c r="F2152">
        <v>35.700000000000003</v>
      </c>
      <c r="G2152">
        <v>2013</v>
      </c>
    </row>
    <row r="2153" spans="1:7" x14ac:dyDescent="0.25">
      <c r="A2153" t="s">
        <v>40</v>
      </c>
      <c r="B2153" t="s">
        <v>91</v>
      </c>
      <c r="C2153" t="s">
        <v>579</v>
      </c>
      <c r="D2153">
        <v>48876</v>
      </c>
      <c r="E2153" t="s">
        <v>707</v>
      </c>
      <c r="F2153">
        <v>0</v>
      </c>
      <c r="G2153">
        <v>2013</v>
      </c>
    </row>
    <row r="2154" spans="1:7" x14ac:dyDescent="0.25">
      <c r="A2154" t="s">
        <v>40</v>
      </c>
      <c r="B2154" t="s">
        <v>91</v>
      </c>
      <c r="C2154" t="s">
        <v>580</v>
      </c>
      <c r="D2154">
        <v>48877</v>
      </c>
      <c r="E2154" t="s">
        <v>707</v>
      </c>
      <c r="F2154">
        <v>148.58099999999999</v>
      </c>
      <c r="G2154">
        <v>2013</v>
      </c>
    </row>
    <row r="2155" spans="1:7" x14ac:dyDescent="0.25">
      <c r="A2155" t="s">
        <v>40</v>
      </c>
      <c r="B2155" t="s">
        <v>91</v>
      </c>
      <c r="C2155" t="s">
        <v>581</v>
      </c>
      <c r="D2155">
        <v>48878</v>
      </c>
      <c r="E2155" t="s">
        <v>707</v>
      </c>
      <c r="F2155">
        <v>3680</v>
      </c>
      <c r="G2155">
        <v>2013</v>
      </c>
    </row>
    <row r="2156" spans="1:7" x14ac:dyDescent="0.25">
      <c r="A2156" t="s">
        <v>40</v>
      </c>
      <c r="B2156" t="s">
        <v>91</v>
      </c>
      <c r="C2156" t="s">
        <v>582</v>
      </c>
      <c r="D2156">
        <v>48879</v>
      </c>
      <c r="E2156" t="s">
        <v>707</v>
      </c>
      <c r="F2156">
        <v>62.122</v>
      </c>
      <c r="G2156">
        <v>2013</v>
      </c>
    </row>
    <row r="2157" spans="1:7" x14ac:dyDescent="0.25">
      <c r="A2157" t="s">
        <v>40</v>
      </c>
      <c r="B2157" t="s">
        <v>91</v>
      </c>
      <c r="C2157" t="s">
        <v>583</v>
      </c>
      <c r="D2157">
        <v>48880</v>
      </c>
      <c r="E2157" t="s">
        <v>707</v>
      </c>
      <c r="F2157">
        <v>3416.6979999999999</v>
      </c>
      <c r="G2157">
        <v>2013</v>
      </c>
    </row>
    <row r="2158" spans="1:7" x14ac:dyDescent="0.25">
      <c r="A2158" t="s">
        <v>40</v>
      </c>
      <c r="B2158" t="s">
        <v>91</v>
      </c>
      <c r="C2158" t="s">
        <v>584</v>
      </c>
      <c r="D2158">
        <v>48881</v>
      </c>
      <c r="E2158" t="s">
        <v>707</v>
      </c>
      <c r="F2158">
        <v>21.2</v>
      </c>
      <c r="G2158">
        <v>2013</v>
      </c>
    </row>
    <row r="2159" spans="1:7" x14ac:dyDescent="0.25">
      <c r="A2159" t="s">
        <v>40</v>
      </c>
      <c r="B2159" t="s">
        <v>91</v>
      </c>
      <c r="C2159" t="s">
        <v>573</v>
      </c>
      <c r="D2159">
        <v>36985</v>
      </c>
      <c r="E2159" t="s">
        <v>707</v>
      </c>
      <c r="F2159">
        <v>92.897999999999996</v>
      </c>
      <c r="G2159">
        <v>2014</v>
      </c>
    </row>
    <row r="2160" spans="1:7" x14ac:dyDescent="0.25">
      <c r="A2160" t="s">
        <v>40</v>
      </c>
      <c r="B2160" t="s">
        <v>91</v>
      </c>
      <c r="C2160" t="s">
        <v>577</v>
      </c>
      <c r="D2160">
        <v>45434</v>
      </c>
      <c r="E2160" t="s">
        <v>707</v>
      </c>
      <c r="F2160">
        <v>50.8</v>
      </c>
      <c r="G2160">
        <v>2014</v>
      </c>
    </row>
    <row r="2161" spans="1:7" x14ac:dyDescent="0.25">
      <c r="A2161" t="s">
        <v>40</v>
      </c>
      <c r="B2161" t="s">
        <v>91</v>
      </c>
      <c r="C2161" t="s">
        <v>580</v>
      </c>
      <c r="D2161">
        <v>48877</v>
      </c>
      <c r="E2161" t="s">
        <v>708</v>
      </c>
      <c r="F2161">
        <v>544.28</v>
      </c>
      <c r="G2161">
        <v>2014</v>
      </c>
    </row>
    <row r="2162" spans="1:7" x14ac:dyDescent="0.25">
      <c r="A2162" t="s">
        <v>40</v>
      </c>
      <c r="B2162" t="s">
        <v>91</v>
      </c>
      <c r="C2162" t="s">
        <v>582</v>
      </c>
      <c r="D2162">
        <v>48879</v>
      </c>
      <c r="E2162" t="s">
        <v>707</v>
      </c>
      <c r="F2162">
        <v>99.789000000000001</v>
      </c>
      <c r="G2162">
        <v>2014</v>
      </c>
    </row>
    <row r="2163" spans="1:7" x14ac:dyDescent="0.25">
      <c r="A2163" t="s">
        <v>40</v>
      </c>
      <c r="B2163" t="s">
        <v>91</v>
      </c>
      <c r="C2163" t="s">
        <v>584</v>
      </c>
      <c r="D2163">
        <v>48881</v>
      </c>
      <c r="E2163" t="s">
        <v>707</v>
      </c>
      <c r="F2163">
        <v>202.21100000000001</v>
      </c>
      <c r="G2163">
        <v>2014</v>
      </c>
    </row>
    <row r="2164" spans="1:7" x14ac:dyDescent="0.25">
      <c r="A2164" t="s">
        <v>40</v>
      </c>
      <c r="B2164" t="s">
        <v>91</v>
      </c>
      <c r="C2164" t="s">
        <v>585</v>
      </c>
      <c r="D2164">
        <v>50666</v>
      </c>
      <c r="E2164" t="s">
        <v>707</v>
      </c>
      <c r="F2164">
        <v>68.525000000000006</v>
      </c>
      <c r="G2164">
        <v>2014</v>
      </c>
    </row>
    <row r="2165" spans="1:7" x14ac:dyDescent="0.25">
      <c r="A2165" t="s">
        <v>40</v>
      </c>
      <c r="B2165" t="s">
        <v>91</v>
      </c>
      <c r="C2165" t="s">
        <v>573</v>
      </c>
      <c r="D2165">
        <v>36985</v>
      </c>
      <c r="E2165" t="s">
        <v>707</v>
      </c>
      <c r="F2165">
        <v>39.127000000000002</v>
      </c>
      <c r="G2165">
        <v>2015</v>
      </c>
    </row>
    <row r="2166" spans="1:7" x14ac:dyDescent="0.25">
      <c r="A2166" t="s">
        <v>40</v>
      </c>
      <c r="B2166" t="s">
        <v>91</v>
      </c>
      <c r="C2166" t="s">
        <v>577</v>
      </c>
      <c r="D2166">
        <v>45434</v>
      </c>
      <c r="E2166" t="s">
        <v>707</v>
      </c>
      <c r="F2166">
        <v>34.840000000000003</v>
      </c>
      <c r="G2166">
        <v>2015</v>
      </c>
    </row>
    <row r="2167" spans="1:7" x14ac:dyDescent="0.25">
      <c r="A2167" t="s">
        <v>40</v>
      </c>
      <c r="B2167" t="s">
        <v>91</v>
      </c>
      <c r="C2167" t="s">
        <v>580</v>
      </c>
      <c r="D2167">
        <v>48877</v>
      </c>
      <c r="E2167" t="s">
        <v>708</v>
      </c>
      <c r="F2167">
        <v>167.279</v>
      </c>
      <c r="G2167">
        <v>2015</v>
      </c>
    </row>
    <row r="2168" spans="1:7" x14ac:dyDescent="0.25">
      <c r="A2168" t="s">
        <v>40</v>
      </c>
      <c r="B2168" t="s">
        <v>91</v>
      </c>
      <c r="C2168" t="s">
        <v>582</v>
      </c>
      <c r="D2168">
        <v>48879</v>
      </c>
      <c r="E2168" t="s">
        <v>707</v>
      </c>
      <c r="F2168">
        <v>99.789000000000001</v>
      </c>
      <c r="G2168">
        <v>2015</v>
      </c>
    </row>
    <row r="2169" spans="1:7" x14ac:dyDescent="0.25">
      <c r="A2169" t="s">
        <v>40</v>
      </c>
      <c r="B2169" t="s">
        <v>91</v>
      </c>
      <c r="C2169" t="s">
        <v>584</v>
      </c>
      <c r="D2169">
        <v>48881</v>
      </c>
      <c r="E2169" t="s">
        <v>707</v>
      </c>
      <c r="F2169">
        <v>35.658999999999999</v>
      </c>
      <c r="G2169">
        <v>2015</v>
      </c>
    </row>
    <row r="2170" spans="1:7" x14ac:dyDescent="0.25">
      <c r="A2170" t="s">
        <v>40</v>
      </c>
      <c r="B2170" t="s">
        <v>91</v>
      </c>
      <c r="C2170" t="s">
        <v>585</v>
      </c>
      <c r="D2170">
        <v>50666</v>
      </c>
      <c r="E2170" t="s">
        <v>707</v>
      </c>
      <c r="F2170">
        <v>251.41200000000001</v>
      </c>
      <c r="G2170">
        <v>2015</v>
      </c>
    </row>
    <row r="2171" spans="1:7" x14ac:dyDescent="0.25">
      <c r="A2171" t="s">
        <v>40</v>
      </c>
      <c r="B2171" t="s">
        <v>91</v>
      </c>
      <c r="C2171" t="s">
        <v>573</v>
      </c>
      <c r="D2171">
        <v>36985</v>
      </c>
      <c r="E2171" t="s">
        <v>707</v>
      </c>
      <c r="F2171">
        <v>2813.7460000000001</v>
      </c>
      <c r="G2171">
        <v>2016</v>
      </c>
    </row>
    <row r="2172" spans="1:7" x14ac:dyDescent="0.25">
      <c r="A2172" t="s">
        <v>40</v>
      </c>
      <c r="B2172" t="s">
        <v>91</v>
      </c>
      <c r="C2172" t="s">
        <v>580</v>
      </c>
      <c r="D2172">
        <v>48877</v>
      </c>
      <c r="E2172" t="s">
        <v>708</v>
      </c>
      <c r="F2172">
        <v>322.113</v>
      </c>
      <c r="G2172">
        <v>2016</v>
      </c>
    </row>
    <row r="2173" spans="1:7" x14ac:dyDescent="0.25">
      <c r="A2173" t="s">
        <v>40</v>
      </c>
      <c r="B2173" t="s">
        <v>91</v>
      </c>
      <c r="C2173" t="s">
        <v>582</v>
      </c>
      <c r="D2173">
        <v>48879</v>
      </c>
      <c r="E2173" t="s">
        <v>707</v>
      </c>
      <c r="F2173">
        <v>36.85</v>
      </c>
      <c r="G2173">
        <v>2016</v>
      </c>
    </row>
    <row r="2174" spans="1:7" x14ac:dyDescent="0.25">
      <c r="A2174" t="s">
        <v>40</v>
      </c>
      <c r="B2174" t="s">
        <v>91</v>
      </c>
      <c r="C2174" t="s">
        <v>584</v>
      </c>
      <c r="D2174">
        <v>48881</v>
      </c>
      <c r="E2174" t="s">
        <v>707</v>
      </c>
      <c r="F2174">
        <v>55.847999999999999</v>
      </c>
      <c r="G2174">
        <v>2016</v>
      </c>
    </row>
    <row r="2175" spans="1:7" x14ac:dyDescent="0.25">
      <c r="A2175" t="s">
        <v>40</v>
      </c>
      <c r="B2175" t="s">
        <v>91</v>
      </c>
      <c r="C2175" t="s">
        <v>585</v>
      </c>
      <c r="D2175">
        <v>50666</v>
      </c>
      <c r="E2175" t="s">
        <v>707</v>
      </c>
      <c r="F2175">
        <v>1470.848</v>
      </c>
      <c r="G2175">
        <v>2016</v>
      </c>
    </row>
    <row r="2176" spans="1:7" x14ac:dyDescent="0.25">
      <c r="A2176" t="s">
        <v>40</v>
      </c>
      <c r="B2176" t="s">
        <v>91</v>
      </c>
      <c r="C2176" t="s">
        <v>586</v>
      </c>
      <c r="D2176">
        <v>55226</v>
      </c>
      <c r="E2176" t="s">
        <v>707</v>
      </c>
      <c r="F2176">
        <v>23.85</v>
      </c>
      <c r="G2176">
        <v>2016</v>
      </c>
    </row>
    <row r="2177" spans="1:7" x14ac:dyDescent="0.25">
      <c r="A2177" t="s">
        <v>40</v>
      </c>
      <c r="B2177" t="s">
        <v>91</v>
      </c>
      <c r="C2177" t="s">
        <v>587</v>
      </c>
      <c r="D2177">
        <v>55227</v>
      </c>
      <c r="E2177" t="s">
        <v>707</v>
      </c>
      <c r="F2177">
        <v>36.85</v>
      </c>
      <c r="G2177">
        <v>2016</v>
      </c>
    </row>
    <row r="2178" spans="1:7" x14ac:dyDescent="0.25">
      <c r="A2178" t="s">
        <v>40</v>
      </c>
      <c r="B2178" t="s">
        <v>91</v>
      </c>
      <c r="C2178" t="s">
        <v>580</v>
      </c>
      <c r="D2178">
        <v>48877</v>
      </c>
      <c r="E2178" t="s">
        <v>707</v>
      </c>
      <c r="F2178">
        <v>112.527</v>
      </c>
      <c r="G2178">
        <v>2017</v>
      </c>
    </row>
    <row r="2179" spans="1:7" x14ac:dyDescent="0.25">
      <c r="A2179" t="s">
        <v>40</v>
      </c>
      <c r="B2179" t="s">
        <v>91</v>
      </c>
      <c r="C2179" t="s">
        <v>582</v>
      </c>
      <c r="D2179">
        <v>48879</v>
      </c>
      <c r="E2179" t="s">
        <v>707</v>
      </c>
      <c r="F2179">
        <v>2624.6860000000001</v>
      </c>
      <c r="G2179">
        <v>2017</v>
      </c>
    </row>
    <row r="2180" spans="1:7" x14ac:dyDescent="0.25">
      <c r="A2180" t="s">
        <v>40</v>
      </c>
      <c r="B2180" t="s">
        <v>91</v>
      </c>
      <c r="C2180" t="s">
        <v>584</v>
      </c>
      <c r="D2180">
        <v>48881</v>
      </c>
      <c r="E2180" t="s">
        <v>707</v>
      </c>
      <c r="F2180">
        <v>36.700000000000003</v>
      </c>
      <c r="G2180">
        <v>2017</v>
      </c>
    </row>
    <row r="2181" spans="1:7" x14ac:dyDescent="0.25">
      <c r="A2181" t="s">
        <v>40</v>
      </c>
      <c r="B2181" t="s">
        <v>91</v>
      </c>
      <c r="C2181" t="s">
        <v>586</v>
      </c>
      <c r="D2181">
        <v>55226</v>
      </c>
      <c r="E2181" t="s">
        <v>707</v>
      </c>
      <c r="F2181">
        <v>1007.304</v>
      </c>
      <c r="G2181">
        <v>2017</v>
      </c>
    </row>
    <row r="2182" spans="1:7" x14ac:dyDescent="0.25">
      <c r="A2182" t="s">
        <v>40</v>
      </c>
      <c r="B2182" t="s">
        <v>91</v>
      </c>
      <c r="C2182" t="s">
        <v>588</v>
      </c>
      <c r="D2182">
        <v>59093</v>
      </c>
      <c r="E2182" t="s">
        <v>707</v>
      </c>
      <c r="F2182">
        <v>131.654</v>
      </c>
      <c r="G2182">
        <v>2017</v>
      </c>
    </row>
    <row r="2183" spans="1:7" x14ac:dyDescent="0.25">
      <c r="A2183" t="s">
        <v>40</v>
      </c>
      <c r="B2183" t="s">
        <v>91</v>
      </c>
      <c r="C2183" t="s">
        <v>589</v>
      </c>
      <c r="D2183">
        <v>59097</v>
      </c>
      <c r="E2183" t="s">
        <v>707</v>
      </c>
      <c r="F2183">
        <v>36.698999999999998</v>
      </c>
      <c r="G2183">
        <v>2017</v>
      </c>
    </row>
    <row r="2184" spans="1:7" x14ac:dyDescent="0.25">
      <c r="A2184" t="s">
        <v>40</v>
      </c>
      <c r="B2184" t="s">
        <v>91</v>
      </c>
      <c r="C2184" t="s">
        <v>590</v>
      </c>
      <c r="D2184">
        <v>59098</v>
      </c>
      <c r="E2184" t="s">
        <v>707</v>
      </c>
      <c r="F2184">
        <v>36.700000000000003</v>
      </c>
      <c r="G2184">
        <v>2017</v>
      </c>
    </row>
    <row r="2185" spans="1:7" x14ac:dyDescent="0.25">
      <c r="A2185" t="s">
        <v>40</v>
      </c>
      <c r="B2185" t="s">
        <v>91</v>
      </c>
      <c r="C2185" t="s">
        <v>591</v>
      </c>
      <c r="D2185">
        <v>59099</v>
      </c>
      <c r="E2185" t="s">
        <v>708</v>
      </c>
      <c r="F2185">
        <v>837.91200000000003</v>
      </c>
      <c r="G2185">
        <v>2017</v>
      </c>
    </row>
    <row r="2186" spans="1:7" x14ac:dyDescent="0.25">
      <c r="A2186" t="s">
        <v>40</v>
      </c>
      <c r="B2186" t="s">
        <v>91</v>
      </c>
      <c r="C2186" t="s">
        <v>584</v>
      </c>
      <c r="D2186">
        <v>48881</v>
      </c>
      <c r="E2186" t="s">
        <v>707</v>
      </c>
      <c r="F2186">
        <v>1153.338</v>
      </c>
      <c r="G2186">
        <v>2018</v>
      </c>
    </row>
    <row r="2187" spans="1:7" x14ac:dyDescent="0.25">
      <c r="A2187" t="s">
        <v>40</v>
      </c>
      <c r="B2187" t="s">
        <v>91</v>
      </c>
      <c r="C2187" t="s">
        <v>589</v>
      </c>
      <c r="D2187">
        <v>59097</v>
      </c>
      <c r="E2187" t="s">
        <v>707</v>
      </c>
      <c r="F2187">
        <v>60.478999999999999</v>
      </c>
      <c r="G2187">
        <v>2018</v>
      </c>
    </row>
    <row r="2188" spans="1:7" x14ac:dyDescent="0.25">
      <c r="A2188" t="s">
        <v>40</v>
      </c>
      <c r="B2188" t="s">
        <v>91</v>
      </c>
      <c r="C2188" t="s">
        <v>591</v>
      </c>
      <c r="D2188">
        <v>59099</v>
      </c>
      <c r="E2188" t="s">
        <v>708</v>
      </c>
      <c r="F2188">
        <v>85.221000000000004</v>
      </c>
      <c r="G2188">
        <v>2018</v>
      </c>
    </row>
    <row r="2189" spans="1:7" x14ac:dyDescent="0.25">
      <c r="A2189" t="s">
        <v>40</v>
      </c>
      <c r="B2189" t="s">
        <v>91</v>
      </c>
      <c r="C2189" t="s">
        <v>443</v>
      </c>
      <c r="D2189">
        <v>61143</v>
      </c>
      <c r="E2189" t="s">
        <v>707</v>
      </c>
      <c r="F2189">
        <v>36.85</v>
      </c>
      <c r="G2189">
        <v>2018</v>
      </c>
    </row>
    <row r="2190" spans="1:7" x14ac:dyDescent="0.25">
      <c r="A2190" t="s">
        <v>40</v>
      </c>
      <c r="B2190" t="s">
        <v>91</v>
      </c>
      <c r="C2190" t="s">
        <v>435</v>
      </c>
      <c r="D2190">
        <v>61144</v>
      </c>
      <c r="E2190" t="s">
        <v>707</v>
      </c>
      <c r="F2190">
        <v>20.83</v>
      </c>
      <c r="G2190">
        <v>2018</v>
      </c>
    </row>
    <row r="2191" spans="1:7" x14ac:dyDescent="0.25">
      <c r="A2191" t="s">
        <v>40</v>
      </c>
      <c r="B2191" t="s">
        <v>91</v>
      </c>
      <c r="C2191" t="s">
        <v>592</v>
      </c>
      <c r="D2191">
        <v>61145</v>
      </c>
      <c r="E2191" t="s">
        <v>707</v>
      </c>
      <c r="F2191">
        <v>32.671999999999997</v>
      </c>
      <c r="G2191">
        <v>2018</v>
      </c>
    </row>
    <row r="2192" spans="1:7" x14ac:dyDescent="0.25">
      <c r="A2192" t="s">
        <v>41</v>
      </c>
      <c r="B2192" t="s">
        <v>92</v>
      </c>
      <c r="C2192" t="s">
        <v>593</v>
      </c>
      <c r="D2192">
        <v>15303</v>
      </c>
      <c r="E2192" t="s">
        <v>708</v>
      </c>
      <c r="F2192">
        <v>25.948</v>
      </c>
      <c r="G2192">
        <v>2006</v>
      </c>
    </row>
    <row r="2193" spans="1:7" x14ac:dyDescent="0.25">
      <c r="A2193" t="s">
        <v>41</v>
      </c>
      <c r="B2193" t="s">
        <v>92</v>
      </c>
      <c r="C2193" t="s">
        <v>594</v>
      </c>
      <c r="D2193">
        <v>22703</v>
      </c>
      <c r="E2193" t="s">
        <v>707</v>
      </c>
      <c r="F2193">
        <v>36</v>
      </c>
      <c r="G2193">
        <v>2006</v>
      </c>
    </row>
    <row r="2194" spans="1:7" x14ac:dyDescent="0.25">
      <c r="A2194" t="s">
        <v>41</v>
      </c>
      <c r="B2194" t="s">
        <v>92</v>
      </c>
      <c r="C2194" t="s">
        <v>595</v>
      </c>
      <c r="D2194">
        <v>29677</v>
      </c>
      <c r="E2194" t="s">
        <v>707</v>
      </c>
      <c r="F2194">
        <v>38.567</v>
      </c>
      <c r="G2194">
        <v>2006</v>
      </c>
    </row>
    <row r="2195" spans="1:7" x14ac:dyDescent="0.25">
      <c r="A2195" t="s">
        <v>41</v>
      </c>
      <c r="B2195" t="s">
        <v>92</v>
      </c>
      <c r="C2195" t="s">
        <v>596</v>
      </c>
      <c r="D2195">
        <v>31302</v>
      </c>
      <c r="E2195" t="s">
        <v>707</v>
      </c>
      <c r="F2195">
        <v>20.995999999999999</v>
      </c>
      <c r="G2195">
        <v>2006</v>
      </c>
    </row>
    <row r="2196" spans="1:7" x14ac:dyDescent="0.25">
      <c r="A2196" t="s">
        <v>41</v>
      </c>
      <c r="B2196" t="s">
        <v>92</v>
      </c>
      <c r="C2196" t="s">
        <v>597</v>
      </c>
      <c r="D2196">
        <v>35473</v>
      </c>
      <c r="E2196" t="s">
        <v>707</v>
      </c>
      <c r="F2196">
        <v>195.196</v>
      </c>
      <c r="G2196">
        <v>2006</v>
      </c>
    </row>
    <row r="2197" spans="1:7" x14ac:dyDescent="0.25">
      <c r="A2197" t="s">
        <v>41</v>
      </c>
      <c r="B2197" t="s">
        <v>92</v>
      </c>
      <c r="C2197" t="s">
        <v>598</v>
      </c>
      <c r="D2197">
        <v>35474</v>
      </c>
      <c r="E2197" t="s">
        <v>707</v>
      </c>
      <c r="F2197">
        <v>19.041</v>
      </c>
      <c r="G2197">
        <v>2006</v>
      </c>
    </row>
    <row r="2198" spans="1:7" x14ac:dyDescent="0.25">
      <c r="A2198" t="s">
        <v>41</v>
      </c>
      <c r="B2198" t="s">
        <v>92</v>
      </c>
      <c r="C2198" t="s">
        <v>593</v>
      </c>
      <c r="D2198">
        <v>15303</v>
      </c>
      <c r="E2198" t="s">
        <v>708</v>
      </c>
      <c r="F2198">
        <v>17.206</v>
      </c>
      <c r="G2198">
        <v>2007</v>
      </c>
    </row>
    <row r="2199" spans="1:7" x14ac:dyDescent="0.25">
      <c r="A2199" t="s">
        <v>41</v>
      </c>
      <c r="B2199" t="s">
        <v>92</v>
      </c>
      <c r="C2199" t="s">
        <v>594</v>
      </c>
      <c r="D2199">
        <v>22703</v>
      </c>
      <c r="E2199" t="s">
        <v>707</v>
      </c>
      <c r="F2199">
        <v>45.9</v>
      </c>
      <c r="G2199">
        <v>2007</v>
      </c>
    </row>
    <row r="2200" spans="1:7" x14ac:dyDescent="0.25">
      <c r="A2200" t="s">
        <v>41</v>
      </c>
      <c r="B2200" t="s">
        <v>92</v>
      </c>
      <c r="C2200" t="s">
        <v>595</v>
      </c>
      <c r="D2200">
        <v>29677</v>
      </c>
      <c r="E2200" t="s">
        <v>707</v>
      </c>
      <c r="F2200">
        <v>14.754</v>
      </c>
      <c r="G2200">
        <v>2007</v>
      </c>
    </row>
    <row r="2201" spans="1:7" x14ac:dyDescent="0.25">
      <c r="A2201" t="s">
        <v>41</v>
      </c>
      <c r="B2201" t="s">
        <v>92</v>
      </c>
      <c r="C2201" t="s">
        <v>596</v>
      </c>
      <c r="D2201">
        <v>31302</v>
      </c>
      <c r="E2201" t="s">
        <v>707</v>
      </c>
      <c r="F2201">
        <v>8.766</v>
      </c>
      <c r="G2201">
        <v>2007</v>
      </c>
    </row>
    <row r="2202" spans="1:7" x14ac:dyDescent="0.25">
      <c r="A2202" t="s">
        <v>41</v>
      </c>
      <c r="B2202" t="s">
        <v>92</v>
      </c>
      <c r="C2202" t="s">
        <v>598</v>
      </c>
      <c r="D2202">
        <v>35474</v>
      </c>
      <c r="E2202" t="s">
        <v>707</v>
      </c>
      <c r="F2202">
        <v>11.526</v>
      </c>
      <c r="G2202">
        <v>2007</v>
      </c>
    </row>
    <row r="2203" spans="1:7" x14ac:dyDescent="0.25">
      <c r="A2203" t="s">
        <v>41</v>
      </c>
      <c r="B2203" t="s">
        <v>92</v>
      </c>
      <c r="C2203" t="s">
        <v>593</v>
      </c>
      <c r="D2203">
        <v>15303</v>
      </c>
      <c r="E2203" t="s">
        <v>708</v>
      </c>
      <c r="F2203">
        <v>21.992000000000001</v>
      </c>
      <c r="G2203">
        <v>2008</v>
      </c>
    </row>
    <row r="2204" spans="1:7" x14ac:dyDescent="0.25">
      <c r="A2204" t="s">
        <v>41</v>
      </c>
      <c r="B2204" t="s">
        <v>92</v>
      </c>
      <c r="C2204" t="s">
        <v>596</v>
      </c>
      <c r="D2204">
        <v>31302</v>
      </c>
      <c r="E2204" t="s">
        <v>707</v>
      </c>
      <c r="F2204">
        <v>15.513999999999999</v>
      </c>
      <c r="G2204">
        <v>2008</v>
      </c>
    </row>
    <row r="2205" spans="1:7" x14ac:dyDescent="0.25">
      <c r="A2205" t="s">
        <v>41</v>
      </c>
      <c r="B2205" t="s">
        <v>92</v>
      </c>
      <c r="C2205" t="s">
        <v>598</v>
      </c>
      <c r="D2205">
        <v>35474</v>
      </c>
      <c r="E2205" t="s">
        <v>707</v>
      </c>
      <c r="F2205">
        <v>16.295000000000002</v>
      </c>
      <c r="G2205">
        <v>2008</v>
      </c>
    </row>
    <row r="2206" spans="1:7" x14ac:dyDescent="0.25">
      <c r="A2206" t="s">
        <v>41</v>
      </c>
      <c r="B2206" t="s">
        <v>92</v>
      </c>
      <c r="C2206" t="s">
        <v>599</v>
      </c>
      <c r="D2206">
        <v>38082</v>
      </c>
      <c r="E2206" t="s">
        <v>707</v>
      </c>
      <c r="F2206">
        <v>1.3819999999999999</v>
      </c>
      <c r="G2206">
        <v>2008</v>
      </c>
    </row>
    <row r="2207" spans="1:7" x14ac:dyDescent="0.25">
      <c r="A2207" t="s">
        <v>41</v>
      </c>
      <c r="B2207" t="s">
        <v>92</v>
      </c>
      <c r="C2207" t="s">
        <v>600</v>
      </c>
      <c r="D2207">
        <v>38083</v>
      </c>
      <c r="E2207" t="s">
        <v>707</v>
      </c>
      <c r="F2207">
        <v>21.132000000000001</v>
      </c>
      <c r="G2207">
        <v>2008</v>
      </c>
    </row>
    <row r="2208" spans="1:7" x14ac:dyDescent="0.25">
      <c r="A2208" t="s">
        <v>41</v>
      </c>
      <c r="B2208" t="s">
        <v>92</v>
      </c>
      <c r="C2208" t="s">
        <v>593</v>
      </c>
      <c r="D2208">
        <v>15303</v>
      </c>
      <c r="E2208" t="s">
        <v>708</v>
      </c>
      <c r="F2208">
        <v>18.814</v>
      </c>
      <c r="G2208">
        <v>2009</v>
      </c>
    </row>
    <row r="2209" spans="1:7" x14ac:dyDescent="0.25">
      <c r="A2209" t="s">
        <v>41</v>
      </c>
      <c r="B2209" t="s">
        <v>92</v>
      </c>
      <c r="C2209" t="s">
        <v>596</v>
      </c>
      <c r="D2209">
        <v>31302</v>
      </c>
      <c r="E2209" t="s">
        <v>707</v>
      </c>
      <c r="F2209">
        <v>16.027999999999999</v>
      </c>
      <c r="G2209">
        <v>2009</v>
      </c>
    </row>
    <row r="2210" spans="1:7" x14ac:dyDescent="0.25">
      <c r="A2210" t="s">
        <v>41</v>
      </c>
      <c r="B2210" t="s">
        <v>92</v>
      </c>
      <c r="C2210" t="s">
        <v>599</v>
      </c>
      <c r="D2210">
        <v>38082</v>
      </c>
      <c r="E2210" t="s">
        <v>707</v>
      </c>
      <c r="F2210">
        <v>8.1080000000000005</v>
      </c>
      <c r="G2210">
        <v>2009</v>
      </c>
    </row>
    <row r="2211" spans="1:7" x14ac:dyDescent="0.25">
      <c r="A2211" t="s">
        <v>41</v>
      </c>
      <c r="B2211" t="s">
        <v>92</v>
      </c>
      <c r="C2211" t="s">
        <v>600</v>
      </c>
      <c r="D2211">
        <v>38083</v>
      </c>
      <c r="E2211" t="s">
        <v>707</v>
      </c>
      <c r="F2211">
        <v>20.553000000000001</v>
      </c>
      <c r="G2211">
        <v>2009</v>
      </c>
    </row>
    <row r="2212" spans="1:7" x14ac:dyDescent="0.25">
      <c r="A2212" t="s">
        <v>41</v>
      </c>
      <c r="B2212" t="s">
        <v>92</v>
      </c>
      <c r="C2212" t="s">
        <v>601</v>
      </c>
      <c r="D2212">
        <v>42695</v>
      </c>
      <c r="E2212" t="s">
        <v>707</v>
      </c>
      <c r="F2212">
        <v>1280.0119999999999</v>
      </c>
      <c r="G2212">
        <v>2009</v>
      </c>
    </row>
    <row r="2213" spans="1:7" x14ac:dyDescent="0.25">
      <c r="A2213" t="s">
        <v>41</v>
      </c>
      <c r="B2213" t="s">
        <v>92</v>
      </c>
      <c r="C2213" t="s">
        <v>602</v>
      </c>
      <c r="D2213">
        <v>42696</v>
      </c>
      <c r="E2213" t="s">
        <v>707</v>
      </c>
      <c r="F2213">
        <v>59.151000000000003</v>
      </c>
      <c r="G2213">
        <v>2009</v>
      </c>
    </row>
    <row r="2214" spans="1:7" x14ac:dyDescent="0.25">
      <c r="A2214" t="s">
        <v>41</v>
      </c>
      <c r="B2214" t="s">
        <v>92</v>
      </c>
      <c r="C2214" t="s">
        <v>603</v>
      </c>
      <c r="D2214">
        <v>42697</v>
      </c>
      <c r="E2214" t="s">
        <v>707</v>
      </c>
      <c r="F2214">
        <v>1616.39</v>
      </c>
      <c r="G2214">
        <v>2009</v>
      </c>
    </row>
    <row r="2215" spans="1:7" x14ac:dyDescent="0.25">
      <c r="A2215" t="s">
        <v>41</v>
      </c>
      <c r="B2215" t="s">
        <v>92</v>
      </c>
      <c r="C2215" t="s">
        <v>593</v>
      </c>
      <c r="D2215">
        <v>15303</v>
      </c>
      <c r="E2215" t="s">
        <v>708</v>
      </c>
      <c r="F2215">
        <v>18.814</v>
      </c>
      <c r="G2215">
        <v>2010</v>
      </c>
    </row>
    <row r="2216" spans="1:7" x14ac:dyDescent="0.25">
      <c r="A2216" t="s">
        <v>41</v>
      </c>
      <c r="B2216" t="s">
        <v>92</v>
      </c>
      <c r="C2216" t="s">
        <v>596</v>
      </c>
      <c r="D2216">
        <v>31302</v>
      </c>
      <c r="E2216" t="s">
        <v>707</v>
      </c>
      <c r="F2216">
        <v>16.675999999999998</v>
      </c>
      <c r="G2216">
        <v>2010</v>
      </c>
    </row>
    <row r="2217" spans="1:7" x14ac:dyDescent="0.25">
      <c r="A2217" t="s">
        <v>41</v>
      </c>
      <c r="B2217" t="s">
        <v>92</v>
      </c>
      <c r="C2217" t="s">
        <v>597</v>
      </c>
      <c r="D2217">
        <v>35473</v>
      </c>
      <c r="E2217" t="s">
        <v>707</v>
      </c>
      <c r="F2217">
        <v>18.553999999999998</v>
      </c>
      <c r="G2217">
        <v>2010</v>
      </c>
    </row>
    <row r="2218" spans="1:7" x14ac:dyDescent="0.25">
      <c r="A2218" t="s">
        <v>41</v>
      </c>
      <c r="B2218" t="s">
        <v>92</v>
      </c>
      <c r="C2218" t="s">
        <v>599</v>
      </c>
      <c r="D2218">
        <v>38082</v>
      </c>
      <c r="E2218" t="s">
        <v>707</v>
      </c>
      <c r="F2218">
        <v>10.378</v>
      </c>
      <c r="G2218">
        <v>2010</v>
      </c>
    </row>
    <row r="2219" spans="1:7" x14ac:dyDescent="0.25">
      <c r="A2219" t="s">
        <v>41</v>
      </c>
      <c r="B2219" t="s">
        <v>92</v>
      </c>
      <c r="C2219" t="s">
        <v>600</v>
      </c>
      <c r="D2219">
        <v>38083</v>
      </c>
      <c r="E2219" t="s">
        <v>707</v>
      </c>
      <c r="F2219">
        <v>19.949000000000002</v>
      </c>
      <c r="G2219">
        <v>2010</v>
      </c>
    </row>
    <row r="2220" spans="1:7" x14ac:dyDescent="0.25">
      <c r="A2220" t="s">
        <v>41</v>
      </c>
      <c r="B2220" t="s">
        <v>92</v>
      </c>
      <c r="C2220" t="s">
        <v>593</v>
      </c>
      <c r="D2220">
        <v>15303</v>
      </c>
      <c r="E2220" t="s">
        <v>708</v>
      </c>
      <c r="F2220">
        <v>36.228999999999999</v>
      </c>
      <c r="G2220">
        <v>2011</v>
      </c>
    </row>
    <row r="2221" spans="1:7" x14ac:dyDescent="0.25">
      <c r="A2221" t="s">
        <v>41</v>
      </c>
      <c r="B2221" t="s">
        <v>92</v>
      </c>
      <c r="C2221" t="s">
        <v>596</v>
      </c>
      <c r="D2221">
        <v>31302</v>
      </c>
      <c r="E2221" t="s">
        <v>707</v>
      </c>
      <c r="F2221">
        <v>17.716000000000001</v>
      </c>
      <c r="G2221">
        <v>2011</v>
      </c>
    </row>
    <row r="2222" spans="1:7" x14ac:dyDescent="0.25">
      <c r="A2222" t="s">
        <v>41</v>
      </c>
      <c r="B2222" t="s">
        <v>92</v>
      </c>
      <c r="C2222" t="s">
        <v>600</v>
      </c>
      <c r="D2222">
        <v>38083</v>
      </c>
      <c r="E2222" t="s">
        <v>707</v>
      </c>
      <c r="F2222">
        <v>24.748000000000001</v>
      </c>
      <c r="G2222">
        <v>2011</v>
      </c>
    </row>
    <row r="2223" spans="1:7" x14ac:dyDescent="0.25">
      <c r="A2223" t="s">
        <v>41</v>
      </c>
      <c r="B2223" t="s">
        <v>92</v>
      </c>
      <c r="C2223" t="s">
        <v>604</v>
      </c>
      <c r="D2223">
        <v>46122</v>
      </c>
      <c r="E2223" t="s">
        <v>707</v>
      </c>
      <c r="F2223">
        <v>13.782999999999999</v>
      </c>
      <c r="G2223">
        <v>2011</v>
      </c>
    </row>
    <row r="2224" spans="1:7" x14ac:dyDescent="0.25">
      <c r="A2224" t="s">
        <v>41</v>
      </c>
      <c r="B2224" t="s">
        <v>92</v>
      </c>
      <c r="C2224" t="s">
        <v>605</v>
      </c>
      <c r="D2224">
        <v>46123</v>
      </c>
      <c r="E2224" t="s">
        <v>707</v>
      </c>
      <c r="F2224">
        <v>4.2939999999999996</v>
      </c>
      <c r="G2224">
        <v>2011</v>
      </c>
    </row>
    <row r="2225" spans="1:7" x14ac:dyDescent="0.25">
      <c r="A2225" t="s">
        <v>41</v>
      </c>
      <c r="B2225" t="s">
        <v>92</v>
      </c>
      <c r="C2225" t="s">
        <v>593</v>
      </c>
      <c r="D2225">
        <v>15303</v>
      </c>
      <c r="E2225" t="s">
        <v>708</v>
      </c>
      <c r="F2225">
        <v>32.588999999999999</v>
      </c>
      <c r="G2225">
        <v>2012</v>
      </c>
    </row>
    <row r="2226" spans="1:7" x14ac:dyDescent="0.25">
      <c r="A2226" t="s">
        <v>41</v>
      </c>
      <c r="B2226" t="s">
        <v>92</v>
      </c>
      <c r="C2226" t="s">
        <v>596</v>
      </c>
      <c r="D2226">
        <v>31302</v>
      </c>
      <c r="E2226" t="s">
        <v>707</v>
      </c>
      <c r="F2226">
        <v>17.34</v>
      </c>
      <c r="G2226">
        <v>2012</v>
      </c>
    </row>
    <row r="2227" spans="1:7" x14ac:dyDescent="0.25">
      <c r="A2227" t="s">
        <v>41</v>
      </c>
      <c r="B2227" t="s">
        <v>92</v>
      </c>
      <c r="C2227" t="s">
        <v>600</v>
      </c>
      <c r="D2227">
        <v>38083</v>
      </c>
      <c r="E2227" t="s">
        <v>707</v>
      </c>
      <c r="F2227">
        <v>38.999000000000002</v>
      </c>
      <c r="G2227">
        <v>2012</v>
      </c>
    </row>
    <row r="2228" spans="1:7" x14ac:dyDescent="0.25">
      <c r="A2228" t="s">
        <v>41</v>
      </c>
      <c r="B2228" t="s">
        <v>92</v>
      </c>
      <c r="C2228" t="s">
        <v>605</v>
      </c>
      <c r="D2228">
        <v>46123</v>
      </c>
      <c r="E2228" t="s">
        <v>707</v>
      </c>
      <c r="F2228">
        <v>5.1420000000000003</v>
      </c>
      <c r="G2228">
        <v>2012</v>
      </c>
    </row>
    <row r="2229" spans="1:7" x14ac:dyDescent="0.25">
      <c r="A2229" t="s">
        <v>41</v>
      </c>
      <c r="B2229" t="s">
        <v>92</v>
      </c>
      <c r="C2229" t="s">
        <v>606</v>
      </c>
      <c r="D2229">
        <v>47882</v>
      </c>
      <c r="E2229" t="s">
        <v>707</v>
      </c>
      <c r="F2229">
        <v>28.696000000000002</v>
      </c>
      <c r="G2229">
        <v>2012</v>
      </c>
    </row>
    <row r="2230" spans="1:7" x14ac:dyDescent="0.25">
      <c r="A2230" t="s">
        <v>42</v>
      </c>
      <c r="B2230" t="s">
        <v>93</v>
      </c>
      <c r="C2230" t="s">
        <v>607</v>
      </c>
      <c r="D2230">
        <v>27419</v>
      </c>
      <c r="E2230" t="s">
        <v>707</v>
      </c>
      <c r="F2230">
        <v>10165.319</v>
      </c>
      <c r="G2230">
        <v>2006</v>
      </c>
    </row>
    <row r="2231" spans="1:7" x14ac:dyDescent="0.25">
      <c r="A2231" t="s">
        <v>42</v>
      </c>
      <c r="B2231" t="s">
        <v>93</v>
      </c>
      <c r="C2231" t="s">
        <v>608</v>
      </c>
      <c r="D2231">
        <v>27420</v>
      </c>
      <c r="E2231" t="s">
        <v>708</v>
      </c>
      <c r="F2231">
        <v>229.94200000000001</v>
      </c>
      <c r="G2231">
        <v>2006</v>
      </c>
    </row>
    <row r="2232" spans="1:7" x14ac:dyDescent="0.25">
      <c r="A2232" t="s">
        <v>42</v>
      </c>
      <c r="B2232" t="s">
        <v>93</v>
      </c>
      <c r="C2232" t="s">
        <v>609</v>
      </c>
      <c r="D2232">
        <v>27421</v>
      </c>
      <c r="E2232" t="s">
        <v>707</v>
      </c>
      <c r="F2232">
        <v>40.137</v>
      </c>
      <c r="G2232">
        <v>2006</v>
      </c>
    </row>
    <row r="2233" spans="1:7" x14ac:dyDescent="0.25">
      <c r="A2233" t="s">
        <v>42</v>
      </c>
      <c r="B2233" t="s">
        <v>93</v>
      </c>
      <c r="C2233" t="s">
        <v>610</v>
      </c>
      <c r="D2233">
        <v>30853</v>
      </c>
      <c r="E2233" t="s">
        <v>707</v>
      </c>
      <c r="F2233">
        <v>36.768000000000001</v>
      </c>
      <c r="G2233">
        <v>2006</v>
      </c>
    </row>
    <row r="2234" spans="1:7" x14ac:dyDescent="0.25">
      <c r="A2234" t="s">
        <v>42</v>
      </c>
      <c r="B2234" t="s">
        <v>93</v>
      </c>
      <c r="C2234" t="s">
        <v>611</v>
      </c>
      <c r="D2234">
        <v>33069</v>
      </c>
      <c r="E2234" t="s">
        <v>707</v>
      </c>
      <c r="F2234">
        <v>38.526000000000003</v>
      </c>
      <c r="G2234">
        <v>2006</v>
      </c>
    </row>
    <row r="2235" spans="1:7" x14ac:dyDescent="0.25">
      <c r="A2235" t="s">
        <v>42</v>
      </c>
      <c r="B2235" t="s">
        <v>93</v>
      </c>
      <c r="C2235" t="s">
        <v>612</v>
      </c>
      <c r="D2235">
        <v>33070</v>
      </c>
      <c r="E2235" t="s">
        <v>707</v>
      </c>
      <c r="F2235">
        <v>5.524</v>
      </c>
      <c r="G2235">
        <v>2006</v>
      </c>
    </row>
    <row r="2236" spans="1:7" x14ac:dyDescent="0.25">
      <c r="A2236" t="s">
        <v>42</v>
      </c>
      <c r="B2236" t="s">
        <v>93</v>
      </c>
      <c r="C2236" t="s">
        <v>608</v>
      </c>
      <c r="D2236">
        <v>27420</v>
      </c>
      <c r="E2236" t="s">
        <v>708</v>
      </c>
      <c r="F2236">
        <v>206.11600000000001</v>
      </c>
      <c r="G2236">
        <v>2007</v>
      </c>
    </row>
    <row r="2237" spans="1:7" x14ac:dyDescent="0.25">
      <c r="A2237" t="s">
        <v>42</v>
      </c>
      <c r="B2237" t="s">
        <v>93</v>
      </c>
      <c r="C2237" t="s">
        <v>609</v>
      </c>
      <c r="D2237">
        <v>27421</v>
      </c>
      <c r="E2237" t="s">
        <v>707</v>
      </c>
      <c r="F2237">
        <v>110.935</v>
      </c>
      <c r="G2237">
        <v>2007</v>
      </c>
    </row>
    <row r="2238" spans="1:7" x14ac:dyDescent="0.25">
      <c r="A2238" t="s">
        <v>42</v>
      </c>
      <c r="B2238" t="s">
        <v>93</v>
      </c>
      <c r="C2238" t="s">
        <v>610</v>
      </c>
      <c r="D2238">
        <v>30853</v>
      </c>
      <c r="E2238" t="s">
        <v>707</v>
      </c>
      <c r="F2238">
        <v>92.42</v>
      </c>
      <c r="G2238">
        <v>2007</v>
      </c>
    </row>
    <row r="2239" spans="1:7" x14ac:dyDescent="0.25">
      <c r="A2239" t="s">
        <v>42</v>
      </c>
      <c r="B2239" t="s">
        <v>93</v>
      </c>
      <c r="C2239" t="s">
        <v>611</v>
      </c>
      <c r="D2239">
        <v>33069</v>
      </c>
      <c r="E2239" t="s">
        <v>707</v>
      </c>
      <c r="F2239">
        <v>27.396999999999998</v>
      </c>
      <c r="G2239">
        <v>2007</v>
      </c>
    </row>
    <row r="2240" spans="1:7" x14ac:dyDescent="0.25">
      <c r="A2240" t="s">
        <v>42</v>
      </c>
      <c r="B2240" t="s">
        <v>93</v>
      </c>
      <c r="C2240" t="s">
        <v>612</v>
      </c>
      <c r="D2240">
        <v>33070</v>
      </c>
      <c r="E2240" t="s">
        <v>707</v>
      </c>
      <c r="F2240">
        <v>218.98500000000001</v>
      </c>
      <c r="G2240">
        <v>2007</v>
      </c>
    </row>
    <row r="2241" spans="1:7" x14ac:dyDescent="0.25">
      <c r="A2241" t="s">
        <v>42</v>
      </c>
      <c r="B2241" t="s">
        <v>93</v>
      </c>
      <c r="C2241" t="s">
        <v>608</v>
      </c>
      <c r="D2241">
        <v>27420</v>
      </c>
      <c r="E2241" t="s">
        <v>708</v>
      </c>
      <c r="F2241">
        <v>48.381999999999998</v>
      </c>
      <c r="G2241">
        <v>2008</v>
      </c>
    </row>
    <row r="2242" spans="1:7" x14ac:dyDescent="0.25">
      <c r="A2242" t="s">
        <v>42</v>
      </c>
      <c r="B2242" t="s">
        <v>93</v>
      </c>
      <c r="C2242" t="s">
        <v>609</v>
      </c>
      <c r="D2242">
        <v>27421</v>
      </c>
      <c r="E2242" t="s">
        <v>707</v>
      </c>
      <c r="F2242">
        <v>40.701000000000001</v>
      </c>
      <c r="G2242">
        <v>2008</v>
      </c>
    </row>
    <row r="2243" spans="1:7" x14ac:dyDescent="0.25">
      <c r="A2243" t="s">
        <v>42</v>
      </c>
      <c r="B2243" t="s">
        <v>93</v>
      </c>
      <c r="C2243" t="s">
        <v>610</v>
      </c>
      <c r="D2243">
        <v>30853</v>
      </c>
      <c r="E2243" t="s">
        <v>707</v>
      </c>
      <c r="F2243">
        <v>52.052</v>
      </c>
      <c r="G2243">
        <v>2008</v>
      </c>
    </row>
    <row r="2244" spans="1:7" x14ac:dyDescent="0.25">
      <c r="A2244" t="s">
        <v>42</v>
      </c>
      <c r="B2244" t="s">
        <v>93</v>
      </c>
      <c r="C2244" t="s">
        <v>612</v>
      </c>
      <c r="D2244">
        <v>33070</v>
      </c>
      <c r="E2244" t="s">
        <v>707</v>
      </c>
      <c r="F2244">
        <v>28.713000000000001</v>
      </c>
      <c r="G2244">
        <v>2008</v>
      </c>
    </row>
    <row r="2245" spans="1:7" x14ac:dyDescent="0.25">
      <c r="A2245" t="s">
        <v>42</v>
      </c>
      <c r="B2245" t="s">
        <v>93</v>
      </c>
      <c r="C2245" t="s">
        <v>608</v>
      </c>
      <c r="D2245">
        <v>27420</v>
      </c>
      <c r="E2245" t="s">
        <v>708</v>
      </c>
      <c r="F2245">
        <v>54.043999999999997</v>
      </c>
      <c r="G2245">
        <v>2009</v>
      </c>
    </row>
    <row r="2246" spans="1:7" x14ac:dyDescent="0.25">
      <c r="A2246" t="s">
        <v>42</v>
      </c>
      <c r="B2246" t="s">
        <v>93</v>
      </c>
      <c r="C2246" t="s">
        <v>609</v>
      </c>
      <c r="D2246">
        <v>27421</v>
      </c>
      <c r="E2246" t="s">
        <v>707</v>
      </c>
      <c r="F2246">
        <v>48.933999999999997</v>
      </c>
      <c r="G2246">
        <v>2009</v>
      </c>
    </row>
    <row r="2247" spans="1:7" x14ac:dyDescent="0.25">
      <c r="A2247" t="s">
        <v>42</v>
      </c>
      <c r="B2247" t="s">
        <v>93</v>
      </c>
      <c r="C2247" t="s">
        <v>610</v>
      </c>
      <c r="D2247">
        <v>30853</v>
      </c>
      <c r="E2247" t="s">
        <v>707</v>
      </c>
      <c r="F2247">
        <v>45.689</v>
      </c>
      <c r="G2247">
        <v>2009</v>
      </c>
    </row>
    <row r="2248" spans="1:7" x14ac:dyDescent="0.25">
      <c r="A2248" t="s">
        <v>42</v>
      </c>
      <c r="B2248" t="s">
        <v>93</v>
      </c>
      <c r="C2248" t="s">
        <v>612</v>
      </c>
      <c r="D2248">
        <v>33070</v>
      </c>
      <c r="E2248" t="s">
        <v>707</v>
      </c>
      <c r="F2248">
        <v>32.173999999999999</v>
      </c>
      <c r="G2248">
        <v>2009</v>
      </c>
    </row>
    <row r="2249" spans="1:7" x14ac:dyDescent="0.25">
      <c r="A2249" t="s">
        <v>42</v>
      </c>
      <c r="B2249" t="s">
        <v>93</v>
      </c>
      <c r="C2249" t="s">
        <v>608</v>
      </c>
      <c r="D2249">
        <v>27420</v>
      </c>
      <c r="E2249" t="s">
        <v>708</v>
      </c>
      <c r="F2249">
        <v>57.991</v>
      </c>
      <c r="G2249">
        <v>2010</v>
      </c>
    </row>
    <row r="2250" spans="1:7" x14ac:dyDescent="0.25">
      <c r="A2250" t="s">
        <v>42</v>
      </c>
      <c r="B2250" t="s">
        <v>93</v>
      </c>
      <c r="C2250" t="s">
        <v>609</v>
      </c>
      <c r="D2250">
        <v>27421</v>
      </c>
      <c r="E2250" t="s">
        <v>707</v>
      </c>
      <c r="F2250">
        <v>51.529000000000003</v>
      </c>
      <c r="G2250">
        <v>2010</v>
      </c>
    </row>
    <row r="2251" spans="1:7" x14ac:dyDescent="0.25">
      <c r="A2251" t="s">
        <v>42</v>
      </c>
      <c r="B2251" t="s">
        <v>93</v>
      </c>
      <c r="C2251" t="s">
        <v>610</v>
      </c>
      <c r="D2251">
        <v>30853</v>
      </c>
      <c r="E2251" t="s">
        <v>707</v>
      </c>
      <c r="F2251">
        <v>61.3</v>
      </c>
      <c r="G2251">
        <v>2010</v>
      </c>
    </row>
    <row r="2252" spans="1:7" x14ac:dyDescent="0.25">
      <c r="A2252" t="s">
        <v>42</v>
      </c>
      <c r="B2252" t="s">
        <v>93</v>
      </c>
      <c r="C2252" t="s">
        <v>612</v>
      </c>
      <c r="D2252">
        <v>33070</v>
      </c>
      <c r="E2252" t="s">
        <v>707</v>
      </c>
      <c r="F2252">
        <v>41.106999999999999</v>
      </c>
      <c r="G2252">
        <v>2010</v>
      </c>
    </row>
    <row r="2253" spans="1:7" x14ac:dyDescent="0.25">
      <c r="A2253" t="s">
        <v>42</v>
      </c>
      <c r="B2253" t="s">
        <v>93</v>
      </c>
      <c r="C2253" t="s">
        <v>608</v>
      </c>
      <c r="D2253">
        <v>27420</v>
      </c>
      <c r="E2253" t="s">
        <v>708</v>
      </c>
      <c r="F2253">
        <v>30.298999999999999</v>
      </c>
      <c r="G2253">
        <v>2011</v>
      </c>
    </row>
    <row r="2254" spans="1:7" x14ac:dyDescent="0.25">
      <c r="A2254" t="s">
        <v>42</v>
      </c>
      <c r="B2254" t="s">
        <v>93</v>
      </c>
      <c r="C2254" t="s">
        <v>609</v>
      </c>
      <c r="D2254">
        <v>27421</v>
      </c>
      <c r="E2254" t="s">
        <v>707</v>
      </c>
      <c r="F2254">
        <v>54.259</v>
      </c>
      <c r="G2254">
        <v>2011</v>
      </c>
    </row>
    <row r="2255" spans="1:7" x14ac:dyDescent="0.25">
      <c r="A2255" t="s">
        <v>42</v>
      </c>
      <c r="B2255" t="s">
        <v>93</v>
      </c>
      <c r="C2255" t="s">
        <v>610</v>
      </c>
      <c r="D2255">
        <v>30853</v>
      </c>
      <c r="E2255" t="s">
        <v>707</v>
      </c>
      <c r="F2255">
        <v>54.613</v>
      </c>
      <c r="G2255">
        <v>2011</v>
      </c>
    </row>
    <row r="2256" spans="1:7" x14ac:dyDescent="0.25">
      <c r="A2256" t="s">
        <v>42</v>
      </c>
      <c r="B2256" t="s">
        <v>93</v>
      </c>
      <c r="C2256" t="s">
        <v>612</v>
      </c>
      <c r="D2256">
        <v>33070</v>
      </c>
      <c r="E2256" t="s">
        <v>707</v>
      </c>
      <c r="F2256">
        <v>41.271999999999998</v>
      </c>
      <c r="G2256">
        <v>2011</v>
      </c>
    </row>
    <row r="2257" spans="1:7" x14ac:dyDescent="0.25">
      <c r="A2257" t="s">
        <v>42</v>
      </c>
      <c r="B2257" t="s">
        <v>93</v>
      </c>
      <c r="C2257" t="s">
        <v>608</v>
      </c>
      <c r="D2257">
        <v>27420</v>
      </c>
      <c r="E2257" t="s">
        <v>708</v>
      </c>
      <c r="F2257">
        <v>30.420999999999999</v>
      </c>
      <c r="G2257">
        <v>2012</v>
      </c>
    </row>
    <row r="2258" spans="1:7" x14ac:dyDescent="0.25">
      <c r="A2258" t="s">
        <v>42</v>
      </c>
      <c r="B2258" t="s">
        <v>93</v>
      </c>
      <c r="C2258" t="s">
        <v>609</v>
      </c>
      <c r="D2258">
        <v>27421</v>
      </c>
      <c r="E2258" t="s">
        <v>707</v>
      </c>
      <c r="F2258">
        <v>53.444000000000003</v>
      </c>
      <c r="G2258">
        <v>2012</v>
      </c>
    </row>
    <row r="2259" spans="1:7" x14ac:dyDescent="0.25">
      <c r="A2259" t="s">
        <v>42</v>
      </c>
      <c r="B2259" t="s">
        <v>93</v>
      </c>
      <c r="C2259" t="s">
        <v>610</v>
      </c>
      <c r="D2259">
        <v>30853</v>
      </c>
      <c r="E2259" t="s">
        <v>707</v>
      </c>
      <c r="F2259">
        <v>67.872</v>
      </c>
      <c r="G2259">
        <v>2012</v>
      </c>
    </row>
    <row r="2260" spans="1:7" x14ac:dyDescent="0.25">
      <c r="A2260" t="s">
        <v>42</v>
      </c>
      <c r="B2260" t="s">
        <v>93</v>
      </c>
      <c r="C2260" t="s">
        <v>612</v>
      </c>
      <c r="D2260">
        <v>33070</v>
      </c>
      <c r="E2260" t="s">
        <v>707</v>
      </c>
      <c r="F2260">
        <v>46.045000000000002</v>
      </c>
      <c r="G2260">
        <v>2012</v>
      </c>
    </row>
    <row r="2261" spans="1:7" x14ac:dyDescent="0.25">
      <c r="A2261" t="s">
        <v>42</v>
      </c>
      <c r="B2261" t="s">
        <v>93</v>
      </c>
      <c r="C2261" t="s">
        <v>608</v>
      </c>
      <c r="D2261">
        <v>27420</v>
      </c>
      <c r="E2261" t="s">
        <v>708</v>
      </c>
      <c r="F2261">
        <v>38.274000000000001</v>
      </c>
      <c r="G2261">
        <v>2013</v>
      </c>
    </row>
    <row r="2262" spans="1:7" x14ac:dyDescent="0.25">
      <c r="A2262" t="s">
        <v>42</v>
      </c>
      <c r="B2262" t="s">
        <v>93</v>
      </c>
      <c r="C2262" t="s">
        <v>609</v>
      </c>
      <c r="D2262">
        <v>27421</v>
      </c>
      <c r="E2262" t="s">
        <v>707</v>
      </c>
      <c r="F2262">
        <v>58.183</v>
      </c>
      <c r="G2262">
        <v>2013</v>
      </c>
    </row>
    <row r="2263" spans="1:7" x14ac:dyDescent="0.25">
      <c r="A2263" t="s">
        <v>42</v>
      </c>
      <c r="B2263" t="s">
        <v>93</v>
      </c>
      <c r="C2263" t="s">
        <v>610</v>
      </c>
      <c r="D2263">
        <v>30853</v>
      </c>
      <c r="E2263" t="s">
        <v>707</v>
      </c>
      <c r="F2263">
        <v>57.106000000000002</v>
      </c>
      <c r="G2263">
        <v>2013</v>
      </c>
    </row>
    <row r="2264" spans="1:7" x14ac:dyDescent="0.25">
      <c r="A2264" t="s">
        <v>42</v>
      </c>
      <c r="B2264" t="s">
        <v>93</v>
      </c>
      <c r="C2264" t="s">
        <v>612</v>
      </c>
      <c r="D2264">
        <v>33070</v>
      </c>
      <c r="E2264" t="s">
        <v>707</v>
      </c>
      <c r="F2264">
        <v>50.841000000000001</v>
      </c>
      <c r="G2264">
        <v>2013</v>
      </c>
    </row>
    <row r="2265" spans="1:7" x14ac:dyDescent="0.25">
      <c r="A2265" t="s">
        <v>42</v>
      </c>
      <c r="B2265" t="s">
        <v>93</v>
      </c>
      <c r="C2265" t="s">
        <v>608</v>
      </c>
      <c r="D2265">
        <v>27420</v>
      </c>
      <c r="E2265" t="s">
        <v>708</v>
      </c>
      <c r="F2265">
        <v>36.686999999999998</v>
      </c>
      <c r="G2265">
        <v>2014</v>
      </c>
    </row>
    <row r="2266" spans="1:7" x14ac:dyDescent="0.25">
      <c r="A2266" t="s">
        <v>42</v>
      </c>
      <c r="B2266" t="s">
        <v>93</v>
      </c>
      <c r="C2266" t="s">
        <v>609</v>
      </c>
      <c r="D2266">
        <v>27421</v>
      </c>
      <c r="E2266" t="s">
        <v>707</v>
      </c>
      <c r="F2266">
        <v>62.247999999999998</v>
      </c>
      <c r="G2266">
        <v>2014</v>
      </c>
    </row>
    <row r="2267" spans="1:7" x14ac:dyDescent="0.25">
      <c r="A2267" t="s">
        <v>42</v>
      </c>
      <c r="B2267" t="s">
        <v>93</v>
      </c>
      <c r="C2267" t="s">
        <v>610</v>
      </c>
      <c r="D2267">
        <v>30853</v>
      </c>
      <c r="E2267" t="s">
        <v>707</v>
      </c>
      <c r="F2267">
        <v>53.984999999999999</v>
      </c>
      <c r="G2267">
        <v>2014</v>
      </c>
    </row>
    <row r="2268" spans="1:7" x14ac:dyDescent="0.25">
      <c r="A2268" t="s">
        <v>42</v>
      </c>
      <c r="B2268" t="s">
        <v>93</v>
      </c>
      <c r="C2268" t="s">
        <v>612</v>
      </c>
      <c r="D2268">
        <v>33070</v>
      </c>
      <c r="E2268" t="s">
        <v>707</v>
      </c>
      <c r="F2268">
        <v>47.554000000000002</v>
      </c>
      <c r="G2268">
        <v>2014</v>
      </c>
    </row>
    <row r="2269" spans="1:7" x14ac:dyDescent="0.25">
      <c r="A2269" t="s">
        <v>42</v>
      </c>
      <c r="B2269" t="s">
        <v>93</v>
      </c>
      <c r="C2269" t="s">
        <v>608</v>
      </c>
      <c r="D2269">
        <v>27420</v>
      </c>
      <c r="E2269" t="s">
        <v>708</v>
      </c>
      <c r="F2269">
        <v>34.072000000000003</v>
      </c>
      <c r="G2269">
        <v>2015</v>
      </c>
    </row>
    <row r="2270" spans="1:7" x14ac:dyDescent="0.25">
      <c r="A2270" t="s">
        <v>42</v>
      </c>
      <c r="B2270" t="s">
        <v>93</v>
      </c>
      <c r="C2270" t="s">
        <v>609</v>
      </c>
      <c r="D2270">
        <v>27421</v>
      </c>
      <c r="E2270" t="s">
        <v>707</v>
      </c>
      <c r="F2270">
        <v>54.040999999999997</v>
      </c>
      <c r="G2270">
        <v>2015</v>
      </c>
    </row>
    <row r="2271" spans="1:7" x14ac:dyDescent="0.25">
      <c r="A2271" t="s">
        <v>42</v>
      </c>
      <c r="B2271" t="s">
        <v>93</v>
      </c>
      <c r="C2271" t="s">
        <v>610</v>
      </c>
      <c r="D2271">
        <v>30853</v>
      </c>
      <c r="E2271" t="s">
        <v>707</v>
      </c>
      <c r="F2271">
        <v>52.408999999999999</v>
      </c>
      <c r="G2271">
        <v>2015</v>
      </c>
    </row>
    <row r="2272" spans="1:7" x14ac:dyDescent="0.25">
      <c r="A2272" t="s">
        <v>42</v>
      </c>
      <c r="B2272" t="s">
        <v>93</v>
      </c>
      <c r="C2272" t="s">
        <v>612</v>
      </c>
      <c r="D2272">
        <v>33070</v>
      </c>
      <c r="E2272" t="s">
        <v>707</v>
      </c>
      <c r="F2272">
        <v>2082.346</v>
      </c>
      <c r="G2272">
        <v>2015</v>
      </c>
    </row>
    <row r="2273" spans="1:7" x14ac:dyDescent="0.25">
      <c r="A2273" t="s">
        <v>42</v>
      </c>
      <c r="B2273" t="s">
        <v>93</v>
      </c>
      <c r="C2273" t="s">
        <v>613</v>
      </c>
      <c r="D2273">
        <v>52654</v>
      </c>
      <c r="E2273" t="s">
        <v>707</v>
      </c>
      <c r="F2273">
        <v>46.807000000000002</v>
      </c>
      <c r="G2273">
        <v>2015</v>
      </c>
    </row>
    <row r="2274" spans="1:7" x14ac:dyDescent="0.25">
      <c r="A2274" t="s">
        <v>42</v>
      </c>
      <c r="B2274" t="s">
        <v>93</v>
      </c>
      <c r="C2274" t="s">
        <v>614</v>
      </c>
      <c r="D2274">
        <v>52655</v>
      </c>
      <c r="E2274" t="s">
        <v>707</v>
      </c>
      <c r="F2274">
        <v>1.2190000000000001</v>
      </c>
      <c r="G2274">
        <v>2015</v>
      </c>
    </row>
    <row r="2275" spans="1:7" x14ac:dyDescent="0.25">
      <c r="A2275" t="s">
        <v>42</v>
      </c>
      <c r="B2275" t="s">
        <v>93</v>
      </c>
      <c r="C2275" t="s">
        <v>608</v>
      </c>
      <c r="D2275">
        <v>27420</v>
      </c>
      <c r="E2275" t="s">
        <v>708</v>
      </c>
      <c r="F2275">
        <v>36.814</v>
      </c>
      <c r="G2275">
        <v>2016</v>
      </c>
    </row>
    <row r="2276" spans="1:7" x14ac:dyDescent="0.25">
      <c r="A2276" t="s">
        <v>42</v>
      </c>
      <c r="B2276" t="s">
        <v>93</v>
      </c>
      <c r="C2276" t="s">
        <v>609</v>
      </c>
      <c r="D2276">
        <v>27421</v>
      </c>
      <c r="E2276" t="s">
        <v>707</v>
      </c>
      <c r="F2276">
        <v>110.301</v>
      </c>
      <c r="G2276">
        <v>2016</v>
      </c>
    </row>
    <row r="2277" spans="1:7" x14ac:dyDescent="0.25">
      <c r="A2277" t="s">
        <v>42</v>
      </c>
      <c r="B2277" t="s">
        <v>93</v>
      </c>
      <c r="C2277" t="s">
        <v>610</v>
      </c>
      <c r="D2277">
        <v>30853</v>
      </c>
      <c r="E2277" t="s">
        <v>707</v>
      </c>
      <c r="F2277">
        <v>55.753</v>
      </c>
      <c r="G2277">
        <v>2016</v>
      </c>
    </row>
    <row r="2278" spans="1:7" x14ac:dyDescent="0.25">
      <c r="A2278" t="s">
        <v>42</v>
      </c>
      <c r="B2278" t="s">
        <v>93</v>
      </c>
      <c r="C2278" t="s">
        <v>613</v>
      </c>
      <c r="D2278">
        <v>52654</v>
      </c>
      <c r="E2278" t="s">
        <v>707</v>
      </c>
      <c r="F2278">
        <v>54.893999999999998</v>
      </c>
      <c r="G2278">
        <v>2016</v>
      </c>
    </row>
    <row r="2279" spans="1:7" x14ac:dyDescent="0.25">
      <c r="A2279" t="s">
        <v>42</v>
      </c>
      <c r="B2279" t="s">
        <v>93</v>
      </c>
      <c r="C2279" t="s">
        <v>614</v>
      </c>
      <c r="D2279">
        <v>52655</v>
      </c>
      <c r="E2279" t="s">
        <v>707</v>
      </c>
      <c r="F2279">
        <v>24.364000000000001</v>
      </c>
      <c r="G2279">
        <v>2016</v>
      </c>
    </row>
    <row r="2280" spans="1:7" x14ac:dyDescent="0.25">
      <c r="A2280" t="s">
        <v>42</v>
      </c>
      <c r="B2280" t="s">
        <v>93</v>
      </c>
      <c r="C2280" t="s">
        <v>615</v>
      </c>
      <c r="D2280">
        <v>54752</v>
      </c>
      <c r="E2280" t="s">
        <v>707</v>
      </c>
      <c r="F2280">
        <v>43.808</v>
      </c>
      <c r="G2280">
        <v>2016</v>
      </c>
    </row>
    <row r="2281" spans="1:7" x14ac:dyDescent="0.25">
      <c r="A2281" t="s">
        <v>42</v>
      </c>
      <c r="B2281" t="s">
        <v>93</v>
      </c>
      <c r="C2281" t="s">
        <v>608</v>
      </c>
      <c r="D2281">
        <v>27420</v>
      </c>
      <c r="E2281" t="s">
        <v>708</v>
      </c>
      <c r="F2281">
        <v>48.31</v>
      </c>
      <c r="G2281">
        <v>2017</v>
      </c>
    </row>
    <row r="2282" spans="1:7" x14ac:dyDescent="0.25">
      <c r="A2282" t="s">
        <v>42</v>
      </c>
      <c r="B2282" t="s">
        <v>93</v>
      </c>
      <c r="C2282" t="s">
        <v>610</v>
      </c>
      <c r="D2282">
        <v>30853</v>
      </c>
      <c r="E2282" t="s">
        <v>707</v>
      </c>
      <c r="F2282">
        <v>57.171999999999997</v>
      </c>
      <c r="G2282">
        <v>2017</v>
      </c>
    </row>
    <row r="2283" spans="1:7" x14ac:dyDescent="0.25">
      <c r="A2283" t="s">
        <v>42</v>
      </c>
      <c r="B2283" t="s">
        <v>93</v>
      </c>
      <c r="C2283" t="s">
        <v>613</v>
      </c>
      <c r="D2283">
        <v>52654</v>
      </c>
      <c r="E2283" t="s">
        <v>707</v>
      </c>
      <c r="F2283">
        <v>55.170999999999999</v>
      </c>
      <c r="G2283">
        <v>2017</v>
      </c>
    </row>
    <row r="2284" spans="1:7" x14ac:dyDescent="0.25">
      <c r="A2284" t="s">
        <v>42</v>
      </c>
      <c r="B2284" t="s">
        <v>93</v>
      </c>
      <c r="C2284" t="s">
        <v>614</v>
      </c>
      <c r="D2284">
        <v>52655</v>
      </c>
      <c r="E2284" t="s">
        <v>707</v>
      </c>
      <c r="F2284">
        <v>31.812000000000001</v>
      </c>
      <c r="G2284">
        <v>2017</v>
      </c>
    </row>
    <row r="2285" spans="1:7" x14ac:dyDescent="0.25">
      <c r="A2285" t="s">
        <v>42</v>
      </c>
      <c r="B2285" t="s">
        <v>93</v>
      </c>
      <c r="C2285" t="s">
        <v>615</v>
      </c>
      <c r="D2285">
        <v>54752</v>
      </c>
      <c r="E2285" t="s">
        <v>707</v>
      </c>
      <c r="F2285">
        <v>40.595999999999997</v>
      </c>
      <c r="G2285">
        <v>2017</v>
      </c>
    </row>
    <row r="2286" spans="1:7" x14ac:dyDescent="0.25">
      <c r="A2286" t="s">
        <v>42</v>
      </c>
      <c r="B2286" t="s">
        <v>93</v>
      </c>
      <c r="C2286" t="s">
        <v>608</v>
      </c>
      <c r="D2286">
        <v>27420</v>
      </c>
      <c r="E2286" t="s">
        <v>708</v>
      </c>
      <c r="F2286">
        <v>39.942999999999998</v>
      </c>
      <c r="G2286">
        <v>2018</v>
      </c>
    </row>
    <row r="2287" spans="1:7" x14ac:dyDescent="0.25">
      <c r="A2287" t="s">
        <v>42</v>
      </c>
      <c r="B2287" t="s">
        <v>93</v>
      </c>
      <c r="C2287" t="s">
        <v>610</v>
      </c>
      <c r="D2287">
        <v>30853</v>
      </c>
      <c r="E2287" t="s">
        <v>707</v>
      </c>
      <c r="F2287">
        <v>55.936</v>
      </c>
      <c r="G2287">
        <v>2018</v>
      </c>
    </row>
    <row r="2288" spans="1:7" x14ac:dyDescent="0.25">
      <c r="A2288" t="s">
        <v>42</v>
      </c>
      <c r="B2288" t="s">
        <v>93</v>
      </c>
      <c r="C2288" t="s">
        <v>613</v>
      </c>
      <c r="D2288">
        <v>52654</v>
      </c>
      <c r="E2288" t="s">
        <v>707</v>
      </c>
      <c r="F2288">
        <v>70.259</v>
      </c>
      <c r="G2288">
        <v>2018</v>
      </c>
    </row>
    <row r="2289" spans="1:7" x14ac:dyDescent="0.25">
      <c r="A2289" t="s">
        <v>42</v>
      </c>
      <c r="B2289" t="s">
        <v>93</v>
      </c>
      <c r="C2289" t="s">
        <v>614</v>
      </c>
      <c r="D2289">
        <v>52655</v>
      </c>
      <c r="E2289" t="s">
        <v>707</v>
      </c>
      <c r="F2289">
        <v>47.73</v>
      </c>
      <c r="G2289">
        <v>2018</v>
      </c>
    </row>
    <row r="2290" spans="1:7" x14ac:dyDescent="0.25">
      <c r="A2290" t="s">
        <v>42</v>
      </c>
      <c r="B2290" t="s">
        <v>93</v>
      </c>
      <c r="C2290" t="s">
        <v>615</v>
      </c>
      <c r="D2290">
        <v>54752</v>
      </c>
      <c r="E2290" t="s">
        <v>707</v>
      </c>
      <c r="F2290">
        <v>48.6</v>
      </c>
      <c r="G2290">
        <v>2018</v>
      </c>
    </row>
    <row r="2291" spans="1:7" x14ac:dyDescent="0.25">
      <c r="A2291" t="s">
        <v>43</v>
      </c>
      <c r="B2291" t="s">
        <v>94</v>
      </c>
      <c r="C2291" t="s">
        <v>616</v>
      </c>
      <c r="D2291">
        <v>22709</v>
      </c>
      <c r="E2291" t="s">
        <v>708</v>
      </c>
      <c r="F2291">
        <v>89.852999999999994</v>
      </c>
      <c r="G2291">
        <v>2006</v>
      </c>
    </row>
    <row r="2292" spans="1:7" x14ac:dyDescent="0.25">
      <c r="A2292" t="s">
        <v>43</v>
      </c>
      <c r="B2292" t="s">
        <v>94</v>
      </c>
      <c r="C2292" t="s">
        <v>617</v>
      </c>
      <c r="D2292">
        <v>22710</v>
      </c>
      <c r="E2292" t="s">
        <v>707</v>
      </c>
      <c r="F2292">
        <v>33.56</v>
      </c>
      <c r="G2292">
        <v>2006</v>
      </c>
    </row>
    <row r="2293" spans="1:7" x14ac:dyDescent="0.25">
      <c r="A2293" t="s">
        <v>43</v>
      </c>
      <c r="B2293" t="s">
        <v>94</v>
      </c>
      <c r="C2293" t="s">
        <v>618</v>
      </c>
      <c r="D2293">
        <v>22711</v>
      </c>
      <c r="E2293" t="s">
        <v>707</v>
      </c>
      <c r="F2293">
        <v>78.971000000000004</v>
      </c>
      <c r="G2293">
        <v>2006</v>
      </c>
    </row>
    <row r="2294" spans="1:7" x14ac:dyDescent="0.25">
      <c r="A2294" t="s">
        <v>43</v>
      </c>
      <c r="B2294" t="s">
        <v>94</v>
      </c>
      <c r="C2294" t="s">
        <v>619</v>
      </c>
      <c r="D2294">
        <v>24128</v>
      </c>
      <c r="E2294" t="s">
        <v>707</v>
      </c>
      <c r="F2294">
        <v>51.765000000000001</v>
      </c>
      <c r="G2294">
        <v>2006</v>
      </c>
    </row>
    <row r="2295" spans="1:7" x14ac:dyDescent="0.25">
      <c r="A2295" t="s">
        <v>43</v>
      </c>
      <c r="B2295" t="s">
        <v>94</v>
      </c>
      <c r="C2295" t="s">
        <v>620</v>
      </c>
      <c r="D2295">
        <v>28531</v>
      </c>
      <c r="E2295" t="s">
        <v>707</v>
      </c>
      <c r="F2295">
        <v>38.997</v>
      </c>
      <c r="G2295">
        <v>2006</v>
      </c>
    </row>
    <row r="2296" spans="1:7" x14ac:dyDescent="0.25">
      <c r="A2296" t="s">
        <v>43</v>
      </c>
      <c r="B2296" t="s">
        <v>94</v>
      </c>
      <c r="C2296" t="s">
        <v>621</v>
      </c>
      <c r="D2296">
        <v>34347</v>
      </c>
      <c r="E2296" t="s">
        <v>707</v>
      </c>
      <c r="F2296">
        <v>30.693000000000001</v>
      </c>
      <c r="G2296">
        <v>2006</v>
      </c>
    </row>
    <row r="2297" spans="1:7" x14ac:dyDescent="0.25">
      <c r="A2297" t="s">
        <v>43</v>
      </c>
      <c r="B2297" t="s">
        <v>94</v>
      </c>
      <c r="C2297" t="s">
        <v>622</v>
      </c>
      <c r="D2297">
        <v>37751</v>
      </c>
      <c r="E2297" t="s">
        <v>707</v>
      </c>
      <c r="F2297">
        <v>11.481</v>
      </c>
      <c r="G2297">
        <v>2006</v>
      </c>
    </row>
    <row r="2298" spans="1:7" x14ac:dyDescent="0.25">
      <c r="A2298" t="s">
        <v>43</v>
      </c>
      <c r="B2298" t="s">
        <v>94</v>
      </c>
      <c r="C2298" t="s">
        <v>623</v>
      </c>
      <c r="D2298">
        <v>37752</v>
      </c>
      <c r="E2298" t="s">
        <v>707</v>
      </c>
      <c r="F2298">
        <v>34.390999999999998</v>
      </c>
      <c r="G2298">
        <v>2006</v>
      </c>
    </row>
    <row r="2299" spans="1:7" x14ac:dyDescent="0.25">
      <c r="A2299" t="s">
        <v>43</v>
      </c>
      <c r="B2299" t="s">
        <v>94</v>
      </c>
      <c r="C2299" t="s">
        <v>616</v>
      </c>
      <c r="D2299">
        <v>22709</v>
      </c>
      <c r="E2299" t="s">
        <v>708</v>
      </c>
      <c r="F2299">
        <v>102.634</v>
      </c>
      <c r="G2299">
        <v>2007</v>
      </c>
    </row>
    <row r="2300" spans="1:7" x14ac:dyDescent="0.25">
      <c r="A2300" t="s">
        <v>43</v>
      </c>
      <c r="B2300" t="s">
        <v>94</v>
      </c>
      <c r="C2300" t="s">
        <v>617</v>
      </c>
      <c r="D2300">
        <v>22710</v>
      </c>
      <c r="E2300" t="s">
        <v>707</v>
      </c>
      <c r="F2300">
        <v>36.911000000000001</v>
      </c>
      <c r="G2300">
        <v>2007</v>
      </c>
    </row>
    <row r="2301" spans="1:7" x14ac:dyDescent="0.25">
      <c r="A2301" t="s">
        <v>43</v>
      </c>
      <c r="B2301" t="s">
        <v>94</v>
      </c>
      <c r="C2301" t="s">
        <v>618</v>
      </c>
      <c r="D2301">
        <v>22711</v>
      </c>
      <c r="E2301" t="s">
        <v>707</v>
      </c>
      <c r="F2301">
        <v>125.44</v>
      </c>
      <c r="G2301">
        <v>2007</v>
      </c>
    </row>
    <row r="2302" spans="1:7" x14ac:dyDescent="0.25">
      <c r="A2302" t="s">
        <v>43</v>
      </c>
      <c r="B2302" t="s">
        <v>94</v>
      </c>
      <c r="C2302" t="s">
        <v>619</v>
      </c>
      <c r="D2302">
        <v>24128</v>
      </c>
      <c r="E2302" t="s">
        <v>707</v>
      </c>
      <c r="F2302">
        <v>51.616999999999997</v>
      </c>
      <c r="G2302">
        <v>2007</v>
      </c>
    </row>
    <row r="2303" spans="1:7" x14ac:dyDescent="0.25">
      <c r="A2303" t="s">
        <v>43</v>
      </c>
      <c r="B2303" t="s">
        <v>94</v>
      </c>
      <c r="C2303" t="s">
        <v>620</v>
      </c>
      <c r="D2303">
        <v>28531</v>
      </c>
      <c r="E2303" t="s">
        <v>707</v>
      </c>
      <c r="F2303">
        <v>43.817</v>
      </c>
      <c r="G2303">
        <v>2007</v>
      </c>
    </row>
    <row r="2304" spans="1:7" x14ac:dyDescent="0.25">
      <c r="A2304" t="s">
        <v>43</v>
      </c>
      <c r="B2304" t="s">
        <v>94</v>
      </c>
      <c r="C2304" t="s">
        <v>621</v>
      </c>
      <c r="D2304">
        <v>34347</v>
      </c>
      <c r="E2304" t="s">
        <v>707</v>
      </c>
      <c r="F2304">
        <v>37.273000000000003</v>
      </c>
      <c r="G2304">
        <v>2007</v>
      </c>
    </row>
    <row r="2305" spans="1:7" x14ac:dyDescent="0.25">
      <c r="A2305" t="s">
        <v>43</v>
      </c>
      <c r="B2305" t="s">
        <v>94</v>
      </c>
      <c r="C2305" t="s">
        <v>622</v>
      </c>
      <c r="D2305">
        <v>37751</v>
      </c>
      <c r="E2305" t="s">
        <v>707</v>
      </c>
      <c r="F2305">
        <v>12.436</v>
      </c>
      <c r="G2305">
        <v>2007</v>
      </c>
    </row>
    <row r="2306" spans="1:7" x14ac:dyDescent="0.25">
      <c r="A2306" t="s">
        <v>43</v>
      </c>
      <c r="B2306" t="s">
        <v>94</v>
      </c>
      <c r="C2306" t="s">
        <v>623</v>
      </c>
      <c r="D2306">
        <v>37752</v>
      </c>
      <c r="E2306" t="s">
        <v>707</v>
      </c>
      <c r="F2306">
        <v>35.195999999999998</v>
      </c>
      <c r="G2306">
        <v>2007</v>
      </c>
    </row>
    <row r="2307" spans="1:7" x14ac:dyDescent="0.25">
      <c r="A2307" t="s">
        <v>43</v>
      </c>
      <c r="B2307" t="s">
        <v>94</v>
      </c>
      <c r="C2307" t="s">
        <v>616</v>
      </c>
      <c r="D2307">
        <v>22709</v>
      </c>
      <c r="E2307" t="s">
        <v>708</v>
      </c>
      <c r="F2307">
        <v>200.76</v>
      </c>
      <c r="G2307">
        <v>2008</v>
      </c>
    </row>
    <row r="2308" spans="1:7" x14ac:dyDescent="0.25">
      <c r="A2308" t="s">
        <v>43</v>
      </c>
      <c r="B2308" t="s">
        <v>94</v>
      </c>
      <c r="C2308" t="s">
        <v>617</v>
      </c>
      <c r="D2308">
        <v>22710</v>
      </c>
      <c r="E2308" t="s">
        <v>707</v>
      </c>
      <c r="F2308">
        <v>39.892000000000003</v>
      </c>
      <c r="G2308">
        <v>2008</v>
      </c>
    </row>
    <row r="2309" spans="1:7" x14ac:dyDescent="0.25">
      <c r="A2309" t="s">
        <v>43</v>
      </c>
      <c r="B2309" t="s">
        <v>94</v>
      </c>
      <c r="C2309" t="s">
        <v>618</v>
      </c>
      <c r="D2309">
        <v>22711</v>
      </c>
      <c r="E2309" t="s">
        <v>707</v>
      </c>
      <c r="F2309">
        <v>114.8</v>
      </c>
      <c r="G2309">
        <v>2008</v>
      </c>
    </row>
    <row r="2310" spans="1:7" x14ac:dyDescent="0.25">
      <c r="A2310" t="s">
        <v>43</v>
      </c>
      <c r="B2310" t="s">
        <v>94</v>
      </c>
      <c r="C2310" t="s">
        <v>619</v>
      </c>
      <c r="D2310">
        <v>24128</v>
      </c>
      <c r="E2310" t="s">
        <v>707</v>
      </c>
      <c r="F2310">
        <v>52.485999999999997</v>
      </c>
      <c r="G2310">
        <v>2008</v>
      </c>
    </row>
    <row r="2311" spans="1:7" x14ac:dyDescent="0.25">
      <c r="A2311" t="s">
        <v>43</v>
      </c>
      <c r="B2311" t="s">
        <v>94</v>
      </c>
      <c r="C2311" t="s">
        <v>621</v>
      </c>
      <c r="D2311">
        <v>34347</v>
      </c>
      <c r="E2311" t="s">
        <v>707</v>
      </c>
      <c r="F2311">
        <v>41.131</v>
      </c>
      <c r="G2311">
        <v>2008</v>
      </c>
    </row>
    <row r="2312" spans="1:7" x14ac:dyDescent="0.25">
      <c r="A2312" t="s">
        <v>43</v>
      </c>
      <c r="B2312" t="s">
        <v>94</v>
      </c>
      <c r="C2312" t="s">
        <v>622</v>
      </c>
      <c r="D2312">
        <v>37751</v>
      </c>
      <c r="E2312" t="s">
        <v>707</v>
      </c>
      <c r="F2312">
        <v>93.078000000000003</v>
      </c>
      <c r="G2312">
        <v>2008</v>
      </c>
    </row>
    <row r="2313" spans="1:7" x14ac:dyDescent="0.25">
      <c r="A2313" t="s">
        <v>43</v>
      </c>
      <c r="B2313" t="s">
        <v>94</v>
      </c>
      <c r="C2313" t="s">
        <v>623</v>
      </c>
      <c r="D2313">
        <v>37752</v>
      </c>
      <c r="E2313" t="s">
        <v>707</v>
      </c>
      <c r="F2313">
        <v>38.875999999999998</v>
      </c>
      <c r="G2313">
        <v>2008</v>
      </c>
    </row>
    <row r="2314" spans="1:7" x14ac:dyDescent="0.25">
      <c r="A2314" t="s">
        <v>43</v>
      </c>
      <c r="B2314" t="s">
        <v>94</v>
      </c>
      <c r="C2314" t="s">
        <v>616</v>
      </c>
      <c r="D2314">
        <v>22709</v>
      </c>
      <c r="E2314" t="s">
        <v>708</v>
      </c>
      <c r="F2314">
        <v>146.881</v>
      </c>
      <c r="G2314">
        <v>2009</v>
      </c>
    </row>
    <row r="2315" spans="1:7" x14ac:dyDescent="0.25">
      <c r="A2315" t="s">
        <v>43</v>
      </c>
      <c r="B2315" t="s">
        <v>94</v>
      </c>
      <c r="C2315" t="s">
        <v>618</v>
      </c>
      <c r="D2315">
        <v>22711</v>
      </c>
      <c r="E2315" t="s">
        <v>707</v>
      </c>
      <c r="F2315">
        <v>82.784999999999997</v>
      </c>
      <c r="G2315">
        <v>2009</v>
      </c>
    </row>
    <row r="2316" spans="1:7" x14ac:dyDescent="0.25">
      <c r="A2316" t="s">
        <v>43</v>
      </c>
      <c r="B2316" t="s">
        <v>94</v>
      </c>
      <c r="C2316" t="s">
        <v>621</v>
      </c>
      <c r="D2316">
        <v>34347</v>
      </c>
      <c r="E2316" t="s">
        <v>707</v>
      </c>
      <c r="F2316">
        <v>45.152000000000001</v>
      </c>
      <c r="G2316">
        <v>2009</v>
      </c>
    </row>
    <row r="2317" spans="1:7" x14ac:dyDescent="0.25">
      <c r="A2317" t="s">
        <v>43</v>
      </c>
      <c r="B2317" t="s">
        <v>94</v>
      </c>
      <c r="C2317" t="s">
        <v>622</v>
      </c>
      <c r="D2317">
        <v>37751</v>
      </c>
      <c r="E2317" t="s">
        <v>707</v>
      </c>
      <c r="F2317">
        <v>47.497999999999998</v>
      </c>
      <c r="G2317">
        <v>2009</v>
      </c>
    </row>
    <row r="2318" spans="1:7" x14ac:dyDescent="0.25">
      <c r="A2318" t="s">
        <v>43</v>
      </c>
      <c r="B2318" t="s">
        <v>94</v>
      </c>
      <c r="C2318" t="s">
        <v>623</v>
      </c>
      <c r="D2318">
        <v>37752</v>
      </c>
      <c r="E2318" t="s">
        <v>707</v>
      </c>
      <c r="F2318">
        <v>253.643</v>
      </c>
      <c r="G2318">
        <v>2009</v>
      </c>
    </row>
    <row r="2319" spans="1:7" x14ac:dyDescent="0.25">
      <c r="A2319" t="s">
        <v>43</v>
      </c>
      <c r="B2319" t="s">
        <v>94</v>
      </c>
      <c r="C2319" t="s">
        <v>616</v>
      </c>
      <c r="D2319">
        <v>22709</v>
      </c>
      <c r="E2319" t="s">
        <v>708</v>
      </c>
      <c r="F2319">
        <v>118.069</v>
      </c>
      <c r="G2319">
        <v>2010</v>
      </c>
    </row>
    <row r="2320" spans="1:7" x14ac:dyDescent="0.25">
      <c r="A2320" t="s">
        <v>43</v>
      </c>
      <c r="B2320" t="s">
        <v>94</v>
      </c>
      <c r="C2320" t="s">
        <v>618</v>
      </c>
      <c r="D2320">
        <v>22711</v>
      </c>
      <c r="E2320" t="s">
        <v>707</v>
      </c>
      <c r="F2320">
        <v>62.142000000000003</v>
      </c>
      <c r="G2320">
        <v>2010</v>
      </c>
    </row>
    <row r="2321" spans="1:7" x14ac:dyDescent="0.25">
      <c r="A2321" t="s">
        <v>43</v>
      </c>
      <c r="B2321" t="s">
        <v>94</v>
      </c>
      <c r="C2321" t="s">
        <v>621</v>
      </c>
      <c r="D2321">
        <v>34347</v>
      </c>
      <c r="E2321" t="s">
        <v>707</v>
      </c>
      <c r="F2321">
        <v>32.457000000000001</v>
      </c>
      <c r="G2321">
        <v>2010</v>
      </c>
    </row>
    <row r="2322" spans="1:7" x14ac:dyDescent="0.25">
      <c r="A2322" t="s">
        <v>43</v>
      </c>
      <c r="B2322" t="s">
        <v>94</v>
      </c>
      <c r="C2322" t="s">
        <v>622</v>
      </c>
      <c r="D2322">
        <v>37751</v>
      </c>
      <c r="E2322" t="s">
        <v>707</v>
      </c>
      <c r="F2322">
        <v>37.918999999999997</v>
      </c>
      <c r="G2322">
        <v>2010</v>
      </c>
    </row>
    <row r="2323" spans="1:7" x14ac:dyDescent="0.25">
      <c r="A2323" t="s">
        <v>43</v>
      </c>
      <c r="B2323" t="s">
        <v>94</v>
      </c>
      <c r="C2323" t="s">
        <v>623</v>
      </c>
      <c r="D2323">
        <v>37752</v>
      </c>
      <c r="E2323" t="s">
        <v>707</v>
      </c>
      <c r="F2323">
        <v>43.101999999999997</v>
      </c>
      <c r="G2323">
        <v>2010</v>
      </c>
    </row>
    <row r="2324" spans="1:7" x14ac:dyDescent="0.25">
      <c r="A2324" t="s">
        <v>43</v>
      </c>
      <c r="B2324" t="s">
        <v>94</v>
      </c>
      <c r="C2324" t="s">
        <v>616</v>
      </c>
      <c r="D2324">
        <v>22709</v>
      </c>
      <c r="E2324" t="s">
        <v>708</v>
      </c>
      <c r="F2324">
        <v>212.33</v>
      </c>
      <c r="G2324">
        <v>2011</v>
      </c>
    </row>
    <row r="2325" spans="1:7" x14ac:dyDescent="0.25">
      <c r="A2325" t="s">
        <v>43</v>
      </c>
      <c r="B2325" t="s">
        <v>94</v>
      </c>
      <c r="C2325" t="s">
        <v>618</v>
      </c>
      <c r="D2325">
        <v>22711</v>
      </c>
      <c r="E2325" t="s">
        <v>707</v>
      </c>
      <c r="F2325">
        <v>127.06</v>
      </c>
      <c r="G2325">
        <v>2011</v>
      </c>
    </row>
    <row r="2326" spans="1:7" x14ac:dyDescent="0.25">
      <c r="A2326" t="s">
        <v>43</v>
      </c>
      <c r="B2326" t="s">
        <v>94</v>
      </c>
      <c r="C2326" t="s">
        <v>621</v>
      </c>
      <c r="D2326">
        <v>34347</v>
      </c>
      <c r="E2326" t="s">
        <v>707</v>
      </c>
      <c r="F2326">
        <v>49.058999999999997</v>
      </c>
      <c r="G2326">
        <v>2011</v>
      </c>
    </row>
    <row r="2327" spans="1:7" x14ac:dyDescent="0.25">
      <c r="A2327" t="s">
        <v>43</v>
      </c>
      <c r="B2327" t="s">
        <v>94</v>
      </c>
      <c r="C2327" t="s">
        <v>622</v>
      </c>
      <c r="D2327">
        <v>37751</v>
      </c>
      <c r="E2327" t="s">
        <v>707</v>
      </c>
      <c r="F2327">
        <v>43.667999999999999</v>
      </c>
      <c r="G2327">
        <v>2011</v>
      </c>
    </row>
    <row r="2328" spans="1:7" x14ac:dyDescent="0.25">
      <c r="A2328" t="s">
        <v>43</v>
      </c>
      <c r="B2328" t="s">
        <v>94</v>
      </c>
      <c r="C2328" t="s">
        <v>623</v>
      </c>
      <c r="D2328">
        <v>37752</v>
      </c>
      <c r="E2328" t="s">
        <v>707</v>
      </c>
      <c r="F2328">
        <v>34.283999999999999</v>
      </c>
      <c r="G2328">
        <v>2011</v>
      </c>
    </row>
    <row r="2329" spans="1:7" x14ac:dyDescent="0.25">
      <c r="A2329" t="s">
        <v>43</v>
      </c>
      <c r="B2329" t="s">
        <v>94</v>
      </c>
      <c r="C2329" t="s">
        <v>616</v>
      </c>
      <c r="D2329">
        <v>22709</v>
      </c>
      <c r="E2329" t="s">
        <v>707</v>
      </c>
      <c r="F2329">
        <v>184.35499999999999</v>
      </c>
      <c r="G2329">
        <v>2012</v>
      </c>
    </row>
    <row r="2330" spans="1:7" x14ac:dyDescent="0.25">
      <c r="A2330" t="s">
        <v>43</v>
      </c>
      <c r="B2330" t="s">
        <v>94</v>
      </c>
      <c r="C2330" t="s">
        <v>618</v>
      </c>
      <c r="D2330">
        <v>22711</v>
      </c>
      <c r="E2330" t="s">
        <v>708</v>
      </c>
      <c r="F2330">
        <v>128.476</v>
      </c>
      <c r="G2330">
        <v>2012</v>
      </c>
    </row>
    <row r="2331" spans="1:7" x14ac:dyDescent="0.25">
      <c r="A2331" t="s">
        <v>43</v>
      </c>
      <c r="B2331" t="s">
        <v>94</v>
      </c>
      <c r="C2331" t="s">
        <v>620</v>
      </c>
      <c r="D2331">
        <v>28531</v>
      </c>
      <c r="E2331" t="s">
        <v>707</v>
      </c>
      <c r="F2331">
        <v>36.616999999999997</v>
      </c>
      <c r="G2331">
        <v>2012</v>
      </c>
    </row>
    <row r="2332" spans="1:7" x14ac:dyDescent="0.25">
      <c r="A2332" t="s">
        <v>43</v>
      </c>
      <c r="B2332" t="s">
        <v>94</v>
      </c>
      <c r="C2332" t="s">
        <v>621</v>
      </c>
      <c r="D2332">
        <v>34347</v>
      </c>
      <c r="E2332" t="s">
        <v>707</v>
      </c>
      <c r="F2332">
        <v>57.122999999999998</v>
      </c>
      <c r="G2332">
        <v>2012</v>
      </c>
    </row>
    <row r="2333" spans="1:7" x14ac:dyDescent="0.25">
      <c r="A2333" t="s">
        <v>43</v>
      </c>
      <c r="B2333" t="s">
        <v>94</v>
      </c>
      <c r="C2333" t="s">
        <v>622</v>
      </c>
      <c r="D2333">
        <v>37751</v>
      </c>
      <c r="E2333" t="s">
        <v>707</v>
      </c>
      <c r="F2333">
        <v>46.424999999999997</v>
      </c>
      <c r="G2333">
        <v>2012</v>
      </c>
    </row>
    <row r="2334" spans="1:7" x14ac:dyDescent="0.25">
      <c r="A2334" t="s">
        <v>43</v>
      </c>
      <c r="B2334" t="s">
        <v>94</v>
      </c>
      <c r="C2334" t="s">
        <v>623</v>
      </c>
      <c r="D2334">
        <v>37752</v>
      </c>
      <c r="E2334" t="s">
        <v>707</v>
      </c>
      <c r="F2334">
        <v>35.991999999999997</v>
      </c>
      <c r="G2334">
        <v>2012</v>
      </c>
    </row>
    <row r="2335" spans="1:7" x14ac:dyDescent="0.25">
      <c r="A2335" t="s">
        <v>43</v>
      </c>
      <c r="B2335" t="s">
        <v>94</v>
      </c>
      <c r="C2335" t="s">
        <v>618</v>
      </c>
      <c r="D2335">
        <v>22711</v>
      </c>
      <c r="E2335" t="s">
        <v>708</v>
      </c>
      <c r="F2335">
        <v>76.432000000000002</v>
      </c>
      <c r="G2335">
        <v>2013</v>
      </c>
    </row>
    <row r="2336" spans="1:7" x14ac:dyDescent="0.25">
      <c r="A2336" t="s">
        <v>43</v>
      </c>
      <c r="B2336" t="s">
        <v>94</v>
      </c>
      <c r="C2336" t="s">
        <v>620</v>
      </c>
      <c r="D2336">
        <v>28531</v>
      </c>
      <c r="E2336" t="s">
        <v>707</v>
      </c>
      <c r="F2336">
        <v>37.070999999999998</v>
      </c>
      <c r="G2336">
        <v>2013</v>
      </c>
    </row>
    <row r="2337" spans="1:7" x14ac:dyDescent="0.25">
      <c r="A2337" t="s">
        <v>43</v>
      </c>
      <c r="B2337" t="s">
        <v>94</v>
      </c>
      <c r="C2337" t="s">
        <v>621</v>
      </c>
      <c r="D2337">
        <v>34347</v>
      </c>
      <c r="E2337" t="s">
        <v>707</v>
      </c>
      <c r="F2337">
        <v>35.018000000000001</v>
      </c>
      <c r="G2337">
        <v>2013</v>
      </c>
    </row>
    <row r="2338" spans="1:7" x14ac:dyDescent="0.25">
      <c r="A2338" t="s">
        <v>43</v>
      </c>
      <c r="B2338" t="s">
        <v>94</v>
      </c>
      <c r="C2338" t="s">
        <v>622</v>
      </c>
      <c r="D2338">
        <v>37751</v>
      </c>
      <c r="E2338" t="s">
        <v>707</v>
      </c>
      <c r="F2338">
        <v>48.54</v>
      </c>
      <c r="G2338">
        <v>2013</v>
      </c>
    </row>
    <row r="2339" spans="1:7" x14ac:dyDescent="0.25">
      <c r="A2339" t="s">
        <v>43</v>
      </c>
      <c r="B2339" t="s">
        <v>94</v>
      </c>
      <c r="C2339" t="s">
        <v>624</v>
      </c>
      <c r="D2339">
        <v>48513</v>
      </c>
      <c r="E2339" t="s">
        <v>707</v>
      </c>
      <c r="F2339">
        <v>38.499000000000002</v>
      </c>
      <c r="G2339">
        <v>2013</v>
      </c>
    </row>
    <row r="2340" spans="1:7" x14ac:dyDescent="0.25">
      <c r="A2340" t="s">
        <v>43</v>
      </c>
      <c r="B2340" t="s">
        <v>94</v>
      </c>
      <c r="C2340" t="s">
        <v>618</v>
      </c>
      <c r="D2340">
        <v>22711</v>
      </c>
      <c r="E2340" t="s">
        <v>708</v>
      </c>
      <c r="F2340">
        <v>75.185000000000002</v>
      </c>
      <c r="G2340">
        <v>2014</v>
      </c>
    </row>
    <row r="2341" spans="1:7" x14ac:dyDescent="0.25">
      <c r="A2341" t="s">
        <v>43</v>
      </c>
      <c r="B2341" t="s">
        <v>94</v>
      </c>
      <c r="C2341" t="s">
        <v>620</v>
      </c>
      <c r="D2341">
        <v>28531</v>
      </c>
      <c r="E2341" t="s">
        <v>707</v>
      </c>
      <c r="F2341">
        <v>35.734999999999999</v>
      </c>
      <c r="G2341">
        <v>2014</v>
      </c>
    </row>
    <row r="2342" spans="1:7" x14ac:dyDescent="0.25">
      <c r="A2342" t="s">
        <v>43</v>
      </c>
      <c r="B2342" t="s">
        <v>94</v>
      </c>
      <c r="C2342" t="s">
        <v>621</v>
      </c>
      <c r="D2342">
        <v>34347</v>
      </c>
      <c r="E2342" t="s">
        <v>707</v>
      </c>
      <c r="F2342">
        <v>54.503999999999998</v>
      </c>
      <c r="G2342">
        <v>2014</v>
      </c>
    </row>
    <row r="2343" spans="1:7" x14ac:dyDescent="0.25">
      <c r="A2343" t="s">
        <v>43</v>
      </c>
      <c r="B2343" t="s">
        <v>94</v>
      </c>
      <c r="C2343" t="s">
        <v>622</v>
      </c>
      <c r="D2343">
        <v>37751</v>
      </c>
      <c r="E2343" t="s">
        <v>707</v>
      </c>
      <c r="F2343">
        <v>45.662999999999997</v>
      </c>
      <c r="G2343">
        <v>2014</v>
      </c>
    </row>
    <row r="2344" spans="1:7" x14ac:dyDescent="0.25">
      <c r="A2344" t="s">
        <v>43</v>
      </c>
      <c r="B2344" t="s">
        <v>94</v>
      </c>
      <c r="C2344" t="s">
        <v>624</v>
      </c>
      <c r="D2344">
        <v>48513</v>
      </c>
      <c r="E2344" t="s">
        <v>707</v>
      </c>
      <c r="F2344">
        <v>39.152000000000001</v>
      </c>
      <c r="G2344">
        <v>2014</v>
      </c>
    </row>
    <row r="2345" spans="1:7" x14ac:dyDescent="0.25">
      <c r="A2345" t="s">
        <v>43</v>
      </c>
      <c r="B2345" t="s">
        <v>94</v>
      </c>
      <c r="C2345" t="s">
        <v>618</v>
      </c>
      <c r="D2345">
        <v>22711</v>
      </c>
      <c r="E2345" t="s">
        <v>708</v>
      </c>
      <c r="F2345">
        <v>106.381</v>
      </c>
      <c r="G2345">
        <v>2015</v>
      </c>
    </row>
    <row r="2346" spans="1:7" x14ac:dyDescent="0.25">
      <c r="A2346" t="s">
        <v>43</v>
      </c>
      <c r="B2346" t="s">
        <v>94</v>
      </c>
      <c r="C2346" t="s">
        <v>620</v>
      </c>
      <c r="D2346">
        <v>28531</v>
      </c>
      <c r="E2346" t="s">
        <v>707</v>
      </c>
      <c r="F2346">
        <v>48.045999999999999</v>
      </c>
      <c r="G2346">
        <v>2015</v>
      </c>
    </row>
    <row r="2347" spans="1:7" x14ac:dyDescent="0.25">
      <c r="A2347" t="s">
        <v>43</v>
      </c>
      <c r="B2347" t="s">
        <v>94</v>
      </c>
      <c r="C2347" t="s">
        <v>621</v>
      </c>
      <c r="D2347">
        <v>34347</v>
      </c>
      <c r="E2347" t="s">
        <v>707</v>
      </c>
      <c r="F2347">
        <v>63.154000000000003</v>
      </c>
      <c r="G2347">
        <v>2015</v>
      </c>
    </row>
    <row r="2348" spans="1:7" x14ac:dyDescent="0.25">
      <c r="A2348" t="s">
        <v>43</v>
      </c>
      <c r="B2348" t="s">
        <v>94</v>
      </c>
      <c r="C2348" t="s">
        <v>622</v>
      </c>
      <c r="D2348">
        <v>37751</v>
      </c>
      <c r="E2348" t="s">
        <v>707</v>
      </c>
      <c r="F2348">
        <v>62.976999999999997</v>
      </c>
      <c r="G2348">
        <v>2015</v>
      </c>
    </row>
    <row r="2349" spans="1:7" x14ac:dyDescent="0.25">
      <c r="A2349" t="s">
        <v>43</v>
      </c>
      <c r="B2349" t="s">
        <v>94</v>
      </c>
      <c r="C2349" t="s">
        <v>624</v>
      </c>
      <c r="D2349">
        <v>48513</v>
      </c>
      <c r="E2349" t="s">
        <v>707</v>
      </c>
      <c r="F2349">
        <v>46.962000000000003</v>
      </c>
      <c r="G2349">
        <v>2015</v>
      </c>
    </row>
    <row r="2350" spans="1:7" x14ac:dyDescent="0.25">
      <c r="A2350" t="s">
        <v>43</v>
      </c>
      <c r="B2350" t="s">
        <v>94</v>
      </c>
      <c r="C2350" t="s">
        <v>618</v>
      </c>
      <c r="D2350">
        <v>22711</v>
      </c>
      <c r="E2350" t="s">
        <v>708</v>
      </c>
      <c r="F2350">
        <v>40.213000000000001</v>
      </c>
      <c r="G2350">
        <v>2016</v>
      </c>
    </row>
    <row r="2351" spans="1:7" x14ac:dyDescent="0.25">
      <c r="A2351" t="s">
        <v>43</v>
      </c>
      <c r="B2351" t="s">
        <v>94</v>
      </c>
      <c r="C2351" t="s">
        <v>620</v>
      </c>
      <c r="D2351">
        <v>28531</v>
      </c>
      <c r="E2351" t="s">
        <v>707</v>
      </c>
      <c r="F2351">
        <v>25.606999999999999</v>
      </c>
      <c r="G2351">
        <v>2016</v>
      </c>
    </row>
    <row r="2352" spans="1:7" x14ac:dyDescent="0.25">
      <c r="A2352" t="s">
        <v>43</v>
      </c>
      <c r="B2352" t="s">
        <v>94</v>
      </c>
      <c r="C2352" t="s">
        <v>621</v>
      </c>
      <c r="D2352">
        <v>34347</v>
      </c>
      <c r="E2352" t="s">
        <v>707</v>
      </c>
      <c r="F2352">
        <v>14.032999999999999</v>
      </c>
      <c r="G2352">
        <v>2016</v>
      </c>
    </row>
    <row r="2353" spans="1:7" x14ac:dyDescent="0.25">
      <c r="A2353" t="s">
        <v>43</v>
      </c>
      <c r="B2353" t="s">
        <v>94</v>
      </c>
      <c r="C2353" t="s">
        <v>622</v>
      </c>
      <c r="D2353">
        <v>37751</v>
      </c>
      <c r="E2353" t="s">
        <v>707</v>
      </c>
      <c r="F2353">
        <v>40.963000000000001</v>
      </c>
      <c r="G2353">
        <v>2016</v>
      </c>
    </row>
    <row r="2354" spans="1:7" x14ac:dyDescent="0.25">
      <c r="A2354" t="s">
        <v>43</v>
      </c>
      <c r="B2354" t="s">
        <v>94</v>
      </c>
      <c r="C2354" t="s">
        <v>624</v>
      </c>
      <c r="D2354">
        <v>48513</v>
      </c>
      <c r="E2354" t="s">
        <v>707</v>
      </c>
      <c r="F2354">
        <v>17.61</v>
      </c>
      <c r="G2354">
        <v>2016</v>
      </c>
    </row>
    <row r="2355" spans="1:7" x14ac:dyDescent="0.25">
      <c r="A2355" t="s">
        <v>43</v>
      </c>
      <c r="B2355" t="s">
        <v>94</v>
      </c>
      <c r="C2355" t="s">
        <v>618</v>
      </c>
      <c r="D2355">
        <v>22711</v>
      </c>
      <c r="E2355" t="s">
        <v>708</v>
      </c>
      <c r="F2355">
        <v>42.45</v>
      </c>
      <c r="G2355">
        <v>2017</v>
      </c>
    </row>
    <row r="2356" spans="1:7" x14ac:dyDescent="0.25">
      <c r="A2356" t="s">
        <v>43</v>
      </c>
      <c r="B2356" t="s">
        <v>94</v>
      </c>
      <c r="C2356" t="s">
        <v>620</v>
      </c>
      <c r="D2356">
        <v>28531</v>
      </c>
      <c r="E2356" t="s">
        <v>707</v>
      </c>
      <c r="F2356">
        <v>24.831</v>
      </c>
      <c r="G2356">
        <v>2017</v>
      </c>
    </row>
    <row r="2357" spans="1:7" x14ac:dyDescent="0.25">
      <c r="A2357" t="s">
        <v>43</v>
      </c>
      <c r="B2357" t="s">
        <v>94</v>
      </c>
      <c r="C2357" t="s">
        <v>621</v>
      </c>
      <c r="D2357">
        <v>34347</v>
      </c>
      <c r="E2357" t="s">
        <v>707</v>
      </c>
      <c r="F2357">
        <v>18.457999999999998</v>
      </c>
      <c r="G2357">
        <v>2017</v>
      </c>
    </row>
    <row r="2358" spans="1:7" x14ac:dyDescent="0.25">
      <c r="A2358" t="s">
        <v>43</v>
      </c>
      <c r="B2358" t="s">
        <v>94</v>
      </c>
      <c r="C2358" t="s">
        <v>622</v>
      </c>
      <c r="D2358">
        <v>37751</v>
      </c>
      <c r="E2358" t="s">
        <v>707</v>
      </c>
      <c r="F2358">
        <v>33.17</v>
      </c>
      <c r="G2358">
        <v>2017</v>
      </c>
    </row>
    <row r="2359" spans="1:7" x14ac:dyDescent="0.25">
      <c r="A2359" t="s">
        <v>43</v>
      </c>
      <c r="B2359" t="s">
        <v>94</v>
      </c>
      <c r="C2359" t="s">
        <v>624</v>
      </c>
      <c r="D2359">
        <v>48513</v>
      </c>
      <c r="E2359" t="s">
        <v>707</v>
      </c>
      <c r="F2359">
        <v>15.9</v>
      </c>
      <c r="G2359">
        <v>2017</v>
      </c>
    </row>
    <row r="2360" spans="1:7" x14ac:dyDescent="0.25">
      <c r="A2360" t="s">
        <v>43</v>
      </c>
      <c r="B2360" t="s">
        <v>94</v>
      </c>
      <c r="C2360" t="s">
        <v>618</v>
      </c>
      <c r="D2360">
        <v>22711</v>
      </c>
      <c r="E2360" t="s">
        <v>708</v>
      </c>
      <c r="F2360">
        <v>44.31</v>
      </c>
      <c r="G2360">
        <v>2018</v>
      </c>
    </row>
    <row r="2361" spans="1:7" x14ac:dyDescent="0.25">
      <c r="A2361" t="s">
        <v>43</v>
      </c>
      <c r="B2361" t="s">
        <v>94</v>
      </c>
      <c r="C2361" t="s">
        <v>620</v>
      </c>
      <c r="D2361">
        <v>28531</v>
      </c>
      <c r="E2361" t="s">
        <v>707</v>
      </c>
      <c r="F2361">
        <v>25.376000000000001</v>
      </c>
      <c r="G2361">
        <v>2018</v>
      </c>
    </row>
    <row r="2362" spans="1:7" x14ac:dyDescent="0.25">
      <c r="A2362" t="s">
        <v>43</v>
      </c>
      <c r="B2362" t="s">
        <v>94</v>
      </c>
      <c r="C2362" t="s">
        <v>621</v>
      </c>
      <c r="D2362">
        <v>34347</v>
      </c>
      <c r="E2362" t="s">
        <v>707</v>
      </c>
      <c r="F2362">
        <v>17.706</v>
      </c>
      <c r="G2362">
        <v>2018</v>
      </c>
    </row>
    <row r="2363" spans="1:7" x14ac:dyDescent="0.25">
      <c r="A2363" t="s">
        <v>43</v>
      </c>
      <c r="B2363" t="s">
        <v>94</v>
      </c>
      <c r="C2363" t="s">
        <v>622</v>
      </c>
      <c r="D2363">
        <v>37751</v>
      </c>
      <c r="E2363" t="s">
        <v>707</v>
      </c>
      <c r="F2363">
        <v>37.966000000000001</v>
      </c>
      <c r="G2363">
        <v>2018</v>
      </c>
    </row>
    <row r="2364" spans="1:7" x14ac:dyDescent="0.25">
      <c r="A2364" t="s">
        <v>43</v>
      </c>
      <c r="B2364" t="s">
        <v>94</v>
      </c>
      <c r="C2364" t="s">
        <v>625</v>
      </c>
      <c r="D2364">
        <v>61146</v>
      </c>
      <c r="E2364" t="s">
        <v>707</v>
      </c>
      <c r="F2364">
        <v>28.353000000000002</v>
      </c>
      <c r="G2364">
        <v>2018</v>
      </c>
    </row>
    <row r="2365" spans="1:7" x14ac:dyDescent="0.25">
      <c r="A2365" t="s">
        <v>44</v>
      </c>
      <c r="B2365" t="s">
        <v>95</v>
      </c>
      <c r="C2365" t="s">
        <v>626</v>
      </c>
      <c r="D2365">
        <v>20817</v>
      </c>
      <c r="E2365" t="s">
        <v>708</v>
      </c>
      <c r="F2365">
        <v>7688.5259999999998</v>
      </c>
      <c r="G2365">
        <v>2006</v>
      </c>
    </row>
    <row r="2366" spans="1:7" x14ac:dyDescent="0.25">
      <c r="A2366" t="s">
        <v>44</v>
      </c>
      <c r="B2366" t="s">
        <v>95</v>
      </c>
      <c r="C2366" t="s">
        <v>627</v>
      </c>
      <c r="D2366">
        <v>20819</v>
      </c>
      <c r="E2366" t="s">
        <v>707</v>
      </c>
      <c r="F2366">
        <v>1369.2170000000001</v>
      </c>
      <c r="G2366">
        <v>2006</v>
      </c>
    </row>
    <row r="2367" spans="1:7" x14ac:dyDescent="0.25">
      <c r="A2367" t="s">
        <v>44</v>
      </c>
      <c r="B2367" t="s">
        <v>95</v>
      </c>
      <c r="C2367" t="s">
        <v>628</v>
      </c>
      <c r="D2367">
        <v>20820</v>
      </c>
      <c r="E2367" t="s">
        <v>707</v>
      </c>
      <c r="F2367">
        <v>129.21199999999999</v>
      </c>
      <c r="G2367">
        <v>2006</v>
      </c>
    </row>
    <row r="2368" spans="1:7" x14ac:dyDescent="0.25">
      <c r="A2368" t="s">
        <v>44</v>
      </c>
      <c r="B2368" t="s">
        <v>95</v>
      </c>
      <c r="C2368" t="s">
        <v>629</v>
      </c>
      <c r="D2368">
        <v>24713</v>
      </c>
      <c r="E2368" t="s">
        <v>707</v>
      </c>
      <c r="F2368">
        <v>201.267</v>
      </c>
      <c r="G2368">
        <v>2006</v>
      </c>
    </row>
    <row r="2369" spans="1:7" x14ac:dyDescent="0.25">
      <c r="A2369" t="s">
        <v>44</v>
      </c>
      <c r="B2369" t="s">
        <v>95</v>
      </c>
      <c r="C2369" t="s">
        <v>630</v>
      </c>
      <c r="D2369">
        <v>28302</v>
      </c>
      <c r="E2369" t="s">
        <v>707</v>
      </c>
      <c r="F2369">
        <v>89.869</v>
      </c>
      <c r="G2369">
        <v>2006</v>
      </c>
    </row>
    <row r="2370" spans="1:7" x14ac:dyDescent="0.25">
      <c r="A2370" t="s">
        <v>44</v>
      </c>
      <c r="B2370" t="s">
        <v>95</v>
      </c>
      <c r="C2370" t="s">
        <v>631</v>
      </c>
      <c r="D2370">
        <v>31830</v>
      </c>
      <c r="E2370" t="s">
        <v>707</v>
      </c>
      <c r="F2370">
        <v>7.375</v>
      </c>
      <c r="G2370">
        <v>2006</v>
      </c>
    </row>
    <row r="2371" spans="1:7" x14ac:dyDescent="0.25">
      <c r="A2371" t="s">
        <v>44</v>
      </c>
      <c r="B2371" t="s">
        <v>95</v>
      </c>
      <c r="C2371" t="s">
        <v>632</v>
      </c>
      <c r="D2371">
        <v>31831</v>
      </c>
      <c r="E2371" t="s">
        <v>707</v>
      </c>
      <c r="F2371">
        <v>6.75</v>
      </c>
      <c r="G2371">
        <v>2006</v>
      </c>
    </row>
    <row r="2372" spans="1:7" x14ac:dyDescent="0.25">
      <c r="A2372" t="s">
        <v>44</v>
      </c>
      <c r="B2372" t="s">
        <v>95</v>
      </c>
      <c r="C2372" t="s">
        <v>626</v>
      </c>
      <c r="D2372">
        <v>20817</v>
      </c>
      <c r="E2372" t="s">
        <v>708</v>
      </c>
      <c r="F2372">
        <v>334.79199999999997</v>
      </c>
      <c r="G2372">
        <v>2007</v>
      </c>
    </row>
    <row r="2373" spans="1:7" x14ac:dyDescent="0.25">
      <c r="A2373" t="s">
        <v>44</v>
      </c>
      <c r="B2373" t="s">
        <v>95</v>
      </c>
      <c r="C2373" t="s">
        <v>628</v>
      </c>
      <c r="D2373">
        <v>20820</v>
      </c>
      <c r="E2373" t="s">
        <v>707</v>
      </c>
      <c r="F2373">
        <v>22.616</v>
      </c>
      <c r="G2373">
        <v>2007</v>
      </c>
    </row>
    <row r="2374" spans="1:7" x14ac:dyDescent="0.25">
      <c r="A2374" t="s">
        <v>44</v>
      </c>
      <c r="B2374" t="s">
        <v>95</v>
      </c>
      <c r="C2374" t="s">
        <v>629</v>
      </c>
      <c r="D2374">
        <v>24713</v>
      </c>
      <c r="E2374" t="s">
        <v>707</v>
      </c>
      <c r="F2374">
        <v>12.55</v>
      </c>
      <c r="G2374">
        <v>2007</v>
      </c>
    </row>
    <row r="2375" spans="1:7" x14ac:dyDescent="0.25">
      <c r="A2375" t="s">
        <v>44</v>
      </c>
      <c r="B2375" t="s">
        <v>95</v>
      </c>
      <c r="C2375" t="s">
        <v>631</v>
      </c>
      <c r="D2375">
        <v>31830</v>
      </c>
      <c r="E2375" t="s">
        <v>707</v>
      </c>
      <c r="F2375">
        <v>12.664</v>
      </c>
      <c r="G2375">
        <v>2007</v>
      </c>
    </row>
    <row r="2376" spans="1:7" x14ac:dyDescent="0.25">
      <c r="A2376" t="s">
        <v>44</v>
      </c>
      <c r="B2376" t="s">
        <v>95</v>
      </c>
      <c r="C2376" t="s">
        <v>632</v>
      </c>
      <c r="D2376">
        <v>31831</v>
      </c>
      <c r="E2376" t="s">
        <v>707</v>
      </c>
      <c r="F2376">
        <v>12.919</v>
      </c>
      <c r="G2376">
        <v>2007</v>
      </c>
    </row>
    <row r="2377" spans="1:7" x14ac:dyDescent="0.25">
      <c r="A2377" t="s">
        <v>44</v>
      </c>
      <c r="B2377" t="s">
        <v>95</v>
      </c>
      <c r="C2377" t="s">
        <v>626</v>
      </c>
      <c r="D2377">
        <v>20817</v>
      </c>
      <c r="E2377" t="s">
        <v>708</v>
      </c>
      <c r="F2377">
        <v>546.04399999999998</v>
      </c>
      <c r="G2377">
        <v>2008</v>
      </c>
    </row>
    <row r="2378" spans="1:7" x14ac:dyDescent="0.25">
      <c r="A2378" t="s">
        <v>44</v>
      </c>
      <c r="B2378" t="s">
        <v>95</v>
      </c>
      <c r="C2378" t="s">
        <v>628</v>
      </c>
      <c r="D2378">
        <v>20820</v>
      </c>
      <c r="E2378" t="s">
        <v>707</v>
      </c>
      <c r="F2378">
        <v>18.416</v>
      </c>
      <c r="G2378">
        <v>2008</v>
      </c>
    </row>
    <row r="2379" spans="1:7" x14ac:dyDescent="0.25">
      <c r="A2379" t="s">
        <v>44</v>
      </c>
      <c r="B2379" t="s">
        <v>95</v>
      </c>
      <c r="C2379" t="s">
        <v>629</v>
      </c>
      <c r="D2379">
        <v>24713</v>
      </c>
      <c r="E2379" t="s">
        <v>707</v>
      </c>
      <c r="F2379">
        <v>319.86500000000001</v>
      </c>
      <c r="G2379">
        <v>2008</v>
      </c>
    </row>
    <row r="2380" spans="1:7" x14ac:dyDescent="0.25">
      <c r="A2380" t="s">
        <v>44</v>
      </c>
      <c r="B2380" t="s">
        <v>95</v>
      </c>
      <c r="C2380" t="s">
        <v>631</v>
      </c>
      <c r="D2380">
        <v>31830</v>
      </c>
      <c r="E2380" t="s">
        <v>707</v>
      </c>
      <c r="F2380">
        <v>9</v>
      </c>
      <c r="G2380">
        <v>2008</v>
      </c>
    </row>
    <row r="2381" spans="1:7" x14ac:dyDescent="0.25">
      <c r="A2381" t="s">
        <v>44</v>
      </c>
      <c r="B2381" t="s">
        <v>95</v>
      </c>
      <c r="C2381" t="s">
        <v>632</v>
      </c>
      <c r="D2381">
        <v>31831</v>
      </c>
      <c r="E2381" t="s">
        <v>707</v>
      </c>
      <c r="F2381">
        <v>9</v>
      </c>
      <c r="G2381">
        <v>2008</v>
      </c>
    </row>
    <row r="2382" spans="1:7" x14ac:dyDescent="0.25">
      <c r="A2382" t="s">
        <v>45</v>
      </c>
      <c r="B2382" t="s">
        <v>96</v>
      </c>
      <c r="C2382" t="s">
        <v>633</v>
      </c>
      <c r="D2382">
        <v>59105</v>
      </c>
      <c r="E2382" t="s">
        <v>707</v>
      </c>
      <c r="F2382">
        <v>37.113999999999997</v>
      </c>
      <c r="G2382">
        <v>2007</v>
      </c>
    </row>
    <row r="2383" spans="1:7" x14ac:dyDescent="0.25">
      <c r="A2383" t="s">
        <v>45</v>
      </c>
      <c r="B2383" t="s">
        <v>96</v>
      </c>
      <c r="C2383" t="s">
        <v>634</v>
      </c>
      <c r="D2383">
        <v>59107</v>
      </c>
      <c r="E2383" t="s">
        <v>707</v>
      </c>
      <c r="F2383">
        <v>36.363999999999997</v>
      </c>
      <c r="G2383">
        <v>2007</v>
      </c>
    </row>
    <row r="2384" spans="1:7" x14ac:dyDescent="0.25">
      <c r="A2384" t="s">
        <v>45</v>
      </c>
      <c r="B2384" t="s">
        <v>96</v>
      </c>
      <c r="C2384" t="s">
        <v>635</v>
      </c>
      <c r="D2384">
        <v>59108</v>
      </c>
      <c r="E2384" t="s">
        <v>707</v>
      </c>
      <c r="F2384">
        <v>37.415999999999997</v>
      </c>
      <c r="G2384">
        <v>2007</v>
      </c>
    </row>
    <row r="2385" spans="1:7" x14ac:dyDescent="0.25">
      <c r="A2385" t="s">
        <v>45</v>
      </c>
      <c r="B2385" t="s">
        <v>96</v>
      </c>
      <c r="C2385" t="s">
        <v>636</v>
      </c>
      <c r="D2385">
        <v>59110</v>
      </c>
      <c r="E2385" t="s">
        <v>708</v>
      </c>
      <c r="F2385">
        <v>48.692</v>
      </c>
      <c r="G2385">
        <v>2007</v>
      </c>
    </row>
    <row r="2386" spans="1:7" x14ac:dyDescent="0.25">
      <c r="A2386" t="s">
        <v>45</v>
      </c>
      <c r="B2386" t="s">
        <v>96</v>
      </c>
      <c r="C2386" t="s">
        <v>637</v>
      </c>
      <c r="D2386">
        <v>59114</v>
      </c>
      <c r="E2386" t="s">
        <v>707</v>
      </c>
      <c r="F2386">
        <v>40.325000000000003</v>
      </c>
      <c r="G2386">
        <v>2007</v>
      </c>
    </row>
    <row r="2387" spans="1:7" x14ac:dyDescent="0.25">
      <c r="A2387" t="s">
        <v>45</v>
      </c>
      <c r="B2387" t="s">
        <v>96</v>
      </c>
      <c r="C2387" t="s">
        <v>633</v>
      </c>
      <c r="D2387">
        <v>59105</v>
      </c>
      <c r="E2387" t="s">
        <v>707</v>
      </c>
      <c r="F2387">
        <v>25.908999999999999</v>
      </c>
      <c r="G2387">
        <v>2008</v>
      </c>
    </row>
    <row r="2388" spans="1:7" x14ac:dyDescent="0.25">
      <c r="A2388" t="s">
        <v>45</v>
      </c>
      <c r="B2388" t="s">
        <v>96</v>
      </c>
      <c r="C2388" t="s">
        <v>634</v>
      </c>
      <c r="D2388">
        <v>59107</v>
      </c>
      <c r="E2388" t="s">
        <v>707</v>
      </c>
      <c r="F2388">
        <v>27.045999999999999</v>
      </c>
      <c r="G2388">
        <v>2008</v>
      </c>
    </row>
    <row r="2389" spans="1:7" x14ac:dyDescent="0.25">
      <c r="A2389" t="s">
        <v>45</v>
      </c>
      <c r="B2389" t="s">
        <v>96</v>
      </c>
      <c r="C2389" t="s">
        <v>636</v>
      </c>
      <c r="D2389">
        <v>59110</v>
      </c>
      <c r="E2389" t="s">
        <v>708</v>
      </c>
      <c r="F2389">
        <v>38.872</v>
      </c>
      <c r="G2389">
        <v>2008</v>
      </c>
    </row>
    <row r="2390" spans="1:7" x14ac:dyDescent="0.25">
      <c r="A2390" t="s">
        <v>45</v>
      </c>
      <c r="B2390" t="s">
        <v>96</v>
      </c>
      <c r="C2390" t="s">
        <v>638</v>
      </c>
      <c r="D2390">
        <v>59113</v>
      </c>
      <c r="E2390" t="s">
        <v>707</v>
      </c>
      <c r="F2390">
        <v>0.153</v>
      </c>
      <c r="G2390">
        <v>2008</v>
      </c>
    </row>
    <row r="2391" spans="1:7" x14ac:dyDescent="0.25">
      <c r="A2391" t="s">
        <v>45</v>
      </c>
      <c r="B2391" t="s">
        <v>96</v>
      </c>
      <c r="C2391" t="s">
        <v>637</v>
      </c>
      <c r="D2391">
        <v>59114</v>
      </c>
      <c r="E2391" t="s">
        <v>707</v>
      </c>
      <c r="F2391">
        <v>30.071999999999999</v>
      </c>
      <c r="G2391">
        <v>2008</v>
      </c>
    </row>
    <row r="2392" spans="1:7" x14ac:dyDescent="0.25">
      <c r="A2392" t="s">
        <v>45</v>
      </c>
      <c r="B2392" t="s">
        <v>96</v>
      </c>
      <c r="C2392" t="s">
        <v>639</v>
      </c>
      <c r="D2392">
        <v>59118</v>
      </c>
      <c r="E2392" t="s">
        <v>707</v>
      </c>
      <c r="F2392">
        <v>9.1999999999999998E-2</v>
      </c>
      <c r="G2392">
        <v>2008</v>
      </c>
    </row>
    <row r="2393" spans="1:7" x14ac:dyDescent="0.25">
      <c r="A2393" t="s">
        <v>45</v>
      </c>
      <c r="B2393" t="s">
        <v>96</v>
      </c>
      <c r="C2393" t="s">
        <v>633</v>
      </c>
      <c r="D2393">
        <v>59105</v>
      </c>
      <c r="E2393" t="s">
        <v>708</v>
      </c>
      <c r="F2393">
        <v>1.496</v>
      </c>
      <c r="G2393">
        <v>2009</v>
      </c>
    </row>
    <row r="2394" spans="1:7" x14ac:dyDescent="0.25">
      <c r="A2394" t="s">
        <v>45</v>
      </c>
      <c r="B2394" t="s">
        <v>96</v>
      </c>
      <c r="C2394" t="s">
        <v>634</v>
      </c>
      <c r="D2394">
        <v>59107</v>
      </c>
      <c r="E2394" t="s">
        <v>707</v>
      </c>
      <c r="F2394">
        <v>240.95599999999999</v>
      </c>
      <c r="G2394">
        <v>2009</v>
      </c>
    </row>
    <row r="2395" spans="1:7" x14ac:dyDescent="0.25">
      <c r="A2395" t="s">
        <v>45</v>
      </c>
      <c r="B2395" t="s">
        <v>96</v>
      </c>
      <c r="C2395" t="s">
        <v>636</v>
      </c>
      <c r="D2395">
        <v>59110</v>
      </c>
      <c r="E2395" t="s">
        <v>707</v>
      </c>
      <c r="F2395">
        <v>8.6880000000000006</v>
      </c>
      <c r="G2395">
        <v>2009</v>
      </c>
    </row>
    <row r="2396" spans="1:7" x14ac:dyDescent="0.25">
      <c r="A2396" t="s">
        <v>45</v>
      </c>
      <c r="B2396" t="s">
        <v>96</v>
      </c>
      <c r="C2396" t="s">
        <v>638</v>
      </c>
      <c r="D2396">
        <v>59113</v>
      </c>
      <c r="E2396" t="s">
        <v>707</v>
      </c>
      <c r="F2396">
        <v>0.183</v>
      </c>
      <c r="G2396">
        <v>2009</v>
      </c>
    </row>
    <row r="2397" spans="1:7" x14ac:dyDescent="0.25">
      <c r="A2397" t="s">
        <v>45</v>
      </c>
      <c r="B2397" t="s">
        <v>96</v>
      </c>
      <c r="C2397" t="s">
        <v>637</v>
      </c>
      <c r="D2397">
        <v>59114</v>
      </c>
      <c r="E2397" t="s">
        <v>707</v>
      </c>
      <c r="F2397">
        <v>1.0580000000000001</v>
      </c>
      <c r="G2397">
        <v>2009</v>
      </c>
    </row>
    <row r="2398" spans="1:7" x14ac:dyDescent="0.25">
      <c r="A2398" t="s">
        <v>45</v>
      </c>
      <c r="B2398" t="s">
        <v>96</v>
      </c>
      <c r="C2398" t="s">
        <v>633</v>
      </c>
      <c r="D2398">
        <v>59105</v>
      </c>
      <c r="E2398" t="s">
        <v>708</v>
      </c>
      <c r="F2398">
        <v>21.303000000000001</v>
      </c>
      <c r="G2398">
        <v>2010</v>
      </c>
    </row>
    <row r="2399" spans="1:7" x14ac:dyDescent="0.25">
      <c r="A2399" t="s">
        <v>45</v>
      </c>
      <c r="B2399" t="s">
        <v>96</v>
      </c>
      <c r="C2399" t="s">
        <v>640</v>
      </c>
      <c r="D2399">
        <v>59109</v>
      </c>
      <c r="E2399" t="s">
        <v>707</v>
      </c>
      <c r="F2399">
        <v>0.183</v>
      </c>
      <c r="G2399">
        <v>2010</v>
      </c>
    </row>
    <row r="2400" spans="1:7" x14ac:dyDescent="0.25">
      <c r="A2400" t="s">
        <v>45</v>
      </c>
      <c r="B2400" t="s">
        <v>96</v>
      </c>
      <c r="C2400" t="s">
        <v>638</v>
      </c>
      <c r="D2400">
        <v>59113</v>
      </c>
      <c r="E2400" t="s">
        <v>707</v>
      </c>
      <c r="F2400">
        <v>19.744</v>
      </c>
      <c r="G2400">
        <v>2010</v>
      </c>
    </row>
    <row r="2401" spans="1:7" x14ac:dyDescent="0.25">
      <c r="A2401" t="s">
        <v>45</v>
      </c>
      <c r="B2401" t="s">
        <v>96</v>
      </c>
      <c r="C2401" t="s">
        <v>637</v>
      </c>
      <c r="D2401">
        <v>59114</v>
      </c>
      <c r="E2401" t="s">
        <v>707</v>
      </c>
      <c r="F2401">
        <v>22.443999999999999</v>
      </c>
      <c r="G2401">
        <v>2010</v>
      </c>
    </row>
    <row r="2402" spans="1:7" x14ac:dyDescent="0.25">
      <c r="A2402" t="s">
        <v>45</v>
      </c>
      <c r="B2402" t="s">
        <v>96</v>
      </c>
      <c r="C2402" t="s">
        <v>633</v>
      </c>
      <c r="D2402">
        <v>59105</v>
      </c>
      <c r="E2402" t="s">
        <v>708</v>
      </c>
      <c r="F2402">
        <v>22.523</v>
      </c>
      <c r="G2402">
        <v>2011</v>
      </c>
    </row>
    <row r="2403" spans="1:7" x14ac:dyDescent="0.25">
      <c r="A2403" t="s">
        <v>45</v>
      </c>
      <c r="B2403" t="s">
        <v>96</v>
      </c>
      <c r="C2403" t="s">
        <v>640</v>
      </c>
      <c r="D2403">
        <v>59109</v>
      </c>
      <c r="E2403" t="s">
        <v>707</v>
      </c>
      <c r="F2403">
        <v>10.561999999999999</v>
      </c>
      <c r="G2403">
        <v>2011</v>
      </c>
    </row>
    <row r="2404" spans="1:7" x14ac:dyDescent="0.25">
      <c r="A2404" t="s">
        <v>45</v>
      </c>
      <c r="B2404" t="s">
        <v>96</v>
      </c>
      <c r="C2404" t="s">
        <v>641</v>
      </c>
      <c r="D2404">
        <v>59111</v>
      </c>
      <c r="E2404" t="s">
        <v>707</v>
      </c>
      <c r="F2404">
        <v>11.102</v>
      </c>
      <c r="G2404">
        <v>2011</v>
      </c>
    </row>
    <row r="2405" spans="1:7" x14ac:dyDescent="0.25">
      <c r="A2405" t="s">
        <v>45</v>
      </c>
      <c r="B2405" t="s">
        <v>96</v>
      </c>
      <c r="C2405" t="s">
        <v>638</v>
      </c>
      <c r="D2405">
        <v>59113</v>
      </c>
      <c r="E2405" t="s">
        <v>707</v>
      </c>
      <c r="F2405">
        <v>11.025</v>
      </c>
      <c r="G2405">
        <v>2011</v>
      </c>
    </row>
    <row r="2406" spans="1:7" x14ac:dyDescent="0.25">
      <c r="A2406" t="s">
        <v>45</v>
      </c>
      <c r="B2406" t="s">
        <v>96</v>
      </c>
      <c r="C2406" t="s">
        <v>637</v>
      </c>
      <c r="D2406">
        <v>59114</v>
      </c>
      <c r="E2406" t="s">
        <v>707</v>
      </c>
      <c r="F2406">
        <v>14.51</v>
      </c>
      <c r="G2406">
        <v>2011</v>
      </c>
    </row>
    <row r="2407" spans="1:7" x14ac:dyDescent="0.25">
      <c r="A2407" t="s">
        <v>45</v>
      </c>
      <c r="B2407" t="s">
        <v>96</v>
      </c>
      <c r="C2407" t="s">
        <v>642</v>
      </c>
      <c r="D2407">
        <v>59117</v>
      </c>
      <c r="E2407" t="s">
        <v>707</v>
      </c>
      <c r="F2407">
        <v>11.975</v>
      </c>
      <c r="G2407">
        <v>2011</v>
      </c>
    </row>
    <row r="2408" spans="1:7" x14ac:dyDescent="0.25">
      <c r="A2408" t="s">
        <v>45</v>
      </c>
      <c r="B2408" t="s">
        <v>96</v>
      </c>
      <c r="C2408" t="s">
        <v>633</v>
      </c>
      <c r="D2408">
        <v>59105</v>
      </c>
      <c r="E2408" t="s">
        <v>708</v>
      </c>
      <c r="F2408">
        <v>24.907</v>
      </c>
      <c r="G2408">
        <v>2012</v>
      </c>
    </row>
    <row r="2409" spans="1:7" x14ac:dyDescent="0.25">
      <c r="A2409" t="s">
        <v>45</v>
      </c>
      <c r="B2409" t="s">
        <v>96</v>
      </c>
      <c r="C2409" t="s">
        <v>640</v>
      </c>
      <c r="D2409">
        <v>59109</v>
      </c>
      <c r="E2409" t="s">
        <v>707</v>
      </c>
      <c r="F2409">
        <v>11.146000000000001</v>
      </c>
      <c r="G2409">
        <v>2012</v>
      </c>
    </row>
    <row r="2410" spans="1:7" x14ac:dyDescent="0.25">
      <c r="A2410" t="s">
        <v>45</v>
      </c>
      <c r="B2410" t="s">
        <v>96</v>
      </c>
      <c r="C2410" t="s">
        <v>638</v>
      </c>
      <c r="D2410">
        <v>59113</v>
      </c>
      <c r="E2410" t="s">
        <v>707</v>
      </c>
      <c r="F2410">
        <v>19.361999999999998</v>
      </c>
      <c r="G2410">
        <v>2012</v>
      </c>
    </row>
    <row r="2411" spans="1:7" x14ac:dyDescent="0.25">
      <c r="A2411" t="s">
        <v>45</v>
      </c>
      <c r="B2411" t="s">
        <v>96</v>
      </c>
      <c r="C2411" t="s">
        <v>637</v>
      </c>
      <c r="D2411">
        <v>59114</v>
      </c>
      <c r="E2411" t="s">
        <v>707</v>
      </c>
      <c r="F2411">
        <v>18.695</v>
      </c>
      <c r="G2411">
        <v>2012</v>
      </c>
    </row>
    <row r="2412" spans="1:7" x14ac:dyDescent="0.25">
      <c r="A2412" t="s">
        <v>45</v>
      </c>
      <c r="B2412" t="s">
        <v>96</v>
      </c>
      <c r="C2412" t="s">
        <v>642</v>
      </c>
      <c r="D2412">
        <v>59117</v>
      </c>
      <c r="E2412" t="s">
        <v>707</v>
      </c>
      <c r="F2412">
        <v>21.247</v>
      </c>
      <c r="G2412">
        <v>2012</v>
      </c>
    </row>
    <row r="2413" spans="1:7" x14ac:dyDescent="0.25">
      <c r="A2413" t="s">
        <v>45</v>
      </c>
      <c r="B2413" t="s">
        <v>96</v>
      </c>
      <c r="C2413" t="s">
        <v>633</v>
      </c>
      <c r="D2413">
        <v>59105</v>
      </c>
      <c r="E2413" t="s">
        <v>708</v>
      </c>
      <c r="F2413">
        <v>839.73500000000001</v>
      </c>
      <c r="G2413">
        <v>2013</v>
      </c>
    </row>
    <row r="2414" spans="1:7" x14ac:dyDescent="0.25">
      <c r="A2414" t="s">
        <v>45</v>
      </c>
      <c r="B2414" t="s">
        <v>96</v>
      </c>
      <c r="C2414" t="s">
        <v>640</v>
      </c>
      <c r="D2414">
        <v>59109</v>
      </c>
      <c r="E2414" t="s">
        <v>707</v>
      </c>
      <c r="F2414">
        <v>17.971</v>
      </c>
      <c r="G2414">
        <v>2013</v>
      </c>
    </row>
    <row r="2415" spans="1:7" x14ac:dyDescent="0.25">
      <c r="A2415" t="s">
        <v>45</v>
      </c>
      <c r="B2415" t="s">
        <v>96</v>
      </c>
      <c r="C2415" t="s">
        <v>638</v>
      </c>
      <c r="D2415">
        <v>59113</v>
      </c>
      <c r="E2415" t="s">
        <v>707</v>
      </c>
      <c r="F2415">
        <v>16.154</v>
      </c>
      <c r="G2415">
        <v>2013</v>
      </c>
    </row>
    <row r="2416" spans="1:7" x14ac:dyDescent="0.25">
      <c r="A2416" t="s">
        <v>45</v>
      </c>
      <c r="B2416" t="s">
        <v>96</v>
      </c>
      <c r="C2416" t="s">
        <v>637</v>
      </c>
      <c r="D2416">
        <v>59114</v>
      </c>
      <c r="E2416" t="s">
        <v>707</v>
      </c>
      <c r="F2416">
        <v>18.295000000000002</v>
      </c>
      <c r="G2416">
        <v>2013</v>
      </c>
    </row>
    <row r="2417" spans="1:7" x14ac:dyDescent="0.25">
      <c r="A2417" t="s">
        <v>45</v>
      </c>
      <c r="B2417" t="s">
        <v>96</v>
      </c>
      <c r="C2417" t="s">
        <v>642</v>
      </c>
      <c r="D2417">
        <v>59117</v>
      </c>
      <c r="E2417" t="s">
        <v>707</v>
      </c>
      <c r="F2417">
        <v>17.718</v>
      </c>
      <c r="G2417">
        <v>2013</v>
      </c>
    </row>
    <row r="2418" spans="1:7" x14ac:dyDescent="0.25">
      <c r="A2418" t="s">
        <v>45</v>
      </c>
      <c r="B2418" t="s">
        <v>96</v>
      </c>
      <c r="C2418" t="s">
        <v>640</v>
      </c>
      <c r="D2418">
        <v>59109</v>
      </c>
      <c r="E2418" t="s">
        <v>708</v>
      </c>
      <c r="F2418">
        <v>18.138000000000002</v>
      </c>
      <c r="G2418">
        <v>2014</v>
      </c>
    </row>
    <row r="2419" spans="1:7" x14ac:dyDescent="0.25">
      <c r="A2419" t="s">
        <v>45</v>
      </c>
      <c r="B2419" t="s">
        <v>96</v>
      </c>
      <c r="C2419" t="s">
        <v>643</v>
      </c>
      <c r="D2419">
        <v>59112</v>
      </c>
      <c r="E2419" t="s">
        <v>707</v>
      </c>
      <c r="F2419">
        <v>8.093</v>
      </c>
      <c r="G2419">
        <v>2014</v>
      </c>
    </row>
    <row r="2420" spans="1:7" x14ac:dyDescent="0.25">
      <c r="A2420" t="s">
        <v>45</v>
      </c>
      <c r="B2420" t="s">
        <v>96</v>
      </c>
      <c r="C2420" t="s">
        <v>637</v>
      </c>
      <c r="D2420">
        <v>59114</v>
      </c>
      <c r="E2420" t="s">
        <v>707</v>
      </c>
      <c r="F2420">
        <v>18.173999999999999</v>
      </c>
      <c r="G2420">
        <v>2014</v>
      </c>
    </row>
    <row r="2421" spans="1:7" x14ac:dyDescent="0.25">
      <c r="A2421" t="s">
        <v>45</v>
      </c>
      <c r="B2421" t="s">
        <v>96</v>
      </c>
      <c r="C2421" t="s">
        <v>644</v>
      </c>
      <c r="D2421">
        <v>59115</v>
      </c>
      <c r="E2421" t="s">
        <v>707</v>
      </c>
      <c r="F2421">
        <v>14.646000000000001</v>
      </c>
      <c r="G2421">
        <v>2014</v>
      </c>
    </row>
    <row r="2422" spans="1:7" x14ac:dyDescent="0.25">
      <c r="A2422" t="s">
        <v>45</v>
      </c>
      <c r="B2422" t="s">
        <v>96</v>
      </c>
      <c r="C2422" t="s">
        <v>642</v>
      </c>
      <c r="D2422">
        <v>59117</v>
      </c>
      <c r="E2422" t="s">
        <v>707</v>
      </c>
      <c r="F2422">
        <v>18.347000000000001</v>
      </c>
      <c r="G2422">
        <v>2014</v>
      </c>
    </row>
    <row r="2423" spans="1:7" x14ac:dyDescent="0.25">
      <c r="A2423" t="s">
        <v>45</v>
      </c>
      <c r="B2423" t="s">
        <v>96</v>
      </c>
      <c r="C2423" t="s">
        <v>640</v>
      </c>
      <c r="D2423">
        <v>59109</v>
      </c>
      <c r="E2423" t="s">
        <v>707</v>
      </c>
      <c r="F2423">
        <v>879.69</v>
      </c>
      <c r="G2423">
        <v>2015</v>
      </c>
    </row>
    <row r="2424" spans="1:7" x14ac:dyDescent="0.25">
      <c r="A2424" t="s">
        <v>45</v>
      </c>
      <c r="B2424" t="s">
        <v>96</v>
      </c>
      <c r="C2424" t="s">
        <v>643</v>
      </c>
      <c r="D2424">
        <v>59112</v>
      </c>
      <c r="E2424" t="s">
        <v>708</v>
      </c>
      <c r="F2424">
        <v>15.273</v>
      </c>
      <c r="G2424">
        <v>2015</v>
      </c>
    </row>
    <row r="2425" spans="1:7" x14ac:dyDescent="0.25">
      <c r="A2425" t="s">
        <v>45</v>
      </c>
      <c r="B2425" t="s">
        <v>96</v>
      </c>
      <c r="C2425" t="s">
        <v>637</v>
      </c>
      <c r="D2425">
        <v>59114</v>
      </c>
      <c r="E2425" t="s">
        <v>707</v>
      </c>
      <c r="F2425">
        <v>18.404</v>
      </c>
      <c r="G2425">
        <v>2015</v>
      </c>
    </row>
    <row r="2426" spans="1:7" x14ac:dyDescent="0.25">
      <c r="A2426" t="s">
        <v>45</v>
      </c>
      <c r="B2426" t="s">
        <v>96</v>
      </c>
      <c r="C2426" t="s">
        <v>644</v>
      </c>
      <c r="D2426">
        <v>59115</v>
      </c>
      <c r="E2426" t="s">
        <v>707</v>
      </c>
      <c r="F2426">
        <v>15.022</v>
      </c>
      <c r="G2426">
        <v>2015</v>
      </c>
    </row>
    <row r="2427" spans="1:7" x14ac:dyDescent="0.25">
      <c r="A2427" t="s">
        <v>45</v>
      </c>
      <c r="B2427" t="s">
        <v>96</v>
      </c>
      <c r="C2427" t="s">
        <v>645</v>
      </c>
      <c r="D2427">
        <v>59116</v>
      </c>
      <c r="E2427" t="s">
        <v>707</v>
      </c>
      <c r="F2427">
        <v>1.5980000000000001</v>
      </c>
      <c r="G2427">
        <v>2015</v>
      </c>
    </row>
    <row r="2428" spans="1:7" x14ac:dyDescent="0.25">
      <c r="A2428" t="s">
        <v>45</v>
      </c>
      <c r="B2428" t="s">
        <v>96</v>
      </c>
      <c r="C2428" t="s">
        <v>642</v>
      </c>
      <c r="D2428">
        <v>59117</v>
      </c>
      <c r="E2428" t="s">
        <v>707</v>
      </c>
      <c r="F2428">
        <v>18.777000000000001</v>
      </c>
      <c r="G2428">
        <v>2015</v>
      </c>
    </row>
    <row r="2429" spans="1:7" x14ac:dyDescent="0.25">
      <c r="A2429" t="s">
        <v>45</v>
      </c>
      <c r="B2429" t="s">
        <v>96</v>
      </c>
      <c r="C2429" t="s">
        <v>643</v>
      </c>
      <c r="D2429">
        <v>59112</v>
      </c>
      <c r="E2429" t="s">
        <v>708</v>
      </c>
      <c r="F2429">
        <v>26.771000000000001</v>
      </c>
      <c r="G2429">
        <v>2016</v>
      </c>
    </row>
    <row r="2430" spans="1:7" x14ac:dyDescent="0.25">
      <c r="A2430" t="s">
        <v>45</v>
      </c>
      <c r="B2430" t="s">
        <v>96</v>
      </c>
      <c r="C2430" t="s">
        <v>644</v>
      </c>
      <c r="D2430">
        <v>59115</v>
      </c>
      <c r="E2430" t="s">
        <v>707</v>
      </c>
      <c r="F2430">
        <v>21.152999999999999</v>
      </c>
      <c r="G2430">
        <v>2016</v>
      </c>
    </row>
    <row r="2431" spans="1:7" x14ac:dyDescent="0.25">
      <c r="A2431" t="s">
        <v>45</v>
      </c>
      <c r="B2431" t="s">
        <v>96</v>
      </c>
      <c r="C2431" t="s">
        <v>645</v>
      </c>
      <c r="D2431">
        <v>59116</v>
      </c>
      <c r="E2431" t="s">
        <v>707</v>
      </c>
      <c r="F2431">
        <v>15.984999999999999</v>
      </c>
      <c r="G2431">
        <v>2016</v>
      </c>
    </row>
    <row r="2432" spans="1:7" x14ac:dyDescent="0.25">
      <c r="A2432" t="s">
        <v>45</v>
      </c>
      <c r="B2432" t="s">
        <v>96</v>
      </c>
      <c r="C2432" t="s">
        <v>642</v>
      </c>
      <c r="D2432">
        <v>59117</v>
      </c>
      <c r="E2432" t="s">
        <v>707</v>
      </c>
      <c r="F2432">
        <v>22.869</v>
      </c>
      <c r="G2432">
        <v>2016</v>
      </c>
    </row>
    <row r="2433" spans="1:7" x14ac:dyDescent="0.25">
      <c r="A2433" t="s">
        <v>45</v>
      </c>
      <c r="B2433" t="s">
        <v>96</v>
      </c>
      <c r="C2433" t="s">
        <v>646</v>
      </c>
      <c r="D2433">
        <v>59119</v>
      </c>
      <c r="E2433" t="s">
        <v>707</v>
      </c>
      <c r="F2433">
        <v>14.25</v>
      </c>
      <c r="G2433">
        <v>2016</v>
      </c>
    </row>
    <row r="2434" spans="1:7" x14ac:dyDescent="0.25">
      <c r="A2434" t="s">
        <v>45</v>
      </c>
      <c r="B2434" t="s">
        <v>96</v>
      </c>
      <c r="C2434" t="s">
        <v>647</v>
      </c>
      <c r="D2434">
        <v>59106</v>
      </c>
      <c r="E2434" t="s">
        <v>707</v>
      </c>
      <c r="F2434">
        <v>37.494</v>
      </c>
      <c r="G2434">
        <v>2017</v>
      </c>
    </row>
    <row r="2435" spans="1:7" x14ac:dyDescent="0.25">
      <c r="A2435" t="s">
        <v>45</v>
      </c>
      <c r="B2435" t="s">
        <v>96</v>
      </c>
      <c r="C2435" t="s">
        <v>643</v>
      </c>
      <c r="D2435">
        <v>59112</v>
      </c>
      <c r="E2435" t="s">
        <v>708</v>
      </c>
      <c r="F2435">
        <v>151.08000000000001</v>
      </c>
      <c r="G2435">
        <v>2017</v>
      </c>
    </row>
    <row r="2436" spans="1:7" x14ac:dyDescent="0.25">
      <c r="A2436" t="s">
        <v>45</v>
      </c>
      <c r="B2436" t="s">
        <v>96</v>
      </c>
      <c r="C2436" t="s">
        <v>644</v>
      </c>
      <c r="D2436">
        <v>59115</v>
      </c>
      <c r="E2436" t="s">
        <v>707</v>
      </c>
      <c r="F2436">
        <v>63.258000000000003</v>
      </c>
      <c r="G2436">
        <v>2017</v>
      </c>
    </row>
    <row r="2437" spans="1:7" x14ac:dyDescent="0.25">
      <c r="A2437" t="s">
        <v>45</v>
      </c>
      <c r="B2437" t="s">
        <v>96</v>
      </c>
      <c r="C2437" t="s">
        <v>645</v>
      </c>
      <c r="D2437">
        <v>59116</v>
      </c>
      <c r="E2437" t="s">
        <v>707</v>
      </c>
      <c r="F2437">
        <v>40.409999999999997</v>
      </c>
      <c r="G2437">
        <v>2017</v>
      </c>
    </row>
    <row r="2438" spans="1:7" x14ac:dyDescent="0.25">
      <c r="A2438" t="s">
        <v>45</v>
      </c>
      <c r="B2438" t="s">
        <v>96</v>
      </c>
      <c r="C2438" t="s">
        <v>642</v>
      </c>
      <c r="D2438">
        <v>59117</v>
      </c>
      <c r="E2438" t="s">
        <v>707</v>
      </c>
      <c r="F2438">
        <v>65.346999999999994</v>
      </c>
      <c r="G2438">
        <v>2017</v>
      </c>
    </row>
    <row r="2439" spans="1:7" x14ac:dyDescent="0.25">
      <c r="A2439" t="s">
        <v>45</v>
      </c>
      <c r="B2439" t="s">
        <v>96</v>
      </c>
      <c r="C2439" t="s">
        <v>647</v>
      </c>
      <c r="D2439">
        <v>59106</v>
      </c>
      <c r="E2439" t="s">
        <v>707</v>
      </c>
      <c r="F2439">
        <v>23.436</v>
      </c>
      <c r="G2439">
        <v>2018</v>
      </c>
    </row>
    <row r="2440" spans="1:7" x14ac:dyDescent="0.25">
      <c r="A2440" t="s">
        <v>45</v>
      </c>
      <c r="B2440" t="s">
        <v>96</v>
      </c>
      <c r="C2440" t="s">
        <v>643</v>
      </c>
      <c r="D2440">
        <v>59112</v>
      </c>
      <c r="E2440" t="s">
        <v>708</v>
      </c>
      <c r="F2440">
        <v>38.713999999999999</v>
      </c>
      <c r="G2440">
        <v>2018</v>
      </c>
    </row>
    <row r="2441" spans="1:7" x14ac:dyDescent="0.25">
      <c r="A2441" t="s">
        <v>45</v>
      </c>
      <c r="B2441" t="s">
        <v>96</v>
      </c>
      <c r="C2441" t="s">
        <v>644</v>
      </c>
      <c r="D2441">
        <v>59115</v>
      </c>
      <c r="E2441" t="s">
        <v>707</v>
      </c>
      <c r="F2441">
        <v>26.61</v>
      </c>
      <c r="G2441">
        <v>2018</v>
      </c>
    </row>
    <row r="2442" spans="1:7" x14ac:dyDescent="0.25">
      <c r="A2442" t="s">
        <v>45</v>
      </c>
      <c r="B2442" t="s">
        <v>96</v>
      </c>
      <c r="C2442" t="s">
        <v>645</v>
      </c>
      <c r="D2442">
        <v>59116</v>
      </c>
      <c r="E2442" t="s">
        <v>707</v>
      </c>
      <c r="F2442">
        <v>26.231000000000002</v>
      </c>
      <c r="G2442">
        <v>2018</v>
      </c>
    </row>
    <row r="2443" spans="1:7" x14ac:dyDescent="0.25">
      <c r="A2443" t="s">
        <v>45</v>
      </c>
      <c r="B2443" t="s">
        <v>96</v>
      </c>
      <c r="C2443" t="s">
        <v>642</v>
      </c>
      <c r="D2443">
        <v>59117</v>
      </c>
      <c r="E2443" t="s">
        <v>707</v>
      </c>
      <c r="F2443">
        <v>28.341999999999999</v>
      </c>
      <c r="G2443">
        <v>2018</v>
      </c>
    </row>
    <row r="2444" spans="1:7" x14ac:dyDescent="0.25">
      <c r="A2444" t="s">
        <v>46</v>
      </c>
      <c r="B2444" t="s">
        <v>97</v>
      </c>
      <c r="C2444" t="s">
        <v>648</v>
      </c>
      <c r="D2444">
        <v>26144</v>
      </c>
      <c r="E2444" t="s">
        <v>707</v>
      </c>
      <c r="F2444">
        <v>122.369</v>
      </c>
      <c r="G2444">
        <v>2006</v>
      </c>
    </row>
    <row r="2445" spans="1:7" x14ac:dyDescent="0.25">
      <c r="A2445" t="s">
        <v>46</v>
      </c>
      <c r="B2445" t="s">
        <v>97</v>
      </c>
      <c r="C2445" t="s">
        <v>649</v>
      </c>
      <c r="D2445">
        <v>30011</v>
      </c>
      <c r="E2445" t="s">
        <v>708</v>
      </c>
      <c r="F2445">
        <v>6.6</v>
      </c>
      <c r="G2445">
        <v>2006</v>
      </c>
    </row>
    <row r="2446" spans="1:7" x14ac:dyDescent="0.25">
      <c r="A2446" t="s">
        <v>46</v>
      </c>
      <c r="B2446" t="s">
        <v>97</v>
      </c>
      <c r="C2446" t="s">
        <v>650</v>
      </c>
      <c r="D2446">
        <v>31217</v>
      </c>
      <c r="E2446" t="s">
        <v>707</v>
      </c>
      <c r="F2446">
        <v>6.6</v>
      </c>
      <c r="G2446">
        <v>2006</v>
      </c>
    </row>
    <row r="2447" spans="1:7" x14ac:dyDescent="0.25">
      <c r="A2447" t="s">
        <v>46</v>
      </c>
      <c r="B2447" t="s">
        <v>97</v>
      </c>
      <c r="C2447" t="s">
        <v>651</v>
      </c>
      <c r="D2447">
        <v>31218</v>
      </c>
      <c r="E2447" t="s">
        <v>707</v>
      </c>
      <c r="F2447">
        <v>6.6</v>
      </c>
      <c r="G2447">
        <v>2006</v>
      </c>
    </row>
    <row r="2448" spans="1:7" x14ac:dyDescent="0.25">
      <c r="A2448" t="s">
        <v>46</v>
      </c>
      <c r="B2448" t="s">
        <v>97</v>
      </c>
      <c r="C2448" t="s">
        <v>652</v>
      </c>
      <c r="D2448">
        <v>31219</v>
      </c>
      <c r="E2448" t="s">
        <v>707</v>
      </c>
      <c r="F2448">
        <v>6.6</v>
      </c>
      <c r="G2448">
        <v>2006</v>
      </c>
    </row>
    <row r="2449" spans="1:7" x14ac:dyDescent="0.25">
      <c r="A2449" t="s">
        <v>46</v>
      </c>
      <c r="B2449" t="s">
        <v>97</v>
      </c>
      <c r="C2449" t="s">
        <v>653</v>
      </c>
      <c r="D2449">
        <v>33782</v>
      </c>
      <c r="E2449" t="s">
        <v>707</v>
      </c>
      <c r="F2449">
        <v>25.395</v>
      </c>
      <c r="G2449">
        <v>2006</v>
      </c>
    </row>
    <row r="2450" spans="1:7" x14ac:dyDescent="0.25">
      <c r="A2450" t="s">
        <v>46</v>
      </c>
      <c r="B2450" t="s">
        <v>97</v>
      </c>
      <c r="C2450" t="s">
        <v>649</v>
      </c>
      <c r="D2450">
        <v>30011</v>
      </c>
      <c r="E2450" t="s">
        <v>708</v>
      </c>
      <c r="F2450">
        <v>6.75</v>
      </c>
      <c r="G2450">
        <v>2007</v>
      </c>
    </row>
    <row r="2451" spans="1:7" x14ac:dyDescent="0.25">
      <c r="A2451" t="s">
        <v>46</v>
      </c>
      <c r="B2451" t="s">
        <v>97</v>
      </c>
      <c r="C2451" t="s">
        <v>650</v>
      </c>
      <c r="D2451">
        <v>31217</v>
      </c>
      <c r="E2451" t="s">
        <v>707</v>
      </c>
      <c r="F2451">
        <v>6.75</v>
      </c>
      <c r="G2451">
        <v>2007</v>
      </c>
    </row>
    <row r="2452" spans="1:7" x14ac:dyDescent="0.25">
      <c r="A2452" t="s">
        <v>46</v>
      </c>
      <c r="B2452" t="s">
        <v>97</v>
      </c>
      <c r="C2452" t="s">
        <v>651</v>
      </c>
      <c r="D2452">
        <v>31218</v>
      </c>
      <c r="E2452" t="s">
        <v>707</v>
      </c>
      <c r="F2452">
        <v>267.26400000000001</v>
      </c>
      <c r="G2452">
        <v>2007</v>
      </c>
    </row>
    <row r="2453" spans="1:7" x14ac:dyDescent="0.25">
      <c r="A2453" t="s">
        <v>46</v>
      </c>
      <c r="B2453" t="s">
        <v>97</v>
      </c>
      <c r="C2453" t="s">
        <v>652</v>
      </c>
      <c r="D2453">
        <v>31219</v>
      </c>
      <c r="E2453" t="s">
        <v>707</v>
      </c>
      <c r="F2453">
        <v>6.75</v>
      </c>
      <c r="G2453">
        <v>2007</v>
      </c>
    </row>
    <row r="2454" spans="1:7" x14ac:dyDescent="0.25">
      <c r="A2454" t="s">
        <v>46</v>
      </c>
      <c r="B2454" t="s">
        <v>97</v>
      </c>
      <c r="C2454" t="s">
        <v>654</v>
      </c>
      <c r="D2454">
        <v>38429</v>
      </c>
      <c r="E2454" t="s">
        <v>707</v>
      </c>
      <c r="F2454">
        <v>6.75</v>
      </c>
      <c r="G2454">
        <v>2007</v>
      </c>
    </row>
    <row r="2455" spans="1:7" x14ac:dyDescent="0.25">
      <c r="A2455" t="s">
        <v>46</v>
      </c>
      <c r="B2455" t="s">
        <v>97</v>
      </c>
      <c r="C2455" t="s">
        <v>649</v>
      </c>
      <c r="D2455">
        <v>30011</v>
      </c>
      <c r="E2455" t="s">
        <v>708</v>
      </c>
      <c r="F2455">
        <v>6.9</v>
      </c>
      <c r="G2455">
        <v>2008</v>
      </c>
    </row>
    <row r="2456" spans="1:7" x14ac:dyDescent="0.25">
      <c r="A2456" t="s">
        <v>46</v>
      </c>
      <c r="B2456" t="s">
        <v>97</v>
      </c>
      <c r="C2456" t="s">
        <v>650</v>
      </c>
      <c r="D2456">
        <v>31217</v>
      </c>
      <c r="E2456" t="s">
        <v>707</v>
      </c>
      <c r="F2456">
        <v>6.9</v>
      </c>
      <c r="G2456">
        <v>2008</v>
      </c>
    </row>
    <row r="2457" spans="1:7" x14ac:dyDescent="0.25">
      <c r="A2457" t="s">
        <v>46</v>
      </c>
      <c r="B2457" t="s">
        <v>97</v>
      </c>
      <c r="C2457" t="s">
        <v>652</v>
      </c>
      <c r="D2457">
        <v>31219</v>
      </c>
      <c r="E2457" t="s">
        <v>707</v>
      </c>
      <c r="F2457">
        <v>6.9</v>
      </c>
      <c r="G2457">
        <v>2008</v>
      </c>
    </row>
    <row r="2458" spans="1:7" x14ac:dyDescent="0.25">
      <c r="A2458" t="s">
        <v>46</v>
      </c>
      <c r="B2458" t="s">
        <v>97</v>
      </c>
      <c r="C2458" t="s">
        <v>654</v>
      </c>
      <c r="D2458">
        <v>38429</v>
      </c>
      <c r="E2458" t="s">
        <v>707</v>
      </c>
      <c r="F2458">
        <v>6.9</v>
      </c>
      <c r="G2458">
        <v>2008</v>
      </c>
    </row>
    <row r="2459" spans="1:7" x14ac:dyDescent="0.25">
      <c r="A2459" t="s">
        <v>46</v>
      </c>
      <c r="B2459" t="s">
        <v>97</v>
      </c>
      <c r="C2459" t="s">
        <v>649</v>
      </c>
      <c r="D2459">
        <v>30011</v>
      </c>
      <c r="E2459" t="s">
        <v>708</v>
      </c>
      <c r="F2459">
        <v>50</v>
      </c>
      <c r="G2459">
        <v>2009</v>
      </c>
    </row>
    <row r="2460" spans="1:7" x14ac:dyDescent="0.25">
      <c r="A2460" t="s">
        <v>46</v>
      </c>
      <c r="B2460" t="s">
        <v>97</v>
      </c>
      <c r="C2460" t="s">
        <v>650</v>
      </c>
      <c r="D2460">
        <v>31217</v>
      </c>
      <c r="E2460" t="s">
        <v>707</v>
      </c>
      <c r="F2460">
        <v>12.8</v>
      </c>
      <c r="G2460">
        <v>2009</v>
      </c>
    </row>
    <row r="2461" spans="1:7" x14ac:dyDescent="0.25">
      <c r="A2461" t="s">
        <v>46</v>
      </c>
      <c r="B2461" t="s">
        <v>97</v>
      </c>
      <c r="C2461" t="s">
        <v>652</v>
      </c>
      <c r="D2461">
        <v>31219</v>
      </c>
      <c r="E2461" t="s">
        <v>707</v>
      </c>
      <c r="F2461">
        <v>11.7</v>
      </c>
      <c r="G2461">
        <v>2009</v>
      </c>
    </row>
    <row r="2462" spans="1:7" x14ac:dyDescent="0.25">
      <c r="A2462" t="s">
        <v>46</v>
      </c>
      <c r="B2462" t="s">
        <v>97</v>
      </c>
      <c r="C2462" t="s">
        <v>655</v>
      </c>
      <c r="D2462">
        <v>44125</v>
      </c>
      <c r="E2462" t="s">
        <v>707</v>
      </c>
      <c r="F2462">
        <v>38.700000000000003</v>
      </c>
      <c r="G2462">
        <v>2009</v>
      </c>
    </row>
    <row r="2463" spans="1:7" x14ac:dyDescent="0.25">
      <c r="A2463" t="s">
        <v>46</v>
      </c>
      <c r="B2463" t="s">
        <v>97</v>
      </c>
      <c r="C2463" t="s">
        <v>656</v>
      </c>
      <c r="D2463">
        <v>44126</v>
      </c>
      <c r="E2463" t="s">
        <v>707</v>
      </c>
      <c r="F2463">
        <v>0</v>
      </c>
      <c r="G2463">
        <v>2009</v>
      </c>
    </row>
    <row r="2464" spans="1:7" x14ac:dyDescent="0.25">
      <c r="A2464" t="s">
        <v>46</v>
      </c>
      <c r="B2464" t="s">
        <v>97</v>
      </c>
      <c r="C2464" t="s">
        <v>649</v>
      </c>
      <c r="D2464">
        <v>30011</v>
      </c>
      <c r="E2464" t="s">
        <v>708</v>
      </c>
      <c r="F2464">
        <v>0</v>
      </c>
      <c r="G2464">
        <v>2010</v>
      </c>
    </row>
    <row r="2465" spans="1:7" x14ac:dyDescent="0.25">
      <c r="A2465" t="s">
        <v>46</v>
      </c>
      <c r="B2465" t="s">
        <v>97</v>
      </c>
      <c r="C2465" t="s">
        <v>655</v>
      </c>
      <c r="D2465">
        <v>44125</v>
      </c>
      <c r="E2465" t="s">
        <v>707</v>
      </c>
      <c r="F2465">
        <v>207.7</v>
      </c>
      <c r="G2465">
        <v>2010</v>
      </c>
    </row>
    <row r="2466" spans="1:7" x14ac:dyDescent="0.25">
      <c r="A2466" t="s">
        <v>46</v>
      </c>
      <c r="B2466" t="s">
        <v>97</v>
      </c>
      <c r="C2466" t="s">
        <v>656</v>
      </c>
      <c r="D2466">
        <v>44126</v>
      </c>
      <c r="E2466" t="s">
        <v>707</v>
      </c>
      <c r="F2466">
        <v>0</v>
      </c>
      <c r="G2466">
        <v>2010</v>
      </c>
    </row>
    <row r="2467" spans="1:7" x14ac:dyDescent="0.25">
      <c r="A2467" t="s">
        <v>46</v>
      </c>
      <c r="B2467" t="s">
        <v>97</v>
      </c>
      <c r="C2467" t="s">
        <v>649</v>
      </c>
      <c r="D2467">
        <v>30011</v>
      </c>
      <c r="E2467" t="s">
        <v>708</v>
      </c>
      <c r="F2467">
        <v>0</v>
      </c>
      <c r="G2467">
        <v>2011</v>
      </c>
    </row>
    <row r="2468" spans="1:7" x14ac:dyDescent="0.25">
      <c r="A2468" t="s">
        <v>46</v>
      </c>
      <c r="B2468" t="s">
        <v>97</v>
      </c>
      <c r="C2468" t="s">
        <v>655</v>
      </c>
      <c r="D2468">
        <v>44125</v>
      </c>
      <c r="E2468" t="s">
        <v>707</v>
      </c>
      <c r="F2468">
        <v>0</v>
      </c>
      <c r="G2468">
        <v>2011</v>
      </c>
    </row>
    <row r="2469" spans="1:7" x14ac:dyDescent="0.25">
      <c r="A2469" t="s">
        <v>46</v>
      </c>
      <c r="B2469" t="s">
        <v>97</v>
      </c>
      <c r="C2469" t="s">
        <v>656</v>
      </c>
      <c r="D2469">
        <v>44126</v>
      </c>
      <c r="E2469" t="s">
        <v>707</v>
      </c>
      <c r="F2469">
        <v>0</v>
      </c>
      <c r="G2469">
        <v>2011</v>
      </c>
    </row>
    <row r="2470" spans="1:7" x14ac:dyDescent="0.25">
      <c r="A2470" t="s">
        <v>46</v>
      </c>
      <c r="B2470" t="s">
        <v>97</v>
      </c>
      <c r="C2470" t="s">
        <v>649</v>
      </c>
      <c r="D2470">
        <v>30011</v>
      </c>
      <c r="E2470" t="s">
        <v>707</v>
      </c>
      <c r="F2470">
        <v>0</v>
      </c>
      <c r="G2470">
        <v>2012</v>
      </c>
    </row>
    <row r="2471" spans="1:7" x14ac:dyDescent="0.25">
      <c r="A2471" t="s">
        <v>46</v>
      </c>
      <c r="B2471" t="s">
        <v>97</v>
      </c>
      <c r="C2471" t="s">
        <v>656</v>
      </c>
      <c r="D2471">
        <v>44126</v>
      </c>
      <c r="E2471" t="s">
        <v>707</v>
      </c>
      <c r="F2471">
        <v>0</v>
      </c>
      <c r="G2471">
        <v>2012</v>
      </c>
    </row>
    <row r="2472" spans="1:7" x14ac:dyDescent="0.25">
      <c r="A2472" t="s">
        <v>46</v>
      </c>
      <c r="B2472" t="s">
        <v>97</v>
      </c>
      <c r="C2472" t="s">
        <v>657</v>
      </c>
      <c r="D2472">
        <v>47173</v>
      </c>
      <c r="E2472" t="s">
        <v>707</v>
      </c>
      <c r="F2472">
        <v>12.5</v>
      </c>
      <c r="G2472">
        <v>2012</v>
      </c>
    </row>
    <row r="2473" spans="1:7" x14ac:dyDescent="0.25">
      <c r="A2473" t="s">
        <v>46</v>
      </c>
      <c r="B2473" t="s">
        <v>97</v>
      </c>
      <c r="C2473" t="s">
        <v>658</v>
      </c>
      <c r="D2473">
        <v>47174</v>
      </c>
      <c r="E2473" t="s">
        <v>708</v>
      </c>
      <c r="F2473">
        <v>60.411000000000001</v>
      </c>
      <c r="G2473">
        <v>2012</v>
      </c>
    </row>
    <row r="2474" spans="1:7" x14ac:dyDescent="0.25">
      <c r="A2474" t="s">
        <v>47</v>
      </c>
      <c r="B2474" t="s">
        <v>98</v>
      </c>
      <c r="C2474" t="s">
        <v>659</v>
      </c>
      <c r="D2474">
        <v>45435</v>
      </c>
      <c r="E2474" t="s">
        <v>708</v>
      </c>
      <c r="F2474">
        <v>37.590000000000003</v>
      </c>
      <c r="G2474">
        <v>2007</v>
      </c>
    </row>
    <row r="2475" spans="1:7" x14ac:dyDescent="0.25">
      <c r="A2475" t="s">
        <v>47</v>
      </c>
      <c r="B2475" t="s">
        <v>98</v>
      </c>
      <c r="C2475" t="s">
        <v>660</v>
      </c>
      <c r="D2475">
        <v>45436</v>
      </c>
      <c r="E2475" t="s">
        <v>707</v>
      </c>
      <c r="F2475">
        <v>0</v>
      </c>
      <c r="G2475">
        <v>2007</v>
      </c>
    </row>
    <row r="2476" spans="1:7" x14ac:dyDescent="0.25">
      <c r="A2476" t="s">
        <v>47</v>
      </c>
      <c r="B2476" t="s">
        <v>98</v>
      </c>
      <c r="C2476" t="s">
        <v>661</v>
      </c>
      <c r="D2476">
        <v>45437</v>
      </c>
      <c r="E2476" t="s">
        <v>707</v>
      </c>
      <c r="F2476">
        <v>0</v>
      </c>
      <c r="G2476">
        <v>2007</v>
      </c>
    </row>
    <row r="2477" spans="1:7" x14ac:dyDescent="0.25">
      <c r="A2477" t="s">
        <v>47</v>
      </c>
      <c r="B2477" t="s">
        <v>98</v>
      </c>
      <c r="C2477" t="s">
        <v>662</v>
      </c>
      <c r="D2477">
        <v>45438</v>
      </c>
      <c r="E2477" t="s">
        <v>707</v>
      </c>
      <c r="F2477">
        <v>0</v>
      </c>
      <c r="G2477">
        <v>2007</v>
      </c>
    </row>
    <row r="2478" spans="1:7" x14ac:dyDescent="0.25">
      <c r="A2478" t="s">
        <v>47</v>
      </c>
      <c r="B2478" t="s">
        <v>98</v>
      </c>
      <c r="C2478" t="s">
        <v>663</v>
      </c>
      <c r="D2478">
        <v>45439</v>
      </c>
      <c r="E2478" t="s">
        <v>707</v>
      </c>
      <c r="F2478">
        <v>0</v>
      </c>
      <c r="G2478">
        <v>2007</v>
      </c>
    </row>
    <row r="2479" spans="1:7" x14ac:dyDescent="0.25">
      <c r="A2479" t="s">
        <v>47</v>
      </c>
      <c r="B2479" t="s">
        <v>98</v>
      </c>
      <c r="C2479" t="s">
        <v>659</v>
      </c>
      <c r="D2479">
        <v>45435</v>
      </c>
      <c r="E2479" t="s">
        <v>708</v>
      </c>
      <c r="F2479">
        <v>34.725999999999999</v>
      </c>
      <c r="G2479">
        <v>2008</v>
      </c>
    </row>
    <row r="2480" spans="1:7" x14ac:dyDescent="0.25">
      <c r="A2480" t="s">
        <v>47</v>
      </c>
      <c r="B2480" t="s">
        <v>98</v>
      </c>
      <c r="C2480" t="s">
        <v>660</v>
      </c>
      <c r="D2480">
        <v>45436</v>
      </c>
      <c r="E2480" t="s">
        <v>707</v>
      </c>
      <c r="F2480">
        <v>0</v>
      </c>
      <c r="G2480">
        <v>2008</v>
      </c>
    </row>
    <row r="2481" spans="1:7" x14ac:dyDescent="0.25">
      <c r="A2481" t="s">
        <v>47</v>
      </c>
      <c r="B2481" t="s">
        <v>98</v>
      </c>
      <c r="C2481" t="s">
        <v>661</v>
      </c>
      <c r="D2481">
        <v>45437</v>
      </c>
      <c r="E2481" t="s">
        <v>707</v>
      </c>
      <c r="F2481">
        <v>0</v>
      </c>
      <c r="G2481">
        <v>2008</v>
      </c>
    </row>
    <row r="2482" spans="1:7" x14ac:dyDescent="0.25">
      <c r="A2482" t="s">
        <v>47</v>
      </c>
      <c r="B2482" t="s">
        <v>98</v>
      </c>
      <c r="C2482" t="s">
        <v>662</v>
      </c>
      <c r="D2482">
        <v>45438</v>
      </c>
      <c r="E2482" t="s">
        <v>707</v>
      </c>
      <c r="F2482">
        <v>0</v>
      </c>
      <c r="G2482">
        <v>2008</v>
      </c>
    </row>
    <row r="2483" spans="1:7" x14ac:dyDescent="0.25">
      <c r="A2483" t="s">
        <v>47</v>
      </c>
      <c r="B2483" t="s">
        <v>98</v>
      </c>
      <c r="C2483" t="s">
        <v>663</v>
      </c>
      <c r="D2483">
        <v>45439</v>
      </c>
      <c r="E2483" t="s">
        <v>707</v>
      </c>
      <c r="F2483">
        <v>0</v>
      </c>
      <c r="G2483">
        <v>2008</v>
      </c>
    </row>
    <row r="2484" spans="1:7" x14ac:dyDescent="0.25">
      <c r="A2484" t="s">
        <v>47</v>
      </c>
      <c r="B2484" t="s">
        <v>98</v>
      </c>
      <c r="C2484" t="s">
        <v>659</v>
      </c>
      <c r="D2484">
        <v>45435</v>
      </c>
      <c r="E2484" t="s">
        <v>708</v>
      </c>
      <c r="F2484">
        <v>31.731999999999999</v>
      </c>
      <c r="G2484">
        <v>2009</v>
      </c>
    </row>
    <row r="2485" spans="1:7" x14ac:dyDescent="0.25">
      <c r="A2485" t="s">
        <v>47</v>
      </c>
      <c r="B2485" t="s">
        <v>98</v>
      </c>
      <c r="C2485" t="s">
        <v>660</v>
      </c>
      <c r="D2485">
        <v>45436</v>
      </c>
      <c r="E2485" t="s">
        <v>707</v>
      </c>
      <c r="F2485">
        <v>0</v>
      </c>
      <c r="G2485">
        <v>2009</v>
      </c>
    </row>
    <row r="2486" spans="1:7" x14ac:dyDescent="0.25">
      <c r="A2486" t="s">
        <v>47</v>
      </c>
      <c r="B2486" t="s">
        <v>98</v>
      </c>
      <c r="C2486" t="s">
        <v>661</v>
      </c>
      <c r="D2486">
        <v>45437</v>
      </c>
      <c r="E2486" t="s">
        <v>707</v>
      </c>
      <c r="F2486">
        <v>0</v>
      </c>
      <c r="G2486">
        <v>2009</v>
      </c>
    </row>
    <row r="2487" spans="1:7" x14ac:dyDescent="0.25">
      <c r="A2487" t="s">
        <v>47</v>
      </c>
      <c r="B2487" t="s">
        <v>98</v>
      </c>
      <c r="C2487" t="s">
        <v>662</v>
      </c>
      <c r="D2487">
        <v>45438</v>
      </c>
      <c r="E2487" t="s">
        <v>707</v>
      </c>
      <c r="F2487">
        <v>0</v>
      </c>
      <c r="G2487">
        <v>2009</v>
      </c>
    </row>
    <row r="2488" spans="1:7" x14ac:dyDescent="0.25">
      <c r="A2488" t="s">
        <v>47</v>
      </c>
      <c r="B2488" t="s">
        <v>98</v>
      </c>
      <c r="C2488" t="s">
        <v>663</v>
      </c>
      <c r="D2488">
        <v>45439</v>
      </c>
      <c r="E2488" t="s">
        <v>707</v>
      </c>
      <c r="F2488">
        <v>0</v>
      </c>
      <c r="G2488">
        <v>2009</v>
      </c>
    </row>
    <row r="2489" spans="1:7" x14ac:dyDescent="0.25">
      <c r="A2489" t="s">
        <v>47</v>
      </c>
      <c r="B2489" t="s">
        <v>98</v>
      </c>
      <c r="C2489" t="s">
        <v>659</v>
      </c>
      <c r="D2489">
        <v>45435</v>
      </c>
      <c r="E2489" t="s">
        <v>708</v>
      </c>
      <c r="F2489">
        <v>32.487000000000002</v>
      </c>
      <c r="G2489">
        <v>2010</v>
      </c>
    </row>
    <row r="2490" spans="1:7" x14ac:dyDescent="0.25">
      <c r="A2490" t="s">
        <v>47</v>
      </c>
      <c r="B2490" t="s">
        <v>98</v>
      </c>
      <c r="C2490" t="s">
        <v>660</v>
      </c>
      <c r="D2490">
        <v>45436</v>
      </c>
      <c r="E2490" t="s">
        <v>707</v>
      </c>
      <c r="F2490">
        <v>0</v>
      </c>
      <c r="G2490">
        <v>2010</v>
      </c>
    </row>
    <row r="2491" spans="1:7" x14ac:dyDescent="0.25">
      <c r="A2491" t="s">
        <v>47</v>
      </c>
      <c r="B2491" t="s">
        <v>98</v>
      </c>
      <c r="C2491" t="s">
        <v>661</v>
      </c>
      <c r="D2491">
        <v>45437</v>
      </c>
      <c r="E2491" t="s">
        <v>707</v>
      </c>
      <c r="F2491">
        <v>0</v>
      </c>
      <c r="G2491">
        <v>2010</v>
      </c>
    </row>
    <row r="2492" spans="1:7" x14ac:dyDescent="0.25">
      <c r="A2492" t="s">
        <v>47</v>
      </c>
      <c r="B2492" t="s">
        <v>98</v>
      </c>
      <c r="C2492" t="s">
        <v>662</v>
      </c>
      <c r="D2492">
        <v>45438</v>
      </c>
      <c r="E2492" t="s">
        <v>707</v>
      </c>
      <c r="F2492">
        <v>0</v>
      </c>
      <c r="G2492">
        <v>2010</v>
      </c>
    </row>
    <row r="2493" spans="1:7" x14ac:dyDescent="0.25">
      <c r="A2493" t="s">
        <v>47</v>
      </c>
      <c r="B2493" t="s">
        <v>98</v>
      </c>
      <c r="C2493" t="s">
        <v>663</v>
      </c>
      <c r="D2493">
        <v>45439</v>
      </c>
      <c r="E2493" t="s">
        <v>707</v>
      </c>
      <c r="F2493">
        <v>0</v>
      </c>
      <c r="G2493">
        <v>2010</v>
      </c>
    </row>
    <row r="2494" spans="1:7" x14ac:dyDescent="0.25">
      <c r="A2494" t="s">
        <v>47</v>
      </c>
      <c r="B2494" t="s">
        <v>98</v>
      </c>
      <c r="C2494" t="s">
        <v>664</v>
      </c>
      <c r="D2494">
        <v>47175</v>
      </c>
      <c r="E2494" t="s">
        <v>707</v>
      </c>
      <c r="F2494">
        <v>17.126000000000001</v>
      </c>
      <c r="G2494">
        <v>2010</v>
      </c>
    </row>
    <row r="2495" spans="1:7" x14ac:dyDescent="0.25">
      <c r="A2495" t="s">
        <v>47</v>
      </c>
      <c r="B2495" t="s">
        <v>98</v>
      </c>
      <c r="C2495" t="s">
        <v>659</v>
      </c>
      <c r="D2495">
        <v>45435</v>
      </c>
      <c r="E2495" t="s">
        <v>708</v>
      </c>
      <c r="F2495">
        <v>33.787999999999997</v>
      </c>
      <c r="G2495">
        <v>2011</v>
      </c>
    </row>
    <row r="2496" spans="1:7" x14ac:dyDescent="0.25">
      <c r="A2496" t="s">
        <v>47</v>
      </c>
      <c r="B2496" t="s">
        <v>98</v>
      </c>
      <c r="C2496" t="s">
        <v>660</v>
      </c>
      <c r="D2496">
        <v>45436</v>
      </c>
      <c r="E2496" t="s">
        <v>707</v>
      </c>
      <c r="F2496">
        <v>0</v>
      </c>
      <c r="G2496">
        <v>2011</v>
      </c>
    </row>
    <row r="2497" spans="1:7" x14ac:dyDescent="0.25">
      <c r="A2497" t="s">
        <v>47</v>
      </c>
      <c r="B2497" t="s">
        <v>98</v>
      </c>
      <c r="C2497" t="s">
        <v>661</v>
      </c>
      <c r="D2497">
        <v>45437</v>
      </c>
      <c r="E2497" t="s">
        <v>707</v>
      </c>
      <c r="F2497">
        <v>0</v>
      </c>
      <c r="G2497">
        <v>2011</v>
      </c>
    </row>
    <row r="2498" spans="1:7" x14ac:dyDescent="0.25">
      <c r="A2498" t="s">
        <v>47</v>
      </c>
      <c r="B2498" t="s">
        <v>98</v>
      </c>
      <c r="C2498" t="s">
        <v>662</v>
      </c>
      <c r="D2498">
        <v>45438</v>
      </c>
      <c r="E2498" t="s">
        <v>707</v>
      </c>
      <c r="F2498">
        <v>0</v>
      </c>
      <c r="G2498">
        <v>2011</v>
      </c>
    </row>
    <row r="2499" spans="1:7" x14ac:dyDescent="0.25">
      <c r="A2499" t="s">
        <v>47</v>
      </c>
      <c r="B2499" t="s">
        <v>98</v>
      </c>
      <c r="C2499" t="s">
        <v>663</v>
      </c>
      <c r="D2499">
        <v>45439</v>
      </c>
      <c r="E2499" t="s">
        <v>707</v>
      </c>
      <c r="F2499">
        <v>0</v>
      </c>
      <c r="G2499">
        <v>2011</v>
      </c>
    </row>
    <row r="2500" spans="1:7" x14ac:dyDescent="0.25">
      <c r="A2500" t="s">
        <v>47</v>
      </c>
      <c r="B2500" t="s">
        <v>98</v>
      </c>
      <c r="C2500" t="s">
        <v>664</v>
      </c>
      <c r="D2500">
        <v>47175</v>
      </c>
      <c r="E2500" t="s">
        <v>707</v>
      </c>
      <c r="F2500">
        <v>0</v>
      </c>
      <c r="G2500">
        <v>2011</v>
      </c>
    </row>
    <row r="2501" spans="1:7" x14ac:dyDescent="0.25">
      <c r="A2501" t="s">
        <v>47</v>
      </c>
      <c r="B2501" t="s">
        <v>98</v>
      </c>
      <c r="C2501" t="s">
        <v>659</v>
      </c>
      <c r="D2501">
        <v>45435</v>
      </c>
      <c r="E2501" t="s">
        <v>708</v>
      </c>
      <c r="F2501">
        <v>32.984000000000002</v>
      </c>
      <c r="G2501">
        <v>2012</v>
      </c>
    </row>
    <row r="2502" spans="1:7" x14ac:dyDescent="0.25">
      <c r="A2502" t="s">
        <v>47</v>
      </c>
      <c r="B2502" t="s">
        <v>98</v>
      </c>
      <c r="C2502" t="s">
        <v>660</v>
      </c>
      <c r="D2502">
        <v>45436</v>
      </c>
      <c r="E2502" t="s">
        <v>707</v>
      </c>
      <c r="F2502">
        <v>0</v>
      </c>
      <c r="G2502">
        <v>2012</v>
      </c>
    </row>
    <row r="2503" spans="1:7" x14ac:dyDescent="0.25">
      <c r="A2503" t="s">
        <v>47</v>
      </c>
      <c r="B2503" t="s">
        <v>98</v>
      </c>
      <c r="C2503" t="s">
        <v>661</v>
      </c>
      <c r="D2503">
        <v>45437</v>
      </c>
      <c r="E2503" t="s">
        <v>707</v>
      </c>
      <c r="F2503">
        <v>12.028</v>
      </c>
      <c r="G2503">
        <v>2012</v>
      </c>
    </row>
    <row r="2504" spans="1:7" x14ac:dyDescent="0.25">
      <c r="A2504" t="s">
        <v>47</v>
      </c>
      <c r="B2504" t="s">
        <v>98</v>
      </c>
      <c r="C2504" t="s">
        <v>663</v>
      </c>
      <c r="D2504">
        <v>45439</v>
      </c>
      <c r="E2504" t="s">
        <v>707</v>
      </c>
      <c r="F2504">
        <v>0</v>
      </c>
      <c r="G2504">
        <v>2012</v>
      </c>
    </row>
    <row r="2505" spans="1:7" x14ac:dyDescent="0.25">
      <c r="A2505" t="s">
        <v>47</v>
      </c>
      <c r="B2505" t="s">
        <v>98</v>
      </c>
      <c r="C2505" t="s">
        <v>664</v>
      </c>
      <c r="D2505">
        <v>47175</v>
      </c>
      <c r="E2505" t="s">
        <v>707</v>
      </c>
      <c r="F2505">
        <v>11.603999999999999</v>
      </c>
      <c r="G2505">
        <v>2012</v>
      </c>
    </row>
    <row r="2506" spans="1:7" x14ac:dyDescent="0.25">
      <c r="A2506" t="s">
        <v>47</v>
      </c>
      <c r="B2506" t="s">
        <v>98</v>
      </c>
      <c r="C2506" t="s">
        <v>665</v>
      </c>
      <c r="D2506">
        <v>50667</v>
      </c>
      <c r="E2506" t="s">
        <v>707</v>
      </c>
      <c r="F2506">
        <v>0</v>
      </c>
      <c r="G2506">
        <v>2012</v>
      </c>
    </row>
    <row r="2507" spans="1:7" x14ac:dyDescent="0.25">
      <c r="A2507" t="s">
        <v>47</v>
      </c>
      <c r="B2507" t="s">
        <v>98</v>
      </c>
      <c r="C2507" t="s">
        <v>659</v>
      </c>
      <c r="D2507">
        <v>45435</v>
      </c>
      <c r="E2507" t="s">
        <v>708</v>
      </c>
      <c r="F2507">
        <v>25.751000000000001</v>
      </c>
      <c r="G2507">
        <v>2013</v>
      </c>
    </row>
    <row r="2508" spans="1:7" x14ac:dyDescent="0.25">
      <c r="A2508" t="s">
        <v>47</v>
      </c>
      <c r="B2508" t="s">
        <v>98</v>
      </c>
      <c r="C2508" t="s">
        <v>660</v>
      </c>
      <c r="D2508">
        <v>45436</v>
      </c>
      <c r="E2508" t="s">
        <v>707</v>
      </c>
      <c r="F2508">
        <v>0</v>
      </c>
      <c r="G2508">
        <v>2013</v>
      </c>
    </row>
    <row r="2509" spans="1:7" x14ac:dyDescent="0.25">
      <c r="A2509" t="s">
        <v>47</v>
      </c>
      <c r="B2509" t="s">
        <v>98</v>
      </c>
      <c r="C2509" t="s">
        <v>661</v>
      </c>
      <c r="D2509">
        <v>45437</v>
      </c>
      <c r="E2509" t="s">
        <v>707</v>
      </c>
      <c r="F2509">
        <v>80.930000000000007</v>
      </c>
      <c r="G2509">
        <v>2013</v>
      </c>
    </row>
    <row r="2510" spans="1:7" x14ac:dyDescent="0.25">
      <c r="A2510" t="s">
        <v>47</v>
      </c>
      <c r="B2510" t="s">
        <v>98</v>
      </c>
      <c r="C2510" t="s">
        <v>663</v>
      </c>
      <c r="D2510">
        <v>45439</v>
      </c>
      <c r="E2510" t="s">
        <v>707</v>
      </c>
      <c r="F2510">
        <v>0</v>
      </c>
      <c r="G2510">
        <v>2013</v>
      </c>
    </row>
    <row r="2511" spans="1:7" x14ac:dyDescent="0.25">
      <c r="A2511" t="s">
        <v>47</v>
      </c>
      <c r="B2511" t="s">
        <v>98</v>
      </c>
      <c r="C2511" t="s">
        <v>664</v>
      </c>
      <c r="D2511">
        <v>47175</v>
      </c>
      <c r="E2511" t="s">
        <v>707</v>
      </c>
      <c r="F2511">
        <v>6.33</v>
      </c>
      <c r="G2511">
        <v>2013</v>
      </c>
    </row>
    <row r="2512" spans="1:7" x14ac:dyDescent="0.25">
      <c r="A2512" t="s">
        <v>47</v>
      </c>
      <c r="B2512" t="s">
        <v>98</v>
      </c>
      <c r="C2512" t="s">
        <v>665</v>
      </c>
      <c r="D2512">
        <v>50667</v>
      </c>
      <c r="E2512" t="s">
        <v>707</v>
      </c>
      <c r="F2512">
        <v>0</v>
      </c>
      <c r="G2512">
        <v>2013</v>
      </c>
    </row>
    <row r="2513" spans="1:7" x14ac:dyDescent="0.25">
      <c r="A2513" t="s">
        <v>47</v>
      </c>
      <c r="B2513" t="s">
        <v>98</v>
      </c>
      <c r="C2513" t="s">
        <v>659</v>
      </c>
      <c r="D2513">
        <v>45435</v>
      </c>
      <c r="E2513" t="s">
        <v>708</v>
      </c>
      <c r="F2513">
        <v>25.535</v>
      </c>
      <c r="G2513">
        <v>2014</v>
      </c>
    </row>
    <row r="2514" spans="1:7" x14ac:dyDescent="0.25">
      <c r="A2514" t="s">
        <v>47</v>
      </c>
      <c r="B2514" t="s">
        <v>98</v>
      </c>
      <c r="C2514" t="s">
        <v>660</v>
      </c>
      <c r="D2514">
        <v>45436</v>
      </c>
      <c r="E2514" t="s">
        <v>707</v>
      </c>
      <c r="F2514">
        <v>0</v>
      </c>
      <c r="G2514">
        <v>2014</v>
      </c>
    </row>
    <row r="2515" spans="1:7" x14ac:dyDescent="0.25">
      <c r="A2515" t="s">
        <v>47</v>
      </c>
      <c r="B2515" t="s">
        <v>98</v>
      </c>
      <c r="C2515" t="s">
        <v>661</v>
      </c>
      <c r="D2515">
        <v>45437</v>
      </c>
      <c r="E2515" t="s">
        <v>707</v>
      </c>
      <c r="F2515">
        <v>61.734999999999999</v>
      </c>
      <c r="G2515">
        <v>2014</v>
      </c>
    </row>
    <row r="2516" spans="1:7" x14ac:dyDescent="0.25">
      <c r="A2516" t="s">
        <v>47</v>
      </c>
      <c r="B2516" t="s">
        <v>98</v>
      </c>
      <c r="C2516" t="s">
        <v>663</v>
      </c>
      <c r="D2516">
        <v>45439</v>
      </c>
      <c r="E2516" t="s">
        <v>707</v>
      </c>
      <c r="F2516">
        <v>5</v>
      </c>
      <c r="G2516">
        <v>2014</v>
      </c>
    </row>
    <row r="2517" spans="1:7" x14ac:dyDescent="0.25">
      <c r="A2517" t="s">
        <v>47</v>
      </c>
      <c r="B2517" t="s">
        <v>98</v>
      </c>
      <c r="C2517" t="s">
        <v>665</v>
      </c>
      <c r="D2517">
        <v>50667</v>
      </c>
      <c r="E2517" t="s">
        <v>707</v>
      </c>
      <c r="F2517">
        <v>0</v>
      </c>
      <c r="G2517">
        <v>2014</v>
      </c>
    </row>
    <row r="2518" spans="1:7" x14ac:dyDescent="0.25">
      <c r="A2518" t="s">
        <v>47</v>
      </c>
      <c r="B2518" t="s">
        <v>98</v>
      </c>
      <c r="C2518" t="s">
        <v>666</v>
      </c>
      <c r="D2518">
        <v>50668</v>
      </c>
      <c r="E2518" t="s">
        <v>707</v>
      </c>
      <c r="F2518">
        <v>27.617000000000001</v>
      </c>
      <c r="G2518">
        <v>2014</v>
      </c>
    </row>
    <row r="2519" spans="1:7" x14ac:dyDescent="0.25">
      <c r="A2519" t="s">
        <v>47</v>
      </c>
      <c r="B2519" t="s">
        <v>98</v>
      </c>
      <c r="C2519" t="s">
        <v>667</v>
      </c>
      <c r="D2519">
        <v>50669</v>
      </c>
      <c r="E2519" t="s">
        <v>707</v>
      </c>
      <c r="F2519">
        <v>32.719000000000001</v>
      </c>
      <c r="G2519">
        <v>2014</v>
      </c>
    </row>
    <row r="2520" spans="1:7" x14ac:dyDescent="0.25">
      <c r="A2520" t="s">
        <v>47</v>
      </c>
      <c r="B2520" t="s">
        <v>98</v>
      </c>
      <c r="C2520" t="s">
        <v>659</v>
      </c>
      <c r="D2520">
        <v>45435</v>
      </c>
      <c r="E2520" t="s">
        <v>708</v>
      </c>
      <c r="F2520">
        <v>144.41900000000001</v>
      </c>
      <c r="G2520">
        <v>2015</v>
      </c>
    </row>
    <row r="2521" spans="1:7" x14ac:dyDescent="0.25">
      <c r="A2521" t="s">
        <v>47</v>
      </c>
      <c r="B2521" t="s">
        <v>98</v>
      </c>
      <c r="C2521" t="s">
        <v>660</v>
      </c>
      <c r="D2521">
        <v>45436</v>
      </c>
      <c r="E2521" t="s">
        <v>707</v>
      </c>
      <c r="F2521">
        <v>0</v>
      </c>
      <c r="G2521">
        <v>2015</v>
      </c>
    </row>
    <row r="2522" spans="1:7" x14ac:dyDescent="0.25">
      <c r="A2522" t="s">
        <v>47</v>
      </c>
      <c r="B2522" t="s">
        <v>98</v>
      </c>
      <c r="C2522" t="s">
        <v>661</v>
      </c>
      <c r="D2522">
        <v>45437</v>
      </c>
      <c r="E2522" t="s">
        <v>707</v>
      </c>
      <c r="F2522">
        <v>65.58</v>
      </c>
      <c r="G2522">
        <v>2015</v>
      </c>
    </row>
    <row r="2523" spans="1:7" x14ac:dyDescent="0.25">
      <c r="A2523" t="s">
        <v>47</v>
      </c>
      <c r="B2523" t="s">
        <v>98</v>
      </c>
      <c r="C2523" t="s">
        <v>665</v>
      </c>
      <c r="D2523">
        <v>50667</v>
      </c>
      <c r="E2523" t="s">
        <v>707</v>
      </c>
      <c r="F2523">
        <v>0</v>
      </c>
      <c r="G2523">
        <v>2015</v>
      </c>
    </row>
    <row r="2524" spans="1:7" x14ac:dyDescent="0.25">
      <c r="A2524" t="s">
        <v>47</v>
      </c>
      <c r="B2524" t="s">
        <v>98</v>
      </c>
      <c r="C2524" t="s">
        <v>666</v>
      </c>
      <c r="D2524">
        <v>50668</v>
      </c>
      <c r="E2524" t="s">
        <v>707</v>
      </c>
      <c r="F2524">
        <v>24.294</v>
      </c>
      <c r="G2524">
        <v>2015</v>
      </c>
    </row>
    <row r="2525" spans="1:7" x14ac:dyDescent="0.25">
      <c r="A2525" t="s">
        <v>47</v>
      </c>
      <c r="B2525" t="s">
        <v>98</v>
      </c>
      <c r="C2525" t="s">
        <v>667</v>
      </c>
      <c r="D2525">
        <v>50669</v>
      </c>
      <c r="E2525" t="s">
        <v>707</v>
      </c>
      <c r="F2525">
        <v>393.63600000000002</v>
      </c>
      <c r="G2525">
        <v>2015</v>
      </c>
    </row>
    <row r="2526" spans="1:7" x14ac:dyDescent="0.25">
      <c r="A2526" t="s">
        <v>47</v>
      </c>
      <c r="B2526" t="s">
        <v>98</v>
      </c>
      <c r="C2526" t="s">
        <v>668</v>
      </c>
      <c r="D2526">
        <v>52658</v>
      </c>
      <c r="E2526" t="s">
        <v>707</v>
      </c>
      <c r="F2526">
        <v>0</v>
      </c>
      <c r="G2526">
        <v>2015</v>
      </c>
    </row>
    <row r="2527" spans="1:7" x14ac:dyDescent="0.25">
      <c r="A2527" t="s">
        <v>47</v>
      </c>
      <c r="B2527" t="s">
        <v>98</v>
      </c>
      <c r="C2527" t="s">
        <v>660</v>
      </c>
      <c r="D2527">
        <v>45436</v>
      </c>
      <c r="E2527" t="s">
        <v>707</v>
      </c>
      <c r="F2527">
        <v>0</v>
      </c>
      <c r="G2527">
        <v>2016</v>
      </c>
    </row>
    <row r="2528" spans="1:7" x14ac:dyDescent="0.25">
      <c r="A2528" t="s">
        <v>47</v>
      </c>
      <c r="B2528" t="s">
        <v>98</v>
      </c>
      <c r="C2528" t="s">
        <v>661</v>
      </c>
      <c r="D2528">
        <v>45437</v>
      </c>
      <c r="E2528" t="s">
        <v>707</v>
      </c>
      <c r="F2528">
        <v>37.965000000000003</v>
      </c>
      <c r="G2528">
        <v>2016</v>
      </c>
    </row>
    <row r="2529" spans="1:7" x14ac:dyDescent="0.25">
      <c r="A2529" t="s">
        <v>47</v>
      </c>
      <c r="B2529" t="s">
        <v>98</v>
      </c>
      <c r="C2529" t="s">
        <v>665</v>
      </c>
      <c r="D2529">
        <v>50667</v>
      </c>
      <c r="E2529" t="s">
        <v>707</v>
      </c>
      <c r="F2529">
        <v>0</v>
      </c>
      <c r="G2529">
        <v>2016</v>
      </c>
    </row>
    <row r="2530" spans="1:7" x14ac:dyDescent="0.25">
      <c r="A2530" t="s">
        <v>47</v>
      </c>
      <c r="B2530" t="s">
        <v>98</v>
      </c>
      <c r="C2530" t="s">
        <v>668</v>
      </c>
      <c r="D2530">
        <v>52658</v>
      </c>
      <c r="E2530" t="s">
        <v>707</v>
      </c>
      <c r="F2530">
        <v>0</v>
      </c>
      <c r="G2530">
        <v>2016</v>
      </c>
    </row>
    <row r="2531" spans="1:7" x14ac:dyDescent="0.25">
      <c r="A2531" t="s">
        <v>47</v>
      </c>
      <c r="B2531" t="s">
        <v>98</v>
      </c>
      <c r="C2531" t="s">
        <v>669</v>
      </c>
      <c r="D2531">
        <v>54754</v>
      </c>
      <c r="E2531" t="s">
        <v>708</v>
      </c>
      <c r="F2531">
        <v>1E-3</v>
      </c>
      <c r="G2531">
        <v>2016</v>
      </c>
    </row>
    <row r="2532" spans="1:7" x14ac:dyDescent="0.25">
      <c r="A2532" t="s">
        <v>47</v>
      </c>
      <c r="B2532" t="s">
        <v>98</v>
      </c>
      <c r="C2532" t="s">
        <v>670</v>
      </c>
      <c r="D2532">
        <v>54755</v>
      </c>
      <c r="E2532" t="s">
        <v>707</v>
      </c>
      <c r="F2532">
        <v>0</v>
      </c>
      <c r="G2532">
        <v>2016</v>
      </c>
    </row>
    <row r="2533" spans="1:7" x14ac:dyDescent="0.25">
      <c r="A2533" t="s">
        <v>47</v>
      </c>
      <c r="B2533" t="s">
        <v>98</v>
      </c>
      <c r="C2533" t="s">
        <v>660</v>
      </c>
      <c r="D2533">
        <v>45436</v>
      </c>
      <c r="E2533" t="s">
        <v>707</v>
      </c>
      <c r="F2533">
        <v>7.0019999999999998</v>
      </c>
      <c r="G2533">
        <v>2017</v>
      </c>
    </row>
    <row r="2534" spans="1:7" x14ac:dyDescent="0.25">
      <c r="A2534" t="s">
        <v>47</v>
      </c>
      <c r="B2534" t="s">
        <v>98</v>
      </c>
      <c r="C2534" t="s">
        <v>661</v>
      </c>
      <c r="D2534">
        <v>45437</v>
      </c>
      <c r="E2534" t="s">
        <v>707</v>
      </c>
      <c r="F2534">
        <v>8.1</v>
      </c>
      <c r="G2534">
        <v>2017</v>
      </c>
    </row>
    <row r="2535" spans="1:7" x14ac:dyDescent="0.25">
      <c r="A2535" t="s">
        <v>47</v>
      </c>
      <c r="B2535" t="s">
        <v>98</v>
      </c>
      <c r="C2535" t="s">
        <v>665</v>
      </c>
      <c r="D2535">
        <v>50667</v>
      </c>
      <c r="E2535" t="s">
        <v>707</v>
      </c>
      <c r="F2535">
        <v>42.493000000000002</v>
      </c>
      <c r="G2535">
        <v>2017</v>
      </c>
    </row>
    <row r="2536" spans="1:7" x14ac:dyDescent="0.25">
      <c r="A2536" t="s">
        <v>47</v>
      </c>
      <c r="B2536" t="s">
        <v>98</v>
      </c>
      <c r="C2536" t="s">
        <v>669</v>
      </c>
      <c r="D2536">
        <v>54754</v>
      </c>
      <c r="E2536" t="s">
        <v>708</v>
      </c>
      <c r="F2536">
        <v>8.1</v>
      </c>
      <c r="G2536">
        <v>2017</v>
      </c>
    </row>
    <row r="2537" spans="1:7" x14ac:dyDescent="0.25">
      <c r="A2537" t="s">
        <v>47</v>
      </c>
      <c r="B2537" t="s">
        <v>98</v>
      </c>
      <c r="C2537" t="s">
        <v>670</v>
      </c>
      <c r="D2537">
        <v>54755</v>
      </c>
      <c r="E2537" t="s">
        <v>707</v>
      </c>
      <c r="F2537">
        <v>7.9640000000000004</v>
      </c>
      <c r="G2537">
        <v>2017</v>
      </c>
    </row>
    <row r="2538" spans="1:7" x14ac:dyDescent="0.25">
      <c r="A2538" t="s">
        <v>47</v>
      </c>
      <c r="B2538" t="s">
        <v>98</v>
      </c>
      <c r="C2538" t="s">
        <v>660</v>
      </c>
      <c r="D2538">
        <v>45436</v>
      </c>
      <c r="E2538" t="s">
        <v>707</v>
      </c>
      <c r="F2538">
        <v>4.34</v>
      </c>
      <c r="G2538">
        <v>2018</v>
      </c>
    </row>
    <row r="2539" spans="1:7" x14ac:dyDescent="0.25">
      <c r="A2539" t="s">
        <v>47</v>
      </c>
      <c r="B2539" t="s">
        <v>98</v>
      </c>
      <c r="C2539" t="s">
        <v>661</v>
      </c>
      <c r="D2539">
        <v>45437</v>
      </c>
      <c r="E2539" t="s">
        <v>707</v>
      </c>
      <c r="F2539">
        <v>7.234</v>
      </c>
      <c r="G2539">
        <v>2018</v>
      </c>
    </row>
    <row r="2540" spans="1:7" x14ac:dyDescent="0.25">
      <c r="A2540" t="s">
        <v>47</v>
      </c>
      <c r="B2540" t="s">
        <v>98</v>
      </c>
      <c r="C2540" t="s">
        <v>665</v>
      </c>
      <c r="D2540">
        <v>50667</v>
      </c>
      <c r="E2540" t="s">
        <v>707</v>
      </c>
      <c r="F2540">
        <v>78.677000000000007</v>
      </c>
      <c r="G2540">
        <v>2018</v>
      </c>
    </row>
    <row r="2541" spans="1:7" x14ac:dyDescent="0.25">
      <c r="A2541" t="s">
        <v>47</v>
      </c>
      <c r="B2541" t="s">
        <v>98</v>
      </c>
      <c r="C2541" t="s">
        <v>669</v>
      </c>
      <c r="D2541">
        <v>54754</v>
      </c>
      <c r="E2541" t="s">
        <v>708</v>
      </c>
      <c r="F2541">
        <v>4.2690000000000001</v>
      </c>
      <c r="G2541">
        <v>2018</v>
      </c>
    </row>
    <row r="2542" spans="1:7" x14ac:dyDescent="0.25">
      <c r="A2542" t="s">
        <v>47</v>
      </c>
      <c r="B2542" t="s">
        <v>98</v>
      </c>
      <c r="C2542" t="s">
        <v>670</v>
      </c>
      <c r="D2542">
        <v>54755</v>
      </c>
      <c r="E2542" t="s">
        <v>707</v>
      </c>
      <c r="F2542">
        <v>4.125</v>
      </c>
      <c r="G2542">
        <v>2018</v>
      </c>
    </row>
    <row r="2543" spans="1:7" x14ac:dyDescent="0.25">
      <c r="A2543" t="s">
        <v>48</v>
      </c>
      <c r="B2543" t="s">
        <v>99</v>
      </c>
      <c r="C2543" t="s">
        <v>671</v>
      </c>
      <c r="D2543">
        <v>22180</v>
      </c>
      <c r="E2543" t="s">
        <v>707</v>
      </c>
      <c r="F2543">
        <v>25.010999999999999</v>
      </c>
      <c r="G2543">
        <v>2006</v>
      </c>
    </row>
    <row r="2544" spans="1:7" x14ac:dyDescent="0.25">
      <c r="A2544" t="s">
        <v>48</v>
      </c>
      <c r="B2544" t="s">
        <v>99</v>
      </c>
      <c r="C2544" t="s">
        <v>672</v>
      </c>
      <c r="D2544">
        <v>29063</v>
      </c>
      <c r="E2544" t="s">
        <v>708</v>
      </c>
      <c r="F2544">
        <v>32.853000000000002</v>
      </c>
      <c r="G2544">
        <v>2006</v>
      </c>
    </row>
    <row r="2545" spans="1:7" x14ac:dyDescent="0.25">
      <c r="A2545" t="s">
        <v>48</v>
      </c>
      <c r="B2545" t="s">
        <v>99</v>
      </c>
      <c r="C2545" t="s">
        <v>673</v>
      </c>
      <c r="D2545">
        <v>31386</v>
      </c>
      <c r="E2545" t="s">
        <v>707</v>
      </c>
      <c r="F2545">
        <v>25.81</v>
      </c>
      <c r="G2545">
        <v>2006</v>
      </c>
    </row>
    <row r="2546" spans="1:7" x14ac:dyDescent="0.25">
      <c r="A2546" t="s">
        <v>48</v>
      </c>
      <c r="B2546" t="s">
        <v>99</v>
      </c>
      <c r="C2546" t="s">
        <v>674</v>
      </c>
      <c r="D2546">
        <v>31387</v>
      </c>
      <c r="E2546" t="s">
        <v>707</v>
      </c>
      <c r="F2546">
        <v>26.552</v>
      </c>
      <c r="G2546">
        <v>2006</v>
      </c>
    </row>
    <row r="2547" spans="1:7" x14ac:dyDescent="0.25">
      <c r="A2547" t="s">
        <v>48</v>
      </c>
      <c r="B2547" t="s">
        <v>99</v>
      </c>
      <c r="C2547" t="s">
        <v>675</v>
      </c>
      <c r="D2547">
        <v>33006</v>
      </c>
      <c r="E2547" t="s">
        <v>707</v>
      </c>
      <c r="F2547">
        <v>22.620999999999999</v>
      </c>
      <c r="G2547">
        <v>2006</v>
      </c>
    </row>
    <row r="2548" spans="1:7" x14ac:dyDescent="0.25">
      <c r="A2548" t="s">
        <v>48</v>
      </c>
      <c r="B2548" t="s">
        <v>99</v>
      </c>
      <c r="C2548" t="s">
        <v>676</v>
      </c>
      <c r="D2548">
        <v>33007</v>
      </c>
      <c r="E2548" t="s">
        <v>707</v>
      </c>
      <c r="F2548">
        <v>11.381</v>
      </c>
      <c r="G2548">
        <v>2006</v>
      </c>
    </row>
    <row r="2549" spans="1:7" x14ac:dyDescent="0.25">
      <c r="A2549" t="s">
        <v>48</v>
      </c>
      <c r="B2549" t="s">
        <v>99</v>
      </c>
      <c r="C2549" t="s">
        <v>677</v>
      </c>
      <c r="D2549">
        <v>33008</v>
      </c>
      <c r="E2549" t="s">
        <v>707</v>
      </c>
      <c r="F2549">
        <v>27.356999999999999</v>
      </c>
      <c r="G2549">
        <v>2006</v>
      </c>
    </row>
    <row r="2550" spans="1:7" x14ac:dyDescent="0.25">
      <c r="A2550" t="s">
        <v>48</v>
      </c>
      <c r="B2550" t="s">
        <v>99</v>
      </c>
      <c r="C2550" t="s">
        <v>672</v>
      </c>
      <c r="D2550">
        <v>29063</v>
      </c>
      <c r="E2550" t="s">
        <v>708</v>
      </c>
      <c r="F2550">
        <v>42.186999999999998</v>
      </c>
      <c r="G2550">
        <v>2007</v>
      </c>
    </row>
    <row r="2551" spans="1:7" x14ac:dyDescent="0.25">
      <c r="A2551" t="s">
        <v>48</v>
      </c>
      <c r="B2551" t="s">
        <v>99</v>
      </c>
      <c r="C2551" t="s">
        <v>673</v>
      </c>
      <c r="D2551">
        <v>31386</v>
      </c>
      <c r="E2551" t="s">
        <v>707</v>
      </c>
      <c r="F2551">
        <v>25.532</v>
      </c>
      <c r="G2551">
        <v>2007</v>
      </c>
    </row>
    <row r="2552" spans="1:7" x14ac:dyDescent="0.25">
      <c r="A2552" t="s">
        <v>48</v>
      </c>
      <c r="B2552" t="s">
        <v>99</v>
      </c>
      <c r="C2552" t="s">
        <v>674</v>
      </c>
      <c r="D2552">
        <v>31387</v>
      </c>
      <c r="E2552" t="s">
        <v>707</v>
      </c>
      <c r="F2552">
        <v>29.434000000000001</v>
      </c>
      <c r="G2552">
        <v>2007</v>
      </c>
    </row>
    <row r="2553" spans="1:7" x14ac:dyDescent="0.25">
      <c r="A2553" t="s">
        <v>48</v>
      </c>
      <c r="B2553" t="s">
        <v>99</v>
      </c>
      <c r="C2553" t="s">
        <v>675</v>
      </c>
      <c r="D2553">
        <v>33006</v>
      </c>
      <c r="E2553" t="s">
        <v>707</v>
      </c>
      <c r="F2553">
        <v>27.146999999999998</v>
      </c>
      <c r="G2553">
        <v>2007</v>
      </c>
    </row>
    <row r="2554" spans="1:7" x14ac:dyDescent="0.25">
      <c r="A2554" t="s">
        <v>48</v>
      </c>
      <c r="B2554" t="s">
        <v>99</v>
      </c>
      <c r="C2554" t="s">
        <v>676</v>
      </c>
      <c r="D2554">
        <v>33007</v>
      </c>
      <c r="E2554" t="s">
        <v>707</v>
      </c>
      <c r="F2554">
        <v>11.11</v>
      </c>
      <c r="G2554">
        <v>2007</v>
      </c>
    </row>
    <row r="2555" spans="1:7" x14ac:dyDescent="0.25">
      <c r="A2555" t="s">
        <v>48</v>
      </c>
      <c r="B2555" t="s">
        <v>99</v>
      </c>
      <c r="C2555" t="s">
        <v>677</v>
      </c>
      <c r="D2555">
        <v>33008</v>
      </c>
      <c r="E2555" t="s">
        <v>707</v>
      </c>
      <c r="F2555">
        <v>26.733000000000001</v>
      </c>
      <c r="G2555">
        <v>2007</v>
      </c>
    </row>
    <row r="2556" spans="1:7" x14ac:dyDescent="0.25">
      <c r="A2556" t="s">
        <v>48</v>
      </c>
      <c r="B2556" t="s">
        <v>99</v>
      </c>
      <c r="C2556" t="s">
        <v>678</v>
      </c>
      <c r="D2556">
        <v>35029</v>
      </c>
      <c r="E2556" t="s">
        <v>707</v>
      </c>
      <c r="F2556">
        <v>1810.01</v>
      </c>
      <c r="G2556">
        <v>2007</v>
      </c>
    </row>
    <row r="2557" spans="1:7" x14ac:dyDescent="0.25">
      <c r="A2557" t="s">
        <v>48</v>
      </c>
      <c r="B2557" t="s">
        <v>99</v>
      </c>
      <c r="C2557" t="s">
        <v>672</v>
      </c>
      <c r="D2557">
        <v>29063</v>
      </c>
      <c r="E2557" t="s">
        <v>708</v>
      </c>
      <c r="F2557">
        <v>38.159999999999997</v>
      </c>
      <c r="G2557">
        <v>2008</v>
      </c>
    </row>
    <row r="2558" spans="1:7" x14ac:dyDescent="0.25">
      <c r="A2558" t="s">
        <v>48</v>
      </c>
      <c r="B2558" t="s">
        <v>99</v>
      </c>
      <c r="C2558" t="s">
        <v>673</v>
      </c>
      <c r="D2558">
        <v>31386</v>
      </c>
      <c r="E2558" t="s">
        <v>707</v>
      </c>
      <c r="F2558">
        <v>23.66</v>
      </c>
      <c r="G2558">
        <v>2008</v>
      </c>
    </row>
    <row r="2559" spans="1:7" x14ac:dyDescent="0.25">
      <c r="A2559" t="s">
        <v>48</v>
      </c>
      <c r="B2559" t="s">
        <v>99</v>
      </c>
      <c r="C2559" t="s">
        <v>674</v>
      </c>
      <c r="D2559">
        <v>31387</v>
      </c>
      <c r="E2559" t="s">
        <v>707</v>
      </c>
      <c r="F2559">
        <v>28.077999999999999</v>
      </c>
      <c r="G2559">
        <v>2008</v>
      </c>
    </row>
    <row r="2560" spans="1:7" x14ac:dyDescent="0.25">
      <c r="A2560" t="s">
        <v>48</v>
      </c>
      <c r="B2560" t="s">
        <v>99</v>
      </c>
      <c r="C2560" t="s">
        <v>675</v>
      </c>
      <c r="D2560">
        <v>33006</v>
      </c>
      <c r="E2560" t="s">
        <v>707</v>
      </c>
      <c r="F2560">
        <v>25.055</v>
      </c>
      <c r="G2560">
        <v>2008</v>
      </c>
    </row>
    <row r="2561" spans="1:7" x14ac:dyDescent="0.25">
      <c r="A2561" t="s">
        <v>48</v>
      </c>
      <c r="B2561" t="s">
        <v>99</v>
      </c>
      <c r="C2561" t="s">
        <v>676</v>
      </c>
      <c r="D2561">
        <v>33007</v>
      </c>
      <c r="E2561" t="s">
        <v>707</v>
      </c>
      <c r="F2561">
        <v>10.894</v>
      </c>
      <c r="G2561">
        <v>2008</v>
      </c>
    </row>
    <row r="2562" spans="1:7" x14ac:dyDescent="0.25">
      <c r="A2562" t="s">
        <v>48</v>
      </c>
      <c r="B2562" t="s">
        <v>99</v>
      </c>
      <c r="C2562" t="s">
        <v>677</v>
      </c>
      <c r="D2562">
        <v>33008</v>
      </c>
      <c r="E2562" t="s">
        <v>707</v>
      </c>
      <c r="F2562">
        <v>25.940999999999999</v>
      </c>
      <c r="G2562">
        <v>2008</v>
      </c>
    </row>
    <row r="2563" spans="1:7" x14ac:dyDescent="0.25">
      <c r="A2563" t="s">
        <v>48</v>
      </c>
      <c r="B2563" t="s">
        <v>99</v>
      </c>
      <c r="C2563" t="s">
        <v>672</v>
      </c>
      <c r="D2563">
        <v>29063</v>
      </c>
      <c r="E2563" t="s">
        <v>708</v>
      </c>
      <c r="F2563">
        <v>48.212000000000003</v>
      </c>
      <c r="G2563">
        <v>2009</v>
      </c>
    </row>
    <row r="2564" spans="1:7" x14ac:dyDescent="0.25">
      <c r="A2564" t="s">
        <v>48</v>
      </c>
      <c r="B2564" t="s">
        <v>99</v>
      </c>
      <c r="C2564" t="s">
        <v>673</v>
      </c>
      <c r="D2564">
        <v>31386</v>
      </c>
      <c r="E2564" t="s">
        <v>707</v>
      </c>
      <c r="F2564">
        <v>28.425000000000001</v>
      </c>
      <c r="G2564">
        <v>2009</v>
      </c>
    </row>
    <row r="2565" spans="1:7" x14ac:dyDescent="0.25">
      <c r="A2565" t="s">
        <v>48</v>
      </c>
      <c r="B2565" t="s">
        <v>99</v>
      </c>
      <c r="C2565" t="s">
        <v>674</v>
      </c>
      <c r="D2565">
        <v>31387</v>
      </c>
      <c r="E2565" t="s">
        <v>707</v>
      </c>
      <c r="F2565">
        <v>27.286000000000001</v>
      </c>
      <c r="G2565">
        <v>2009</v>
      </c>
    </row>
    <row r="2566" spans="1:7" x14ac:dyDescent="0.25">
      <c r="A2566" t="s">
        <v>48</v>
      </c>
      <c r="B2566" t="s">
        <v>99</v>
      </c>
      <c r="C2566" t="s">
        <v>675</v>
      </c>
      <c r="D2566">
        <v>33006</v>
      </c>
      <c r="E2566" t="s">
        <v>707</v>
      </c>
      <c r="F2566">
        <v>1982.0440000000001</v>
      </c>
      <c r="G2566">
        <v>2009</v>
      </c>
    </row>
    <row r="2567" spans="1:7" x14ac:dyDescent="0.25">
      <c r="A2567" t="s">
        <v>48</v>
      </c>
      <c r="B2567" t="s">
        <v>99</v>
      </c>
      <c r="C2567" t="s">
        <v>676</v>
      </c>
      <c r="D2567">
        <v>33007</v>
      </c>
      <c r="E2567" t="s">
        <v>707</v>
      </c>
      <c r="F2567">
        <v>27.963999999999999</v>
      </c>
      <c r="G2567">
        <v>2009</v>
      </c>
    </row>
    <row r="2568" spans="1:7" x14ac:dyDescent="0.25">
      <c r="A2568" t="s">
        <v>48</v>
      </c>
      <c r="B2568" t="s">
        <v>99</v>
      </c>
      <c r="C2568" t="s">
        <v>677</v>
      </c>
      <c r="D2568">
        <v>33008</v>
      </c>
      <c r="E2568" t="s">
        <v>707</v>
      </c>
      <c r="F2568">
        <v>26.811</v>
      </c>
      <c r="G2568">
        <v>2009</v>
      </c>
    </row>
    <row r="2569" spans="1:7" x14ac:dyDescent="0.25">
      <c r="A2569" t="s">
        <v>48</v>
      </c>
      <c r="B2569" t="s">
        <v>99</v>
      </c>
      <c r="C2569" t="s">
        <v>679</v>
      </c>
      <c r="D2569">
        <v>41148</v>
      </c>
      <c r="E2569" t="s">
        <v>707</v>
      </c>
      <c r="F2569">
        <v>38.036999999999999</v>
      </c>
      <c r="G2569">
        <v>2009</v>
      </c>
    </row>
    <row r="2570" spans="1:7" x14ac:dyDescent="0.25">
      <c r="A2570" t="s">
        <v>48</v>
      </c>
      <c r="B2570" t="s">
        <v>99</v>
      </c>
      <c r="C2570" t="s">
        <v>672</v>
      </c>
      <c r="D2570">
        <v>29063</v>
      </c>
      <c r="E2570" t="s">
        <v>708</v>
      </c>
      <c r="F2570">
        <v>21.88</v>
      </c>
      <c r="G2570">
        <v>2010</v>
      </c>
    </row>
    <row r="2571" spans="1:7" x14ac:dyDescent="0.25">
      <c r="A2571" t="s">
        <v>48</v>
      </c>
      <c r="B2571" t="s">
        <v>99</v>
      </c>
      <c r="C2571" t="s">
        <v>673</v>
      </c>
      <c r="D2571">
        <v>31386</v>
      </c>
      <c r="E2571" t="s">
        <v>707</v>
      </c>
      <c r="F2571">
        <v>25.994</v>
      </c>
      <c r="G2571">
        <v>2010</v>
      </c>
    </row>
    <row r="2572" spans="1:7" x14ac:dyDescent="0.25">
      <c r="A2572" t="s">
        <v>48</v>
      </c>
      <c r="B2572" t="s">
        <v>99</v>
      </c>
      <c r="C2572" t="s">
        <v>674</v>
      </c>
      <c r="D2572">
        <v>31387</v>
      </c>
      <c r="E2572" t="s">
        <v>707</v>
      </c>
      <c r="F2572">
        <v>25.346</v>
      </c>
      <c r="G2572">
        <v>2010</v>
      </c>
    </row>
    <row r="2573" spans="1:7" x14ac:dyDescent="0.25">
      <c r="A2573" t="s">
        <v>48</v>
      </c>
      <c r="B2573" t="s">
        <v>99</v>
      </c>
      <c r="C2573" t="s">
        <v>676</v>
      </c>
      <c r="D2573">
        <v>33007</v>
      </c>
      <c r="E2573" t="s">
        <v>707</v>
      </c>
      <c r="F2573">
        <v>1.468</v>
      </c>
      <c r="G2573">
        <v>2010</v>
      </c>
    </row>
    <row r="2574" spans="1:7" x14ac:dyDescent="0.25">
      <c r="A2574" t="s">
        <v>48</v>
      </c>
      <c r="B2574" t="s">
        <v>99</v>
      </c>
      <c r="C2574" t="s">
        <v>677</v>
      </c>
      <c r="D2574">
        <v>33008</v>
      </c>
      <c r="E2574" t="s">
        <v>707</v>
      </c>
      <c r="F2574">
        <v>26.696999999999999</v>
      </c>
      <c r="G2574">
        <v>2010</v>
      </c>
    </row>
    <row r="2575" spans="1:7" x14ac:dyDescent="0.25">
      <c r="A2575" t="s">
        <v>48</v>
      </c>
      <c r="B2575" t="s">
        <v>99</v>
      </c>
      <c r="C2575" t="s">
        <v>679</v>
      </c>
      <c r="D2575">
        <v>41148</v>
      </c>
      <c r="E2575" t="s">
        <v>707</v>
      </c>
      <c r="F2575">
        <v>25.963999999999999</v>
      </c>
      <c r="G2575">
        <v>2010</v>
      </c>
    </row>
    <row r="2576" spans="1:7" x14ac:dyDescent="0.25">
      <c r="A2576" t="s">
        <v>49</v>
      </c>
      <c r="B2576" t="s">
        <v>100</v>
      </c>
      <c r="C2576" t="s">
        <v>680</v>
      </c>
      <c r="D2576">
        <v>15029</v>
      </c>
      <c r="E2576" t="s">
        <v>708</v>
      </c>
      <c r="F2576">
        <v>21.856999999999999</v>
      </c>
      <c r="G2576">
        <v>2006</v>
      </c>
    </row>
    <row r="2577" spans="1:7" x14ac:dyDescent="0.25">
      <c r="A2577" t="s">
        <v>49</v>
      </c>
      <c r="B2577" t="s">
        <v>100</v>
      </c>
      <c r="C2577" t="s">
        <v>681</v>
      </c>
      <c r="D2577">
        <v>22152</v>
      </c>
      <c r="E2577" t="s">
        <v>707</v>
      </c>
      <c r="F2577">
        <v>18.407</v>
      </c>
      <c r="G2577">
        <v>2006</v>
      </c>
    </row>
    <row r="2578" spans="1:7" x14ac:dyDescent="0.25">
      <c r="A2578" t="s">
        <v>49</v>
      </c>
      <c r="B2578" t="s">
        <v>100</v>
      </c>
      <c r="C2578" t="s">
        <v>682</v>
      </c>
      <c r="D2578">
        <v>22153</v>
      </c>
      <c r="E2578" t="s">
        <v>707</v>
      </c>
      <c r="F2578">
        <v>20.344999999999999</v>
      </c>
      <c r="G2578">
        <v>2006</v>
      </c>
    </row>
    <row r="2579" spans="1:7" x14ac:dyDescent="0.25">
      <c r="A2579" t="s">
        <v>49</v>
      </c>
      <c r="B2579" t="s">
        <v>100</v>
      </c>
      <c r="C2579" t="s">
        <v>683</v>
      </c>
      <c r="D2579">
        <v>24550</v>
      </c>
      <c r="E2579" t="s">
        <v>707</v>
      </c>
      <c r="F2579">
        <v>20.757999999999999</v>
      </c>
      <c r="G2579">
        <v>2006</v>
      </c>
    </row>
    <row r="2580" spans="1:7" x14ac:dyDescent="0.25">
      <c r="A2580" t="s">
        <v>49</v>
      </c>
      <c r="B2580" t="s">
        <v>100</v>
      </c>
      <c r="C2580" t="s">
        <v>684</v>
      </c>
      <c r="D2580">
        <v>27418</v>
      </c>
      <c r="E2580" t="s">
        <v>707</v>
      </c>
      <c r="F2580">
        <v>19.393999999999998</v>
      </c>
      <c r="G2580">
        <v>2006</v>
      </c>
    </row>
    <row r="2581" spans="1:7" x14ac:dyDescent="0.25">
      <c r="A2581" t="s">
        <v>49</v>
      </c>
      <c r="B2581" t="s">
        <v>100</v>
      </c>
      <c r="C2581" t="s">
        <v>680</v>
      </c>
      <c r="D2581">
        <v>15029</v>
      </c>
      <c r="E2581" t="s">
        <v>708</v>
      </c>
      <c r="F2581">
        <v>1103.212</v>
      </c>
      <c r="G2581">
        <v>2007</v>
      </c>
    </row>
    <row r="2582" spans="1:7" x14ac:dyDescent="0.25">
      <c r="A2582" t="s">
        <v>49</v>
      </c>
      <c r="B2582" t="s">
        <v>100</v>
      </c>
      <c r="C2582" t="s">
        <v>681</v>
      </c>
      <c r="D2582">
        <v>22152</v>
      </c>
      <c r="E2582" t="s">
        <v>707</v>
      </c>
      <c r="F2582">
        <v>19.172999999999998</v>
      </c>
      <c r="G2582">
        <v>2007</v>
      </c>
    </row>
    <row r="2583" spans="1:7" x14ac:dyDescent="0.25">
      <c r="A2583" t="s">
        <v>49</v>
      </c>
      <c r="B2583" t="s">
        <v>100</v>
      </c>
      <c r="C2583" t="s">
        <v>682</v>
      </c>
      <c r="D2583">
        <v>22153</v>
      </c>
      <c r="E2583" t="s">
        <v>707</v>
      </c>
      <c r="F2583">
        <v>24.393000000000001</v>
      </c>
      <c r="G2583">
        <v>2007</v>
      </c>
    </row>
    <row r="2584" spans="1:7" x14ac:dyDescent="0.25">
      <c r="A2584" t="s">
        <v>49</v>
      </c>
      <c r="B2584" t="s">
        <v>100</v>
      </c>
      <c r="C2584" t="s">
        <v>683</v>
      </c>
      <c r="D2584">
        <v>24550</v>
      </c>
      <c r="E2584" t="s">
        <v>707</v>
      </c>
      <c r="F2584">
        <v>21.302</v>
      </c>
      <c r="G2584">
        <v>2007</v>
      </c>
    </row>
    <row r="2585" spans="1:7" x14ac:dyDescent="0.25">
      <c r="A2585" t="s">
        <v>49</v>
      </c>
      <c r="B2585" t="s">
        <v>100</v>
      </c>
      <c r="C2585" t="s">
        <v>684</v>
      </c>
      <c r="D2585">
        <v>27418</v>
      </c>
      <c r="E2585" t="s">
        <v>707</v>
      </c>
      <c r="F2585">
        <v>416.81200000000001</v>
      </c>
      <c r="G2585">
        <v>2007</v>
      </c>
    </row>
    <row r="2586" spans="1:7" x14ac:dyDescent="0.25">
      <c r="A2586" t="s">
        <v>49</v>
      </c>
      <c r="B2586" t="s">
        <v>100</v>
      </c>
      <c r="C2586" t="s">
        <v>685</v>
      </c>
      <c r="D2586">
        <v>29136</v>
      </c>
      <c r="E2586" t="s">
        <v>707</v>
      </c>
      <c r="F2586">
        <v>306.09800000000001</v>
      </c>
      <c r="G2586">
        <v>2007</v>
      </c>
    </row>
    <row r="2587" spans="1:7" x14ac:dyDescent="0.25">
      <c r="A2587" t="s">
        <v>49</v>
      </c>
      <c r="B2587" t="s">
        <v>100</v>
      </c>
      <c r="C2587" t="s">
        <v>686</v>
      </c>
      <c r="D2587">
        <v>34895</v>
      </c>
      <c r="E2587" t="s">
        <v>707</v>
      </c>
      <c r="F2587">
        <v>1.772</v>
      </c>
      <c r="G2587">
        <v>2007</v>
      </c>
    </row>
    <row r="2588" spans="1:7" x14ac:dyDescent="0.25">
      <c r="A2588" t="s">
        <v>49</v>
      </c>
      <c r="B2588" t="s">
        <v>100</v>
      </c>
      <c r="C2588" t="s">
        <v>680</v>
      </c>
      <c r="D2588">
        <v>15029</v>
      </c>
      <c r="E2588" t="s">
        <v>707</v>
      </c>
      <c r="F2588">
        <v>0</v>
      </c>
      <c r="G2588">
        <v>2008</v>
      </c>
    </row>
    <row r="2589" spans="1:7" x14ac:dyDescent="0.25">
      <c r="A2589" t="s">
        <v>49</v>
      </c>
      <c r="B2589" t="s">
        <v>100</v>
      </c>
      <c r="C2589" t="s">
        <v>681</v>
      </c>
      <c r="D2589">
        <v>22152</v>
      </c>
      <c r="E2589" t="s">
        <v>707</v>
      </c>
      <c r="F2589">
        <v>19.768999999999998</v>
      </c>
      <c r="G2589">
        <v>2008</v>
      </c>
    </row>
    <row r="2590" spans="1:7" x14ac:dyDescent="0.25">
      <c r="A2590" t="s">
        <v>49</v>
      </c>
      <c r="B2590" t="s">
        <v>100</v>
      </c>
      <c r="C2590" t="s">
        <v>683</v>
      </c>
      <c r="D2590">
        <v>24550</v>
      </c>
      <c r="E2590" t="s">
        <v>708</v>
      </c>
      <c r="F2590">
        <v>22.216999999999999</v>
      </c>
      <c r="G2590">
        <v>2008</v>
      </c>
    </row>
    <row r="2591" spans="1:7" x14ac:dyDescent="0.25">
      <c r="A2591" t="s">
        <v>49</v>
      </c>
      <c r="B2591" t="s">
        <v>100</v>
      </c>
      <c r="C2591" t="s">
        <v>686</v>
      </c>
      <c r="D2591">
        <v>34895</v>
      </c>
      <c r="E2591" t="s">
        <v>707</v>
      </c>
      <c r="F2591">
        <v>48.517000000000003</v>
      </c>
      <c r="G2591">
        <v>2008</v>
      </c>
    </row>
    <row r="2592" spans="1:7" x14ac:dyDescent="0.25">
      <c r="A2592" t="s">
        <v>49</v>
      </c>
      <c r="B2592" t="s">
        <v>100</v>
      </c>
      <c r="C2592" t="s">
        <v>687</v>
      </c>
      <c r="D2592">
        <v>39367</v>
      </c>
      <c r="E2592" t="s">
        <v>707</v>
      </c>
      <c r="F2592">
        <v>80.02</v>
      </c>
      <c r="G2592">
        <v>2008</v>
      </c>
    </row>
    <row r="2593" spans="1:7" x14ac:dyDescent="0.25">
      <c r="A2593" t="s">
        <v>49</v>
      </c>
      <c r="B2593" t="s">
        <v>100</v>
      </c>
      <c r="C2593" t="s">
        <v>688</v>
      </c>
      <c r="D2593">
        <v>39368</v>
      </c>
      <c r="E2593" t="s">
        <v>707</v>
      </c>
      <c r="F2593">
        <v>20.725000000000001</v>
      </c>
      <c r="G2593">
        <v>2008</v>
      </c>
    </row>
    <row r="2594" spans="1:7" x14ac:dyDescent="0.25">
      <c r="A2594" t="s">
        <v>49</v>
      </c>
      <c r="B2594" t="s">
        <v>100</v>
      </c>
      <c r="C2594" t="s">
        <v>689</v>
      </c>
      <c r="D2594">
        <v>39369</v>
      </c>
      <c r="E2594" t="s">
        <v>707</v>
      </c>
      <c r="F2594">
        <v>10.257</v>
      </c>
      <c r="G2594">
        <v>2008</v>
      </c>
    </row>
    <row r="2595" spans="1:7" x14ac:dyDescent="0.25">
      <c r="A2595" t="s">
        <v>49</v>
      </c>
      <c r="B2595" t="s">
        <v>100</v>
      </c>
      <c r="C2595" t="s">
        <v>690</v>
      </c>
      <c r="D2595">
        <v>39370</v>
      </c>
      <c r="E2595" t="s">
        <v>707</v>
      </c>
      <c r="F2595">
        <v>15.538</v>
      </c>
      <c r="G2595">
        <v>2008</v>
      </c>
    </row>
    <row r="2596" spans="1:7" x14ac:dyDescent="0.25">
      <c r="A2596" t="s">
        <v>50</v>
      </c>
      <c r="B2596" t="s">
        <v>101</v>
      </c>
      <c r="C2596" t="s">
        <v>691</v>
      </c>
      <c r="D2596">
        <v>7556</v>
      </c>
      <c r="E2596" t="s">
        <v>708</v>
      </c>
      <c r="F2596">
        <v>243.94900000000001</v>
      </c>
      <c r="G2596">
        <v>2006</v>
      </c>
    </row>
    <row r="2597" spans="1:7" x14ac:dyDescent="0.25">
      <c r="A2597" t="s">
        <v>50</v>
      </c>
      <c r="B2597" t="s">
        <v>101</v>
      </c>
      <c r="C2597" t="s">
        <v>692</v>
      </c>
      <c r="D2597">
        <v>7560</v>
      </c>
      <c r="E2597" t="s">
        <v>707</v>
      </c>
      <c r="F2597">
        <v>87.281999999999996</v>
      </c>
      <c r="G2597">
        <v>2006</v>
      </c>
    </row>
    <row r="2598" spans="1:7" x14ac:dyDescent="0.25">
      <c r="A2598" t="s">
        <v>50</v>
      </c>
      <c r="B2598" t="s">
        <v>101</v>
      </c>
      <c r="C2598" t="s">
        <v>693</v>
      </c>
      <c r="D2598">
        <v>25246</v>
      </c>
      <c r="E2598" t="s">
        <v>707</v>
      </c>
      <c r="F2598">
        <v>4452.6109999999999</v>
      </c>
      <c r="G2598">
        <v>2006</v>
      </c>
    </row>
    <row r="2599" spans="1:7" x14ac:dyDescent="0.25">
      <c r="A2599" t="s">
        <v>50</v>
      </c>
      <c r="B2599" t="s">
        <v>101</v>
      </c>
      <c r="C2599" t="s">
        <v>694</v>
      </c>
      <c r="D2599">
        <v>27687</v>
      </c>
      <c r="E2599" t="s">
        <v>707</v>
      </c>
      <c r="F2599">
        <v>126.80200000000001</v>
      </c>
      <c r="G2599">
        <v>2006</v>
      </c>
    </row>
    <row r="2600" spans="1:7" x14ac:dyDescent="0.25">
      <c r="A2600" t="s">
        <v>50</v>
      </c>
      <c r="B2600" t="s">
        <v>101</v>
      </c>
      <c r="C2600" t="s">
        <v>695</v>
      </c>
      <c r="D2600">
        <v>31037</v>
      </c>
      <c r="E2600" t="s">
        <v>707</v>
      </c>
      <c r="F2600">
        <v>53.622</v>
      </c>
      <c r="G2600">
        <v>2006</v>
      </c>
    </row>
    <row r="2601" spans="1:7" x14ac:dyDescent="0.25">
      <c r="A2601" t="s">
        <v>50</v>
      </c>
      <c r="B2601" t="s">
        <v>101</v>
      </c>
      <c r="C2601" t="s">
        <v>696</v>
      </c>
      <c r="D2601">
        <v>32503</v>
      </c>
      <c r="E2601" t="s">
        <v>707</v>
      </c>
      <c r="F2601">
        <v>24.646000000000001</v>
      </c>
      <c r="G2601">
        <v>2006</v>
      </c>
    </row>
    <row r="2602" spans="1:7" x14ac:dyDescent="0.25">
      <c r="A2602" t="s">
        <v>50</v>
      </c>
      <c r="B2602" t="s">
        <v>101</v>
      </c>
      <c r="C2602" t="s">
        <v>697</v>
      </c>
      <c r="D2602">
        <v>32504</v>
      </c>
      <c r="E2602" t="s">
        <v>707</v>
      </c>
      <c r="F2602">
        <v>2028.915</v>
      </c>
      <c r="G2602">
        <v>2006</v>
      </c>
    </row>
    <row r="2603" spans="1:7" x14ac:dyDescent="0.25">
      <c r="A2603" t="s">
        <v>50</v>
      </c>
      <c r="B2603" t="s">
        <v>101</v>
      </c>
      <c r="C2603" t="s">
        <v>691</v>
      </c>
      <c r="D2603">
        <v>7556</v>
      </c>
      <c r="E2603" t="s">
        <v>708</v>
      </c>
      <c r="F2603">
        <v>247.06299999999999</v>
      </c>
      <c r="G2603">
        <v>2007</v>
      </c>
    </row>
    <row r="2604" spans="1:7" x14ac:dyDescent="0.25">
      <c r="A2604" t="s">
        <v>50</v>
      </c>
      <c r="B2604" t="s">
        <v>101</v>
      </c>
      <c r="C2604" t="s">
        <v>692</v>
      </c>
      <c r="D2604">
        <v>7560</v>
      </c>
      <c r="E2604" t="s">
        <v>707</v>
      </c>
      <c r="F2604">
        <v>93.128</v>
      </c>
      <c r="G2604">
        <v>2007</v>
      </c>
    </row>
    <row r="2605" spans="1:7" x14ac:dyDescent="0.25">
      <c r="A2605" t="s">
        <v>50</v>
      </c>
      <c r="B2605" t="s">
        <v>101</v>
      </c>
      <c r="C2605" t="s">
        <v>694</v>
      </c>
      <c r="D2605">
        <v>27687</v>
      </c>
      <c r="E2605" t="s">
        <v>707</v>
      </c>
      <c r="F2605">
        <v>126.18300000000001</v>
      </c>
      <c r="G2605">
        <v>2007</v>
      </c>
    </row>
    <row r="2606" spans="1:7" x14ac:dyDescent="0.25">
      <c r="A2606" t="s">
        <v>50</v>
      </c>
      <c r="B2606" t="s">
        <v>101</v>
      </c>
      <c r="C2606" t="s">
        <v>695</v>
      </c>
      <c r="D2606">
        <v>31037</v>
      </c>
      <c r="E2606" t="s">
        <v>707</v>
      </c>
      <c r="F2606">
        <v>48.234999999999999</v>
      </c>
      <c r="G2606">
        <v>2007</v>
      </c>
    </row>
    <row r="2607" spans="1:7" x14ac:dyDescent="0.25">
      <c r="A2607" t="s">
        <v>50</v>
      </c>
      <c r="B2607" t="s">
        <v>101</v>
      </c>
      <c r="C2607" t="s">
        <v>696</v>
      </c>
      <c r="D2607">
        <v>32503</v>
      </c>
      <c r="E2607" t="s">
        <v>707</v>
      </c>
      <c r="F2607">
        <v>29.417999999999999</v>
      </c>
      <c r="G2607">
        <v>2007</v>
      </c>
    </row>
    <row r="2608" spans="1:7" x14ac:dyDescent="0.25">
      <c r="A2608" t="s">
        <v>50</v>
      </c>
      <c r="B2608" t="s">
        <v>101</v>
      </c>
      <c r="C2608" t="s">
        <v>691</v>
      </c>
      <c r="D2608">
        <v>7556</v>
      </c>
      <c r="E2608" t="s">
        <v>708</v>
      </c>
      <c r="F2608">
        <v>339.55599999999998</v>
      </c>
      <c r="G2608">
        <v>2008</v>
      </c>
    </row>
    <row r="2609" spans="1:7" x14ac:dyDescent="0.25">
      <c r="A2609" t="s">
        <v>50</v>
      </c>
      <c r="B2609" t="s">
        <v>101</v>
      </c>
      <c r="C2609" t="s">
        <v>692</v>
      </c>
      <c r="D2609">
        <v>7560</v>
      </c>
      <c r="E2609" t="s">
        <v>707</v>
      </c>
      <c r="F2609">
        <v>124.60299999999999</v>
      </c>
      <c r="G2609">
        <v>2008</v>
      </c>
    </row>
    <row r="2610" spans="1:7" x14ac:dyDescent="0.25">
      <c r="A2610" t="s">
        <v>50</v>
      </c>
      <c r="B2610" t="s">
        <v>101</v>
      </c>
      <c r="C2610" t="s">
        <v>694</v>
      </c>
      <c r="D2610">
        <v>27687</v>
      </c>
      <c r="E2610" t="s">
        <v>707</v>
      </c>
      <c r="F2610">
        <v>186.10400000000001</v>
      </c>
      <c r="G2610">
        <v>2008</v>
      </c>
    </row>
    <row r="2611" spans="1:7" x14ac:dyDescent="0.25">
      <c r="A2611" t="s">
        <v>50</v>
      </c>
      <c r="B2611" t="s">
        <v>101</v>
      </c>
      <c r="C2611" t="s">
        <v>695</v>
      </c>
      <c r="D2611">
        <v>31037</v>
      </c>
      <c r="E2611" t="s">
        <v>707</v>
      </c>
      <c r="F2611">
        <v>53.921999999999997</v>
      </c>
      <c r="G2611">
        <v>2008</v>
      </c>
    </row>
    <row r="2612" spans="1:7" x14ac:dyDescent="0.25">
      <c r="A2612" t="s">
        <v>50</v>
      </c>
      <c r="B2612" t="s">
        <v>101</v>
      </c>
      <c r="C2612" t="s">
        <v>696</v>
      </c>
      <c r="D2612">
        <v>32503</v>
      </c>
      <c r="E2612" t="s">
        <v>707</v>
      </c>
      <c r="F2612">
        <v>35.000999999999998</v>
      </c>
      <c r="G2612">
        <v>2008</v>
      </c>
    </row>
    <row r="2613" spans="1:7" x14ac:dyDescent="0.25">
      <c r="A2613" t="s">
        <v>50</v>
      </c>
      <c r="B2613" t="s">
        <v>101</v>
      </c>
      <c r="C2613" t="s">
        <v>691</v>
      </c>
      <c r="D2613">
        <v>7556</v>
      </c>
      <c r="E2613" t="s">
        <v>708</v>
      </c>
      <c r="F2613">
        <v>323.24099999999999</v>
      </c>
      <c r="G2613">
        <v>2009</v>
      </c>
    </row>
    <row r="2614" spans="1:7" x14ac:dyDescent="0.25">
      <c r="A2614" t="s">
        <v>50</v>
      </c>
      <c r="B2614" t="s">
        <v>101</v>
      </c>
      <c r="C2614" t="s">
        <v>692</v>
      </c>
      <c r="D2614">
        <v>7560</v>
      </c>
      <c r="E2614" t="s">
        <v>707</v>
      </c>
      <c r="F2614">
        <v>116.97199999999999</v>
      </c>
      <c r="G2614">
        <v>2009</v>
      </c>
    </row>
    <row r="2615" spans="1:7" x14ac:dyDescent="0.25">
      <c r="A2615" t="s">
        <v>50</v>
      </c>
      <c r="B2615" t="s">
        <v>101</v>
      </c>
      <c r="C2615" t="s">
        <v>694</v>
      </c>
      <c r="D2615">
        <v>27687</v>
      </c>
      <c r="E2615" t="s">
        <v>707</v>
      </c>
      <c r="F2615">
        <v>195.64699999999999</v>
      </c>
      <c r="G2615">
        <v>2009</v>
      </c>
    </row>
    <row r="2616" spans="1:7" x14ac:dyDescent="0.25">
      <c r="A2616" t="s">
        <v>50</v>
      </c>
      <c r="B2616" t="s">
        <v>101</v>
      </c>
      <c r="C2616" t="s">
        <v>695</v>
      </c>
      <c r="D2616">
        <v>31037</v>
      </c>
      <c r="E2616" t="s">
        <v>707</v>
      </c>
      <c r="F2616">
        <v>5275.1620000000003</v>
      </c>
      <c r="G2616">
        <v>2009</v>
      </c>
    </row>
    <row r="2617" spans="1:7" x14ac:dyDescent="0.25">
      <c r="A2617" t="s">
        <v>50</v>
      </c>
      <c r="B2617" t="s">
        <v>101</v>
      </c>
      <c r="C2617" t="s">
        <v>696</v>
      </c>
      <c r="D2617">
        <v>32503</v>
      </c>
      <c r="E2617" t="s">
        <v>707</v>
      </c>
      <c r="F2617">
        <v>40.622</v>
      </c>
      <c r="G2617">
        <v>2009</v>
      </c>
    </row>
    <row r="2618" spans="1:7" x14ac:dyDescent="0.25">
      <c r="A2618" t="s">
        <v>50</v>
      </c>
      <c r="B2618" t="s">
        <v>101</v>
      </c>
      <c r="C2618" t="s">
        <v>698</v>
      </c>
      <c r="D2618">
        <v>42555</v>
      </c>
      <c r="E2618" t="s">
        <v>707</v>
      </c>
      <c r="F2618">
        <v>9.3019999999999996</v>
      </c>
      <c r="G2618">
        <v>2009</v>
      </c>
    </row>
    <row r="2619" spans="1:7" x14ac:dyDescent="0.25">
      <c r="A2619" t="s">
        <v>50</v>
      </c>
      <c r="B2619" t="s">
        <v>101</v>
      </c>
      <c r="C2619" t="s">
        <v>691</v>
      </c>
      <c r="D2619">
        <v>7556</v>
      </c>
      <c r="E2619" t="s">
        <v>708</v>
      </c>
      <c r="F2619">
        <v>319.113</v>
      </c>
      <c r="G2619">
        <v>2010</v>
      </c>
    </row>
    <row r="2620" spans="1:7" x14ac:dyDescent="0.25">
      <c r="A2620" t="s">
        <v>50</v>
      </c>
      <c r="B2620" t="s">
        <v>101</v>
      </c>
      <c r="C2620" t="s">
        <v>692</v>
      </c>
      <c r="D2620">
        <v>7560</v>
      </c>
      <c r="E2620" t="s">
        <v>707</v>
      </c>
      <c r="F2620">
        <v>115.402</v>
      </c>
      <c r="G2620">
        <v>2010</v>
      </c>
    </row>
    <row r="2621" spans="1:7" x14ac:dyDescent="0.25">
      <c r="A2621" t="s">
        <v>50</v>
      </c>
      <c r="B2621" t="s">
        <v>101</v>
      </c>
      <c r="C2621" t="s">
        <v>694</v>
      </c>
      <c r="D2621">
        <v>27687</v>
      </c>
      <c r="E2621" t="s">
        <v>707</v>
      </c>
      <c r="F2621">
        <v>193.90199999999999</v>
      </c>
      <c r="G2621">
        <v>2010</v>
      </c>
    </row>
    <row r="2622" spans="1:7" x14ac:dyDescent="0.25">
      <c r="A2622" t="s">
        <v>50</v>
      </c>
      <c r="B2622" t="s">
        <v>101</v>
      </c>
      <c r="C2622" t="s">
        <v>696</v>
      </c>
      <c r="D2622">
        <v>32503</v>
      </c>
      <c r="E2622" t="s">
        <v>707</v>
      </c>
      <c r="F2622">
        <v>44.686</v>
      </c>
      <c r="G2622">
        <v>2010</v>
      </c>
    </row>
    <row r="2623" spans="1:7" x14ac:dyDescent="0.25">
      <c r="A2623" t="s">
        <v>50</v>
      </c>
      <c r="B2623" t="s">
        <v>101</v>
      </c>
      <c r="C2623" t="s">
        <v>698</v>
      </c>
      <c r="D2623">
        <v>42555</v>
      </c>
      <c r="E2623" t="s">
        <v>707</v>
      </c>
      <c r="F2623">
        <v>154.108</v>
      </c>
      <c r="G2623">
        <v>2010</v>
      </c>
    </row>
    <row r="2624" spans="1:7" x14ac:dyDescent="0.25">
      <c r="A2624" t="s">
        <v>50</v>
      </c>
      <c r="B2624" t="s">
        <v>101</v>
      </c>
      <c r="C2624" t="s">
        <v>699</v>
      </c>
      <c r="D2624">
        <v>44127</v>
      </c>
      <c r="E2624" t="s">
        <v>707</v>
      </c>
      <c r="F2624">
        <v>41.054000000000002</v>
      </c>
      <c r="G2624">
        <v>2010</v>
      </c>
    </row>
    <row r="2625" spans="1:7" x14ac:dyDescent="0.25">
      <c r="A2625" t="s">
        <v>50</v>
      </c>
      <c r="B2625" t="s">
        <v>101</v>
      </c>
      <c r="C2625" t="s">
        <v>700</v>
      </c>
      <c r="D2625">
        <v>44128</v>
      </c>
      <c r="E2625" t="s">
        <v>707</v>
      </c>
      <c r="F2625">
        <v>74.915000000000006</v>
      </c>
      <c r="G2625">
        <v>2010</v>
      </c>
    </row>
    <row r="2626" spans="1:7" x14ac:dyDescent="0.25">
      <c r="A2626" t="s">
        <v>50</v>
      </c>
      <c r="B2626" t="s">
        <v>101</v>
      </c>
      <c r="C2626" t="s">
        <v>691</v>
      </c>
      <c r="D2626">
        <v>7556</v>
      </c>
      <c r="E2626" t="s">
        <v>707</v>
      </c>
      <c r="F2626">
        <v>309.45999999999998</v>
      </c>
      <c r="G2626">
        <v>2011</v>
      </c>
    </row>
    <row r="2627" spans="1:7" x14ac:dyDescent="0.25">
      <c r="A2627" t="s">
        <v>50</v>
      </c>
      <c r="B2627" t="s">
        <v>101</v>
      </c>
      <c r="C2627" t="s">
        <v>692</v>
      </c>
      <c r="D2627">
        <v>7560</v>
      </c>
      <c r="E2627" t="s">
        <v>707</v>
      </c>
      <c r="F2627">
        <v>81.924000000000007</v>
      </c>
      <c r="G2627">
        <v>2011</v>
      </c>
    </row>
    <row r="2628" spans="1:7" x14ac:dyDescent="0.25">
      <c r="A2628" t="s">
        <v>50</v>
      </c>
      <c r="B2628" t="s">
        <v>101</v>
      </c>
      <c r="C2628" t="s">
        <v>694</v>
      </c>
      <c r="D2628">
        <v>27687</v>
      </c>
      <c r="E2628" t="s">
        <v>708</v>
      </c>
      <c r="F2628">
        <v>177.82</v>
      </c>
      <c r="G2628">
        <v>2011</v>
      </c>
    </row>
    <row r="2629" spans="1:7" x14ac:dyDescent="0.25">
      <c r="A2629" t="s">
        <v>50</v>
      </c>
      <c r="B2629" t="s">
        <v>101</v>
      </c>
      <c r="C2629" t="s">
        <v>698</v>
      </c>
      <c r="D2629">
        <v>42555</v>
      </c>
      <c r="E2629" t="s">
        <v>707</v>
      </c>
      <c r="F2629">
        <v>411.31400000000002</v>
      </c>
      <c r="G2629">
        <v>2011</v>
      </c>
    </row>
    <row r="2630" spans="1:7" x14ac:dyDescent="0.25">
      <c r="A2630" t="s">
        <v>50</v>
      </c>
      <c r="B2630" t="s">
        <v>101</v>
      </c>
      <c r="C2630" t="s">
        <v>699</v>
      </c>
      <c r="D2630">
        <v>44127</v>
      </c>
      <c r="E2630" t="s">
        <v>707</v>
      </c>
      <c r="F2630">
        <v>41.542999999999999</v>
      </c>
      <c r="G2630">
        <v>2011</v>
      </c>
    </row>
    <row r="2631" spans="1:7" x14ac:dyDescent="0.25">
      <c r="A2631" t="s">
        <v>50</v>
      </c>
      <c r="B2631" t="s">
        <v>101</v>
      </c>
      <c r="C2631" t="s">
        <v>700</v>
      </c>
      <c r="D2631">
        <v>44128</v>
      </c>
      <c r="E2631" t="s">
        <v>707</v>
      </c>
      <c r="F2631">
        <v>62.921999999999997</v>
      </c>
      <c r="G2631">
        <v>2011</v>
      </c>
    </row>
    <row r="2632" spans="1:7" x14ac:dyDescent="0.25">
      <c r="A2632" t="s">
        <v>50</v>
      </c>
      <c r="B2632" t="s">
        <v>101</v>
      </c>
      <c r="C2632" t="s">
        <v>692</v>
      </c>
      <c r="D2632">
        <v>7560</v>
      </c>
      <c r="E2632" t="s">
        <v>707</v>
      </c>
      <c r="F2632">
        <v>103.128</v>
      </c>
      <c r="G2632">
        <v>2012</v>
      </c>
    </row>
    <row r="2633" spans="1:7" x14ac:dyDescent="0.25">
      <c r="A2633" t="s">
        <v>50</v>
      </c>
      <c r="B2633" t="s">
        <v>101</v>
      </c>
      <c r="C2633" t="s">
        <v>694</v>
      </c>
      <c r="D2633">
        <v>27687</v>
      </c>
      <c r="E2633" t="s">
        <v>708</v>
      </c>
      <c r="F2633">
        <v>280.62900000000002</v>
      </c>
      <c r="G2633">
        <v>2012</v>
      </c>
    </row>
    <row r="2634" spans="1:7" x14ac:dyDescent="0.25">
      <c r="A2634" t="s">
        <v>50</v>
      </c>
      <c r="B2634" t="s">
        <v>101</v>
      </c>
      <c r="C2634" t="s">
        <v>698</v>
      </c>
      <c r="D2634">
        <v>42555</v>
      </c>
      <c r="E2634" t="s">
        <v>707</v>
      </c>
      <c r="F2634">
        <v>512.49099999999999</v>
      </c>
      <c r="G2634">
        <v>2012</v>
      </c>
    </row>
    <row r="2635" spans="1:7" x14ac:dyDescent="0.25">
      <c r="A2635" t="s">
        <v>50</v>
      </c>
      <c r="B2635" t="s">
        <v>101</v>
      </c>
      <c r="C2635" t="s">
        <v>699</v>
      </c>
      <c r="D2635">
        <v>44127</v>
      </c>
      <c r="E2635" t="s">
        <v>707</v>
      </c>
      <c r="F2635">
        <v>68.727000000000004</v>
      </c>
      <c r="G2635">
        <v>2012</v>
      </c>
    </row>
    <row r="2636" spans="1:7" x14ac:dyDescent="0.25">
      <c r="A2636" t="s">
        <v>50</v>
      </c>
      <c r="B2636" t="s">
        <v>101</v>
      </c>
      <c r="C2636" t="s">
        <v>700</v>
      </c>
      <c r="D2636">
        <v>44128</v>
      </c>
      <c r="E2636" t="s">
        <v>707</v>
      </c>
      <c r="F2636">
        <v>71.355000000000004</v>
      </c>
      <c r="G2636">
        <v>2012</v>
      </c>
    </row>
    <row r="2637" spans="1:7" x14ac:dyDescent="0.25">
      <c r="A2637" t="s">
        <v>50</v>
      </c>
      <c r="B2637" t="s">
        <v>101</v>
      </c>
      <c r="C2637" t="s">
        <v>692</v>
      </c>
      <c r="D2637">
        <v>7560</v>
      </c>
      <c r="E2637" t="s">
        <v>707</v>
      </c>
      <c r="F2637">
        <v>153.02600000000001</v>
      </c>
      <c r="G2637">
        <v>2013</v>
      </c>
    </row>
    <row r="2638" spans="1:7" x14ac:dyDescent="0.25">
      <c r="A2638" t="s">
        <v>50</v>
      </c>
      <c r="B2638" t="s">
        <v>101</v>
      </c>
      <c r="C2638" t="s">
        <v>694</v>
      </c>
      <c r="D2638">
        <v>27687</v>
      </c>
      <c r="E2638" t="s">
        <v>708</v>
      </c>
      <c r="F2638">
        <v>424.928</v>
      </c>
      <c r="G2638">
        <v>2013</v>
      </c>
    </row>
    <row r="2639" spans="1:7" x14ac:dyDescent="0.25">
      <c r="A2639" t="s">
        <v>50</v>
      </c>
      <c r="B2639" t="s">
        <v>101</v>
      </c>
      <c r="C2639" t="s">
        <v>698</v>
      </c>
      <c r="D2639">
        <v>42555</v>
      </c>
      <c r="E2639" t="s">
        <v>707</v>
      </c>
      <c r="F2639">
        <v>832.00199999999995</v>
      </c>
      <c r="G2639">
        <v>2013</v>
      </c>
    </row>
    <row r="2640" spans="1:7" x14ac:dyDescent="0.25">
      <c r="A2640" t="s">
        <v>50</v>
      </c>
      <c r="B2640" t="s">
        <v>101</v>
      </c>
      <c r="C2640" t="s">
        <v>699</v>
      </c>
      <c r="D2640">
        <v>44127</v>
      </c>
      <c r="E2640" t="s">
        <v>707</v>
      </c>
      <c r="F2640">
        <v>98.319000000000003</v>
      </c>
      <c r="G2640">
        <v>2013</v>
      </c>
    </row>
    <row r="2641" spans="1:7" x14ac:dyDescent="0.25">
      <c r="A2641" t="s">
        <v>50</v>
      </c>
      <c r="B2641" t="s">
        <v>101</v>
      </c>
      <c r="C2641" t="s">
        <v>701</v>
      </c>
      <c r="D2641">
        <v>48882</v>
      </c>
      <c r="E2641" t="s">
        <v>707</v>
      </c>
      <c r="F2641">
        <v>72.528000000000006</v>
      </c>
      <c r="G2641">
        <v>2013</v>
      </c>
    </row>
    <row r="2642" spans="1:7" x14ac:dyDescent="0.25">
      <c r="A2642" t="s">
        <v>50</v>
      </c>
      <c r="B2642" t="s">
        <v>101</v>
      </c>
      <c r="C2642" t="s">
        <v>692</v>
      </c>
      <c r="D2642">
        <v>7560</v>
      </c>
      <c r="E2642" t="s">
        <v>707</v>
      </c>
      <c r="F2642">
        <v>102.104</v>
      </c>
      <c r="G2642">
        <v>2014</v>
      </c>
    </row>
    <row r="2643" spans="1:7" x14ac:dyDescent="0.25">
      <c r="A2643" t="s">
        <v>50</v>
      </c>
      <c r="B2643" t="s">
        <v>101</v>
      </c>
      <c r="C2643" t="s">
        <v>694</v>
      </c>
      <c r="D2643">
        <v>27687</v>
      </c>
      <c r="E2643" t="s">
        <v>708</v>
      </c>
      <c r="F2643">
        <v>243.70500000000001</v>
      </c>
      <c r="G2643">
        <v>2014</v>
      </c>
    </row>
    <row r="2644" spans="1:7" x14ac:dyDescent="0.25">
      <c r="A2644" t="s">
        <v>50</v>
      </c>
      <c r="B2644" t="s">
        <v>101</v>
      </c>
      <c r="C2644" t="s">
        <v>698</v>
      </c>
      <c r="D2644">
        <v>42555</v>
      </c>
      <c r="E2644" t="s">
        <v>707</v>
      </c>
      <c r="F2644">
        <v>587.47900000000004</v>
      </c>
      <c r="G2644">
        <v>2014</v>
      </c>
    </row>
    <row r="2645" spans="1:7" x14ac:dyDescent="0.25">
      <c r="A2645" t="s">
        <v>50</v>
      </c>
      <c r="B2645" t="s">
        <v>101</v>
      </c>
      <c r="C2645" t="s">
        <v>699</v>
      </c>
      <c r="D2645">
        <v>44127</v>
      </c>
      <c r="E2645" t="s">
        <v>707</v>
      </c>
      <c r="F2645">
        <v>6683.2240000000002</v>
      </c>
      <c r="G2645">
        <v>2014</v>
      </c>
    </row>
    <row r="2646" spans="1:7" x14ac:dyDescent="0.25">
      <c r="A2646" t="s">
        <v>50</v>
      </c>
      <c r="B2646" t="s">
        <v>101</v>
      </c>
      <c r="C2646" t="s">
        <v>701</v>
      </c>
      <c r="D2646">
        <v>48882</v>
      </c>
      <c r="E2646" t="s">
        <v>707</v>
      </c>
      <c r="F2646">
        <v>75.978999999999999</v>
      </c>
      <c r="G2646">
        <v>2014</v>
      </c>
    </row>
    <row r="2647" spans="1:7" x14ac:dyDescent="0.25">
      <c r="A2647" t="s">
        <v>50</v>
      </c>
      <c r="B2647" t="s">
        <v>101</v>
      </c>
      <c r="C2647" t="s">
        <v>702</v>
      </c>
      <c r="D2647">
        <v>50670</v>
      </c>
      <c r="E2647" t="s">
        <v>707</v>
      </c>
      <c r="F2647">
        <v>132.75200000000001</v>
      </c>
      <c r="G2647">
        <v>2014</v>
      </c>
    </row>
    <row r="2648" spans="1:7" x14ac:dyDescent="0.25">
      <c r="A2648" t="s">
        <v>50</v>
      </c>
      <c r="B2648" t="s">
        <v>101</v>
      </c>
      <c r="C2648" t="s">
        <v>692</v>
      </c>
      <c r="D2648">
        <v>7560</v>
      </c>
      <c r="E2648" t="s">
        <v>707</v>
      </c>
      <c r="F2648">
        <v>133.74799999999999</v>
      </c>
      <c r="G2648">
        <v>2015</v>
      </c>
    </row>
    <row r="2649" spans="1:7" x14ac:dyDescent="0.25">
      <c r="A2649" t="s">
        <v>50</v>
      </c>
      <c r="B2649" t="s">
        <v>101</v>
      </c>
      <c r="C2649" t="s">
        <v>694</v>
      </c>
      <c r="D2649">
        <v>27687</v>
      </c>
      <c r="E2649" t="s">
        <v>707</v>
      </c>
      <c r="F2649">
        <v>294.79199999999997</v>
      </c>
      <c r="G2649">
        <v>2015</v>
      </c>
    </row>
    <row r="2650" spans="1:7" x14ac:dyDescent="0.25">
      <c r="A2650" t="s">
        <v>50</v>
      </c>
      <c r="B2650" t="s">
        <v>101</v>
      </c>
      <c r="C2650" t="s">
        <v>698</v>
      </c>
      <c r="D2650">
        <v>42555</v>
      </c>
      <c r="E2650" t="s">
        <v>708</v>
      </c>
      <c r="F2650">
        <v>817.41399999999999</v>
      </c>
      <c r="G2650">
        <v>2015</v>
      </c>
    </row>
    <row r="2651" spans="1:7" x14ac:dyDescent="0.25">
      <c r="A2651" t="s">
        <v>50</v>
      </c>
      <c r="B2651" t="s">
        <v>101</v>
      </c>
      <c r="C2651" t="s">
        <v>700</v>
      </c>
      <c r="D2651">
        <v>44128</v>
      </c>
      <c r="E2651" t="s">
        <v>707</v>
      </c>
      <c r="F2651">
        <v>87.003</v>
      </c>
      <c r="G2651">
        <v>2015</v>
      </c>
    </row>
    <row r="2652" spans="1:7" x14ac:dyDescent="0.25">
      <c r="A2652" t="s">
        <v>50</v>
      </c>
      <c r="B2652" t="s">
        <v>101</v>
      </c>
      <c r="C2652" t="s">
        <v>701</v>
      </c>
      <c r="D2652">
        <v>48882</v>
      </c>
      <c r="E2652" t="s">
        <v>707</v>
      </c>
      <c r="F2652">
        <v>113.84099999999999</v>
      </c>
      <c r="G2652">
        <v>2015</v>
      </c>
    </row>
    <row r="2653" spans="1:7" x14ac:dyDescent="0.25">
      <c r="A2653" t="s">
        <v>50</v>
      </c>
      <c r="B2653" t="s">
        <v>101</v>
      </c>
      <c r="C2653" t="s">
        <v>702</v>
      </c>
      <c r="D2653">
        <v>50670</v>
      </c>
      <c r="E2653" t="s">
        <v>707</v>
      </c>
      <c r="F2653">
        <v>439.86</v>
      </c>
      <c r="G2653">
        <v>2015</v>
      </c>
    </row>
    <row r="2654" spans="1:7" x14ac:dyDescent="0.25">
      <c r="A2654" t="s">
        <v>50</v>
      </c>
      <c r="B2654" t="s">
        <v>101</v>
      </c>
      <c r="C2654" t="s">
        <v>698</v>
      </c>
      <c r="D2654">
        <v>42555</v>
      </c>
      <c r="E2654" t="s">
        <v>708</v>
      </c>
      <c r="F2654">
        <v>939.44399999999996</v>
      </c>
      <c r="G2654">
        <v>2016</v>
      </c>
    </row>
    <row r="2655" spans="1:7" x14ac:dyDescent="0.25">
      <c r="A2655" t="s">
        <v>50</v>
      </c>
      <c r="B2655" t="s">
        <v>101</v>
      </c>
      <c r="C2655" t="s">
        <v>700</v>
      </c>
      <c r="D2655">
        <v>44128</v>
      </c>
      <c r="E2655" t="s">
        <v>707</v>
      </c>
      <c r="F2655">
        <v>69.402000000000001</v>
      </c>
      <c r="G2655">
        <v>2016</v>
      </c>
    </row>
    <row r="2656" spans="1:7" x14ac:dyDescent="0.25">
      <c r="A2656" t="s">
        <v>50</v>
      </c>
      <c r="B2656" t="s">
        <v>101</v>
      </c>
      <c r="C2656" t="s">
        <v>701</v>
      </c>
      <c r="D2656">
        <v>48882</v>
      </c>
      <c r="E2656" t="s">
        <v>707</v>
      </c>
      <c r="F2656">
        <v>87.653999999999996</v>
      </c>
      <c r="G2656">
        <v>2016</v>
      </c>
    </row>
    <row r="2657" spans="1:7" x14ac:dyDescent="0.25">
      <c r="A2657" t="s">
        <v>50</v>
      </c>
      <c r="B2657" t="s">
        <v>101</v>
      </c>
      <c r="C2657" t="s">
        <v>702</v>
      </c>
      <c r="D2657">
        <v>50670</v>
      </c>
      <c r="E2657" t="s">
        <v>707</v>
      </c>
      <c r="F2657">
        <v>352.60199999999998</v>
      </c>
      <c r="G2657">
        <v>2016</v>
      </c>
    </row>
    <row r="2658" spans="1:7" x14ac:dyDescent="0.25">
      <c r="A2658" t="s">
        <v>50</v>
      </c>
      <c r="B2658" t="s">
        <v>101</v>
      </c>
      <c r="C2658" t="s">
        <v>703</v>
      </c>
      <c r="D2658">
        <v>55228</v>
      </c>
      <c r="E2658" t="s">
        <v>707</v>
      </c>
      <c r="F2658">
        <v>5588.89</v>
      </c>
      <c r="G2658">
        <v>2016</v>
      </c>
    </row>
    <row r="2659" spans="1:7" x14ac:dyDescent="0.25">
      <c r="A2659" t="s">
        <v>50</v>
      </c>
      <c r="B2659" t="s">
        <v>101</v>
      </c>
      <c r="C2659" t="s">
        <v>704</v>
      </c>
      <c r="D2659">
        <v>55229</v>
      </c>
      <c r="E2659" t="s">
        <v>707</v>
      </c>
      <c r="F2659">
        <v>63.124000000000002</v>
      </c>
      <c r="G2659">
        <v>2016</v>
      </c>
    </row>
    <row r="2660" spans="1:7" x14ac:dyDescent="0.25">
      <c r="A2660" t="s">
        <v>50</v>
      </c>
      <c r="B2660" t="s">
        <v>101</v>
      </c>
      <c r="C2660" t="s">
        <v>698</v>
      </c>
      <c r="D2660">
        <v>42555</v>
      </c>
      <c r="E2660" t="s">
        <v>708</v>
      </c>
      <c r="F2660">
        <v>1166.691</v>
      </c>
      <c r="G2660">
        <v>2017</v>
      </c>
    </row>
    <row r="2661" spans="1:7" x14ac:dyDescent="0.25">
      <c r="A2661" t="s">
        <v>50</v>
      </c>
      <c r="B2661" t="s">
        <v>101</v>
      </c>
      <c r="C2661" t="s">
        <v>700</v>
      </c>
      <c r="D2661">
        <v>44128</v>
      </c>
      <c r="E2661" t="s">
        <v>707</v>
      </c>
      <c r="F2661">
        <v>84.382000000000005</v>
      </c>
      <c r="G2661">
        <v>2017</v>
      </c>
    </row>
    <row r="2662" spans="1:7" x14ac:dyDescent="0.25">
      <c r="A2662" t="s">
        <v>50</v>
      </c>
      <c r="B2662" t="s">
        <v>101</v>
      </c>
      <c r="C2662" t="s">
        <v>701</v>
      </c>
      <c r="D2662">
        <v>48882</v>
      </c>
      <c r="E2662" t="s">
        <v>707</v>
      </c>
      <c r="F2662">
        <v>143.90899999999999</v>
      </c>
      <c r="G2662">
        <v>2017</v>
      </c>
    </row>
    <row r="2663" spans="1:7" x14ac:dyDescent="0.25">
      <c r="A2663" t="s">
        <v>50</v>
      </c>
      <c r="B2663" t="s">
        <v>101</v>
      </c>
      <c r="C2663" t="s">
        <v>702</v>
      </c>
      <c r="D2663">
        <v>50670</v>
      </c>
      <c r="E2663" t="s">
        <v>707</v>
      </c>
      <c r="F2663">
        <v>4962.9260000000004</v>
      </c>
      <c r="G2663">
        <v>2017</v>
      </c>
    </row>
    <row r="2664" spans="1:7" x14ac:dyDescent="0.25">
      <c r="A2664" t="s">
        <v>50</v>
      </c>
      <c r="B2664" t="s">
        <v>101</v>
      </c>
      <c r="C2664" t="s">
        <v>704</v>
      </c>
      <c r="D2664">
        <v>55229</v>
      </c>
      <c r="E2664" t="s">
        <v>707</v>
      </c>
      <c r="F2664">
        <v>69.941999999999993</v>
      </c>
      <c r="G2664">
        <v>2017</v>
      </c>
    </row>
    <row r="2665" spans="1:7" x14ac:dyDescent="0.25">
      <c r="A2665" t="s">
        <v>50</v>
      </c>
      <c r="B2665" t="s">
        <v>101</v>
      </c>
      <c r="C2665" t="s">
        <v>705</v>
      </c>
      <c r="D2665">
        <v>60018</v>
      </c>
      <c r="E2665" t="s">
        <v>707</v>
      </c>
      <c r="F2665">
        <v>164.161</v>
      </c>
      <c r="G2665">
        <v>2017</v>
      </c>
    </row>
    <row r="2666" spans="1:7" x14ac:dyDescent="0.25">
      <c r="A2666" t="s">
        <v>50</v>
      </c>
      <c r="B2666" t="s">
        <v>101</v>
      </c>
      <c r="C2666" t="s">
        <v>698</v>
      </c>
      <c r="D2666">
        <v>42555</v>
      </c>
      <c r="E2666" t="s">
        <v>708</v>
      </c>
      <c r="F2666">
        <v>1081.4760000000001</v>
      </c>
      <c r="G2666">
        <v>2018</v>
      </c>
    </row>
    <row r="2667" spans="1:7" x14ac:dyDescent="0.25">
      <c r="A2667" t="s">
        <v>50</v>
      </c>
      <c r="B2667" t="s">
        <v>101</v>
      </c>
      <c r="C2667" t="s">
        <v>700</v>
      </c>
      <c r="D2667">
        <v>44128</v>
      </c>
      <c r="E2667" t="s">
        <v>707</v>
      </c>
      <c r="F2667">
        <v>85.165000000000006</v>
      </c>
      <c r="G2667">
        <v>2018</v>
      </c>
    </row>
    <row r="2668" spans="1:7" x14ac:dyDescent="0.25">
      <c r="A2668" t="s">
        <v>50</v>
      </c>
      <c r="B2668" t="s">
        <v>101</v>
      </c>
      <c r="C2668" t="s">
        <v>701</v>
      </c>
      <c r="D2668">
        <v>48882</v>
      </c>
      <c r="E2668" t="s">
        <v>707</v>
      </c>
      <c r="F2668">
        <v>110.724</v>
      </c>
      <c r="G2668">
        <v>2018</v>
      </c>
    </row>
    <row r="2669" spans="1:7" x14ac:dyDescent="0.25">
      <c r="A2669" t="s">
        <v>50</v>
      </c>
      <c r="B2669" t="s">
        <v>101</v>
      </c>
      <c r="C2669" t="s">
        <v>704</v>
      </c>
      <c r="D2669">
        <v>55229</v>
      </c>
      <c r="E2669" t="s">
        <v>707</v>
      </c>
      <c r="F2669">
        <v>3697.3180000000002</v>
      </c>
      <c r="G2669">
        <v>2018</v>
      </c>
    </row>
    <row r="2670" spans="1:7" x14ac:dyDescent="0.25">
      <c r="A2670" t="s">
        <v>50</v>
      </c>
      <c r="B2670" t="s">
        <v>101</v>
      </c>
      <c r="C2670" t="s">
        <v>705</v>
      </c>
      <c r="D2670">
        <v>60018</v>
      </c>
      <c r="E2670" t="s">
        <v>707</v>
      </c>
      <c r="F2670">
        <v>263.99799999999999</v>
      </c>
      <c r="G2670">
        <v>2018</v>
      </c>
    </row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Jing Xu</dc:creator>
  <cp:lastModifiedBy>olivi</cp:lastModifiedBy>
  <dcterms:created xsi:type="dcterms:W3CDTF">2020-02-02T03:48:02Z</dcterms:created>
  <dcterms:modified xsi:type="dcterms:W3CDTF">2020-03-11T06:14:33Z</dcterms:modified>
</cp:coreProperties>
</file>