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codeName="ThisWorkbook" autoCompressPictures="0"/>
  <bookViews>
    <workbookView xWindow="0" yWindow="0" windowWidth="28800" windowHeight="14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M13" i="1"/>
  <c r="M12" i="1"/>
  <c r="M11" i="1"/>
  <c r="M10" i="1"/>
  <c r="M9" i="1"/>
  <c r="M7" i="1"/>
  <c r="M6" i="1"/>
  <c r="E19" i="1"/>
  <c r="E20" i="1"/>
  <c r="E21" i="1"/>
  <c r="E23" i="1"/>
  <c r="E16" i="1"/>
  <c r="I4" i="1"/>
  <c r="J5" i="1"/>
  <c r="J4" i="1"/>
  <c r="I5" i="1"/>
  <c r="J6" i="1"/>
  <c r="I6" i="1"/>
  <c r="I7" i="1"/>
  <c r="J7" i="1"/>
  <c r="E15" i="1"/>
  <c r="E17" i="1"/>
  <c r="E18" i="1"/>
  <c r="E22" i="1"/>
  <c r="E24" i="1"/>
  <c r="L20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</calcChain>
</file>

<file path=xl/sharedStrings.xml><?xml version="1.0" encoding="utf-8"?>
<sst xmlns="http://schemas.openxmlformats.org/spreadsheetml/2006/main" count="80" uniqueCount="79">
  <si>
    <t xml:space="preserve">Manual expected production calculation </t>
  </si>
  <si>
    <t>GHI</t>
  </si>
  <si>
    <t>Lat</t>
  </si>
  <si>
    <t>Latitude</t>
  </si>
  <si>
    <t>DHI/DIF</t>
  </si>
  <si>
    <t>Tilt Angle</t>
  </si>
  <si>
    <t>Beta</t>
  </si>
  <si>
    <t>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</si>
  <si>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</si>
  <si>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</si>
  <si>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</si>
  <si>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</si>
  <si>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</si>
  <si>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</si>
  <si>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</si>
  <si>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</si>
  <si>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</si>
  <si>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</si>
  <si>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</si>
  <si>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</si>
  <si>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Model Day Number</t>
  </si>
  <si>
    <t>Monthly Global Horizontal Irradiance (kWh/m2)</t>
  </si>
  <si>
    <t>Monthly Diffuse Irradiance (kWh/m2)</t>
  </si>
  <si>
    <t>1. calculate resource available on module surface</t>
  </si>
  <si>
    <t>kW-dc</t>
  </si>
  <si>
    <t>System rated size (kW-dc)</t>
  </si>
  <si>
    <t>Example Data</t>
  </si>
  <si>
    <t>Created Variables</t>
  </si>
  <si>
    <t>Input Variables</t>
  </si>
  <si>
    <t>month</t>
  </si>
  <si>
    <t>S</t>
  </si>
  <si>
    <t>D</t>
  </si>
  <si>
    <t>TABLE 1</t>
  </si>
  <si>
    <t>Month</t>
  </si>
  <si>
    <t>=Month-d pair</t>
  </si>
  <si>
    <t>=GHI-D</t>
  </si>
  <si>
    <t>phi</t>
  </si>
  <si>
    <t>(see calculation below)</t>
  </si>
  <si>
    <t>I</t>
  </si>
  <si>
    <t>Detailed Calculation Steps</t>
  </si>
  <si>
    <t>day number (static from table 1)</t>
  </si>
  <si>
    <t>Ac</t>
  </si>
  <si>
    <t>Am</t>
  </si>
  <si>
    <t>β</t>
  </si>
  <si>
    <t>S(β)</t>
  </si>
  <si>
    <t>I(β)</t>
  </si>
  <si>
    <t>=S(β)+D</t>
  </si>
  <si>
    <t>TABLE 2</t>
  </si>
  <si>
    <r>
      <rPr>
        <b/>
        <sz val="11"/>
        <color theme="1"/>
        <rFont val="Calibri"/>
        <family val="2"/>
        <scheme val="minor"/>
      </rPr>
      <t>S(β) =</t>
    </r>
    <r>
      <rPr>
        <sz val="11"/>
        <color theme="1"/>
        <rFont val="Calibri"/>
        <family val="2"/>
        <scheme val="minor"/>
      </rPr>
      <t xml:space="preserve"> S x sin[(90-Lat+(23.45 x sin((d-81)x0.9863))) + β)] / [sin(90-Lat+(23.45 x sin((d-81)x0.9863))]</t>
    </r>
  </si>
  <si>
    <t>n</t>
  </si>
  <si>
    <t>Module Quantity</t>
  </si>
  <si>
    <t>Pn</t>
  </si>
  <si>
    <t>=Pn x 1000/ n</t>
  </si>
  <si>
    <t>Wp</t>
  </si>
  <si>
    <t>month to estimate production</t>
  </si>
  <si>
    <t>Direct Horizontal Irradiance (kWh/m2)</t>
  </si>
  <si>
    <t>Direct Irradiance at tilt angle, beta (kWh/m2)</t>
  </si>
  <si>
    <t>Total Irradiance at tilt angle, beta (kWh/m2)</t>
  </si>
  <si>
    <t>Module Rating (W)</t>
  </si>
  <si>
    <t>Module rating</t>
  </si>
  <si>
    <t>=Wp-Am pair</t>
  </si>
  <si>
    <t>Module Area (m2) (static from Table 2)</t>
  </si>
  <si>
    <t>Area (m2)</t>
  </si>
  <si>
    <t>=Am x n</t>
  </si>
  <si>
    <t>Collector Area (m2)</t>
  </si>
  <si>
    <t>Ic</t>
  </si>
  <si>
    <t>Total Irradiance on Collector Area (kWh)</t>
  </si>
  <si>
    <t>=Ac x I(β)</t>
  </si>
  <si>
    <t>PR</t>
  </si>
  <si>
    <t>System De-rate factor</t>
  </si>
  <si>
    <t>E</t>
  </si>
  <si>
    <t>(static)</t>
  </si>
  <si>
    <t>Expected plant energy production (kWh) for the month)</t>
  </si>
  <si>
    <t>Module Efficiency</t>
  </si>
  <si>
    <t>=(Wp / 1000) / Am</t>
  </si>
  <si>
    <t>η</t>
  </si>
  <si>
    <r>
      <t xml:space="preserve">=Ic x PR x </t>
    </r>
    <r>
      <rPr>
        <sz val="11"/>
        <color theme="1"/>
        <rFont val="Calibri"/>
        <family val="2"/>
      </rPr>
      <t>η</t>
    </r>
  </si>
  <si>
    <t>Check</t>
  </si>
  <si>
    <t>CF (dc)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</si>
</sst>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0" xfId="0" applyNumberFormat="1" applyAlignment="1">
      <alignment horizontal="center"/>
    </xf>
    <xf numFmtId="0" fontId="3" fillId="0" borderId="0" xfId="0" applyFo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NumberFormat="1" applyAlignment="1">
      <alignment horizontal="center"/>
    </xf>
    <xf numFmtId="164" fontId="0" fillId="0" borderId="1" xfId="0" applyNumberFormat="1" applyBorder="1"/>
    <xf numFmtId="3" fontId="0" fillId="0" borderId="0" xfId="0" applyNumberFormat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 wrapText="1"/>
    </xf>
    <xf numFmtId="2" fontId="0" fillId="0" borderId="0" xfId="0" applyNumberFormat="1"/>
    <xf numFmtId="2" fontId="0" fillId="2" borderId="1" xfId="0" applyNumberFormat="1" applyFill="1" applyBorder="1" applyAlignment="1">
      <alignment wrapText="1"/>
    </xf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M28"/>
  <sheetViews>
    <sheetView tabSelected="1" workbookViewId="0">
      <selection activeCell="B19" sqref="B19"/>
    </sheetView>
  </sheetViews>
  <sheetFormatPr baseColWidth="10" defaultColWidth="8.83203125" defaultRowHeight="14" x14ac:dyDescent="0"/>
  <cols>
    <col min="1" max="1" width="5.5" customWidth="1"/>
    <col min="3" max="3" width="19" customWidth="1"/>
    <col min="4" max="4" width="52" customWidth="1"/>
    <col min="5" max="5" width="20.33203125" customWidth="1"/>
    <col min="6" max="6" width="11.83203125" customWidth="1"/>
    <col min="8" max="9" width="0" hidden="1" customWidth="1"/>
    <col min="10" max="10" width="11.33203125" style="20" customWidth="1"/>
    <col min="11" max="11" width="3" customWidth="1"/>
    <col min="12" max="12" width="16.33203125" customWidth="1"/>
    <col min="13" max="13" width="10.83203125" customWidth="1"/>
  </cols>
  <sheetData>
    <row r="2" spans="2:13">
      <c r="B2" s="2" t="s">
        <v>0</v>
      </c>
      <c r="G2" s="1" t="s">
        <v>32</v>
      </c>
      <c r="L2" s="1" t="s">
        <v>47</v>
      </c>
    </row>
    <row r="3" spans="2:13" ht="28">
      <c r="G3" s="13" t="s">
        <v>33</v>
      </c>
      <c r="H3" s="13"/>
      <c r="I3" s="13"/>
      <c r="J3" s="21" t="s">
        <v>20</v>
      </c>
      <c r="L3" s="12" t="s">
        <v>59</v>
      </c>
      <c r="M3" s="12" t="s">
        <v>62</v>
      </c>
    </row>
    <row r="4" spans="2:13">
      <c r="B4" s="1" t="s">
        <v>28</v>
      </c>
      <c r="E4" s="1" t="s">
        <v>26</v>
      </c>
      <c r="G4" s="8" t="s">
        <v>8</v>
      </c>
      <c r="H4" s="8">
        <v>31</v>
      </c>
      <c r="I4" s="8">
        <f>H4</f>
        <v>31</v>
      </c>
      <c r="J4" s="22">
        <f>H4/2</f>
        <v>15.5</v>
      </c>
      <c r="L4" s="8">
        <v>80</v>
      </c>
      <c r="M4" s="8">
        <v>0.7</v>
      </c>
    </row>
    <row r="5" spans="2:13">
      <c r="B5" t="s">
        <v>36</v>
      </c>
      <c r="C5" t="s">
        <v>2</v>
      </c>
      <c r="D5" t="s">
        <v>3</v>
      </c>
      <c r="E5" s="5">
        <v>39</v>
      </c>
      <c r="G5" s="8" t="s">
        <v>9</v>
      </c>
      <c r="H5" s="8">
        <v>28.25</v>
      </c>
      <c r="I5" s="8">
        <f>I4+H5</f>
        <v>59.25</v>
      </c>
      <c r="J5" s="22">
        <f>I4+(H5/2)</f>
        <v>45.125</v>
      </c>
      <c r="L5" s="8">
        <v>100</v>
      </c>
      <c r="M5" s="8">
        <v>0.8</v>
      </c>
    </row>
    <row r="6" spans="2:13">
      <c r="B6" t="s">
        <v>38</v>
      </c>
      <c r="C6" t="s">
        <v>1</v>
      </c>
      <c r="D6" t="s">
        <v>21</v>
      </c>
      <c r="E6" s="6">
        <f>1600/12</f>
        <v>133.33333333333334</v>
      </c>
      <c r="G6" s="8" t="s">
        <v>10</v>
      </c>
      <c r="H6" s="8">
        <v>31</v>
      </c>
      <c r="I6" s="8">
        <f t="shared" ref="I6:I15" si="0">I5+H6</f>
        <v>90.25</v>
      </c>
      <c r="J6" s="22">
        <f t="shared" ref="J6:J15" si="1">I5+(H6/2)</f>
        <v>74.75</v>
      </c>
      <c r="L6" s="8">
        <v>135</v>
      </c>
      <c r="M6" s="8">
        <f>1.5*0.67</f>
        <v>1.0050000000000001</v>
      </c>
    </row>
    <row r="7" spans="2:13">
      <c r="B7" t="s">
        <v>31</v>
      </c>
      <c r="C7" t="s">
        <v>4</v>
      </c>
      <c r="D7" t="s">
        <v>22</v>
      </c>
      <c r="E7" s="5">
        <v>25</v>
      </c>
      <c r="G7" s="8" t="s">
        <v>11</v>
      </c>
      <c r="H7" s="8">
        <v>30</v>
      </c>
      <c r="I7" s="8">
        <f t="shared" si="0"/>
        <v>120.25</v>
      </c>
      <c r="J7" s="22">
        <f t="shared" si="1"/>
        <v>105.25</v>
      </c>
      <c r="L7" s="8">
        <v>150</v>
      </c>
      <c r="M7" s="8">
        <f>1.5*0.67</f>
        <v>1.0050000000000001</v>
      </c>
    </row>
    <row r="8" spans="2:13">
      <c r="B8" s="11" t="s">
        <v>43</v>
      </c>
      <c r="C8" t="s">
        <v>6</v>
      </c>
      <c r="D8" t="s">
        <v>5</v>
      </c>
      <c r="E8" s="5">
        <v>20</v>
      </c>
      <c r="G8" s="8" t="s">
        <v>12</v>
      </c>
      <c r="H8" s="8">
        <v>31</v>
      </c>
      <c r="I8" s="8">
        <f t="shared" si="0"/>
        <v>151.25</v>
      </c>
      <c r="J8" s="22">
        <f t="shared" si="1"/>
        <v>135.75</v>
      </c>
      <c r="L8" s="8">
        <v>175</v>
      </c>
      <c r="M8" s="8">
        <v>1.1499999999999999</v>
      </c>
    </row>
    <row r="9" spans="2:13">
      <c r="C9" t="s">
        <v>29</v>
      </c>
      <c r="D9" t="s">
        <v>54</v>
      </c>
      <c r="E9" s="5" t="s">
        <v>11</v>
      </c>
      <c r="G9" s="8" t="s">
        <v>13</v>
      </c>
      <c r="H9" s="8">
        <v>30</v>
      </c>
      <c r="I9" s="8">
        <f t="shared" si="0"/>
        <v>181.25</v>
      </c>
      <c r="J9" s="22">
        <f t="shared" si="1"/>
        <v>166.25</v>
      </c>
      <c r="L9" s="8">
        <v>200</v>
      </c>
      <c r="M9" s="8">
        <f>1.581*0.809</f>
        <v>1.279029</v>
      </c>
    </row>
    <row r="10" spans="2:13">
      <c r="B10" t="s">
        <v>51</v>
      </c>
      <c r="C10" t="s">
        <v>24</v>
      </c>
      <c r="D10" t="s">
        <v>25</v>
      </c>
      <c r="E10" s="5">
        <v>120</v>
      </c>
      <c r="G10" s="8" t="s">
        <v>14</v>
      </c>
      <c r="H10" s="8">
        <v>31</v>
      </c>
      <c r="I10" s="8">
        <f t="shared" si="0"/>
        <v>212.25</v>
      </c>
      <c r="J10" s="22">
        <f t="shared" si="1"/>
        <v>196.75</v>
      </c>
      <c r="L10" s="8">
        <v>215</v>
      </c>
      <c r="M10" s="8">
        <f>1.581*0.809</f>
        <v>1.279029</v>
      </c>
    </row>
    <row r="11" spans="2:13">
      <c r="B11" t="s">
        <v>49</v>
      </c>
      <c r="D11" t="s">
        <v>50</v>
      </c>
      <c r="E11" s="5">
        <v>400</v>
      </c>
      <c r="G11" s="8" t="s">
        <v>15</v>
      </c>
      <c r="H11" s="8">
        <v>31</v>
      </c>
      <c r="I11" s="8">
        <f t="shared" si="0"/>
        <v>243.25</v>
      </c>
      <c r="J11" s="22">
        <f t="shared" si="1"/>
        <v>227.75</v>
      </c>
      <c r="L11" s="8">
        <v>225</v>
      </c>
      <c r="M11" s="8">
        <f>1.65*0.97</f>
        <v>1.6004999999999998</v>
      </c>
    </row>
    <row r="12" spans="2:13">
      <c r="B12" t="s">
        <v>68</v>
      </c>
      <c r="C12" t="s">
        <v>71</v>
      </c>
      <c r="D12" t="s">
        <v>69</v>
      </c>
      <c r="E12" s="5">
        <v>0.85</v>
      </c>
      <c r="G12" s="8" t="s">
        <v>16</v>
      </c>
      <c r="H12" s="8">
        <v>30</v>
      </c>
      <c r="I12" s="8">
        <f t="shared" si="0"/>
        <v>273.25</v>
      </c>
      <c r="J12" s="22">
        <f t="shared" si="1"/>
        <v>258.25</v>
      </c>
      <c r="L12" s="8">
        <v>250</v>
      </c>
      <c r="M12" s="8">
        <f>1.65*0.97</f>
        <v>1.6004999999999998</v>
      </c>
    </row>
    <row r="13" spans="2:13">
      <c r="G13" s="8" t="s">
        <v>17</v>
      </c>
      <c r="H13" s="8">
        <v>31</v>
      </c>
      <c r="I13" s="8">
        <f t="shared" si="0"/>
        <v>304.25</v>
      </c>
      <c r="J13" s="22">
        <f t="shared" si="1"/>
        <v>288.75</v>
      </c>
      <c r="L13" s="8">
        <v>275</v>
      </c>
      <c r="M13" s="8">
        <f>1.95*0.992</f>
        <v>1.9343999999999999</v>
      </c>
    </row>
    <row r="14" spans="2:13">
      <c r="B14" s="1" t="s">
        <v>27</v>
      </c>
      <c r="E14" s="5"/>
      <c r="G14" s="8" t="s">
        <v>18</v>
      </c>
      <c r="H14" s="8">
        <v>30</v>
      </c>
      <c r="I14" s="8">
        <f t="shared" si="0"/>
        <v>334.25</v>
      </c>
      <c r="J14" s="22">
        <f t="shared" si="1"/>
        <v>319.25</v>
      </c>
      <c r="L14" s="8">
        <v>300</v>
      </c>
      <c r="M14" s="15">
        <v>1.9</v>
      </c>
    </row>
    <row r="15" spans="2:13">
      <c r="B15" t="s">
        <v>7</v>
      </c>
      <c r="C15" s="3" t="s">
        <v>34</v>
      </c>
      <c r="D15" t="s">
        <v>40</v>
      </c>
      <c r="E15" s="5">
        <f>VLOOKUP(E9,$G$4:$J$15,4,FALSE)</f>
        <v>105.25</v>
      </c>
      <c r="G15" s="8" t="s">
        <v>19</v>
      </c>
      <c r="H15" s="8">
        <v>31</v>
      </c>
      <c r="I15" s="8">
        <f t="shared" si="0"/>
        <v>365.25</v>
      </c>
      <c r="J15" s="22">
        <f t="shared" si="1"/>
        <v>349.75</v>
      </c>
      <c r="L15" s="8">
        <v>320</v>
      </c>
      <c r="M15" s="9">
        <v>2</v>
      </c>
    </row>
    <row r="16" spans="2:13">
      <c r="B16" t="s">
        <v>30</v>
      </c>
      <c r="C16" s="3" t="s">
        <v>35</v>
      </c>
      <c r="D16" t="s">
        <v>55</v>
      </c>
      <c r="E16" s="6">
        <f>E6-E7</f>
        <v>108.33333333333334</v>
      </c>
    </row>
    <row r="17" spans="2:13">
      <c r="B17" t="s">
        <v>44</v>
      </c>
      <c r="C17" s="4" t="s">
        <v>37</v>
      </c>
      <c r="D17" t="s">
        <v>56</v>
      </c>
      <c r="E17" s="7">
        <f>(E16*SIN((PI()/180)*(90-E5+(23.45*SIN((E15-81)*0.9863*PI()/180))+E8)))/(SIN((PI()/180)*(90-E5+(23.45*SIN((PI()/180)*(E15-81)*0.9863)))))</f>
        <v>122.75698604077726</v>
      </c>
    </row>
    <row r="18" spans="2:13">
      <c r="B18" t="s">
        <v>45</v>
      </c>
      <c r="C18" s="3" t="s">
        <v>46</v>
      </c>
      <c r="D18" t="s">
        <v>57</v>
      </c>
      <c r="E18" s="10">
        <f>E17+E7</f>
        <v>147.75698604077726</v>
      </c>
    </row>
    <row r="19" spans="2:13">
      <c r="B19" t="s">
        <v>53</v>
      </c>
      <c r="C19" s="3" t="s">
        <v>52</v>
      </c>
      <c r="D19" t="s">
        <v>58</v>
      </c>
      <c r="E19" s="14">
        <f>E10*1000/E11</f>
        <v>300</v>
      </c>
      <c r="L19" t="s">
        <v>77</v>
      </c>
    </row>
    <row r="20" spans="2:13">
      <c r="B20" s="11" t="s">
        <v>42</v>
      </c>
      <c r="C20" s="3" t="s">
        <v>60</v>
      </c>
      <c r="D20" t="s">
        <v>61</v>
      </c>
      <c r="E20" s="5">
        <f>VLOOKUP(E19,$L$4:$M$15,2,TRUE)</f>
        <v>1.9</v>
      </c>
      <c r="L20" s="17">
        <f>E24/(E10*30*24)</f>
        <v>0.17443533074258424</v>
      </c>
      <c r="M20" t="s">
        <v>78</v>
      </c>
    </row>
    <row r="21" spans="2:13">
      <c r="B21" t="s">
        <v>41</v>
      </c>
      <c r="C21" s="3" t="s">
        <v>63</v>
      </c>
      <c r="D21" t="s">
        <v>64</v>
      </c>
      <c r="E21" s="5">
        <f>E20*E11</f>
        <v>760</v>
      </c>
    </row>
    <row r="22" spans="2:13">
      <c r="B22" t="s">
        <v>65</v>
      </c>
      <c r="C22" s="3" t="s">
        <v>67</v>
      </c>
      <c r="D22" t="s">
        <v>66</v>
      </c>
      <c r="E22" s="16">
        <f>E21*E18</f>
        <v>112295.30939099072</v>
      </c>
    </row>
    <row r="23" spans="2:13">
      <c r="B23" s="11" t="s">
        <v>75</v>
      </c>
      <c r="C23" s="3" t="s">
        <v>74</v>
      </c>
      <c r="D23" t="s">
        <v>73</v>
      </c>
      <c r="E23" s="18">
        <f>(E19/1000)/E20</f>
        <v>0.15789473684210525</v>
      </c>
    </row>
    <row r="24" spans="2:13">
      <c r="B24" t="s">
        <v>70</v>
      </c>
      <c r="C24" s="3" t="s">
        <v>76</v>
      </c>
      <c r="D24" t="s">
        <v>72</v>
      </c>
      <c r="E24" s="16">
        <f>E22*E12*E23</f>
        <v>15071.212576159278</v>
      </c>
    </row>
    <row r="26" spans="2:13" ht="30" customHeight="1">
      <c r="B26" s="2" t="s">
        <v>39</v>
      </c>
    </row>
    <row r="27" spans="2:13">
      <c r="B27" t="s">
        <v>23</v>
      </c>
    </row>
    <row r="28" spans="2:13">
      <c r="C28" s="19" t="s">
        <v>48</v>
      </c>
      <c r="D28" s="19"/>
    </row>
  </sheetData>
  <mergeCells count="1">
    <mergeCell ref="C28:D28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Tilbrook</dc:creator>
  <cp:lastModifiedBy>OLIVIA CHEN</cp:lastModifiedBy>
  <dcterms:created xsi:type="dcterms:W3CDTF">2015-11-06T18:43:05Z</dcterms:created>
  <dcterms:modified xsi:type="dcterms:W3CDTF">2015-11-16T19:01:56Z</dcterms:modified>
</cp:coreProperties>
</file>