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Cristina Romani\Desktop\Cristina\PKU_child_adult_meta_analysis\pku_child_adult_DATA &amp; RESULTS\"/>
    </mc:Choice>
  </mc:AlternateContent>
  <xr:revisionPtr revIDLastSave="0" documentId="13_ncr:1_{0792743C-6062-4045-9202-93D3E24BC981}" xr6:coauthVersionLast="47" xr6:coauthVersionMax="47" xr10:uidLastSave="{00000000-0000-0000-0000-000000000000}"/>
  <bookViews>
    <workbookView xWindow="-6360" yWindow="4845" windowWidth="23685" windowHeight="14220" xr2:uid="{15C5D5FF-FA58-D84B-95E7-9F077232C16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29" i="1" l="1"/>
  <c r="AB128" i="1"/>
  <c r="AB127" i="1"/>
  <c r="AB102" i="1"/>
  <c r="AB100" i="1"/>
  <c r="AB98" i="1"/>
  <c r="AB97" i="1"/>
  <c r="AB90" i="1"/>
  <c r="AB51" i="1"/>
  <c r="AB12" i="1"/>
  <c r="AB54" i="1"/>
  <c r="AB53" i="1"/>
  <c r="AB52" i="1"/>
  <c r="AB110" i="1"/>
  <c r="AB109" i="1"/>
  <c r="AB108" i="1"/>
  <c r="AB61" i="1"/>
  <c r="AB60" i="1"/>
  <c r="AG41" i="1"/>
  <c r="AB41" i="1"/>
  <c r="AG40" i="1"/>
  <c r="AB40" i="1"/>
  <c r="AB50" i="1"/>
  <c r="Y50" i="1"/>
  <c r="AB49" i="1"/>
  <c r="Y49" i="1"/>
  <c r="Y48" i="1"/>
  <c r="AB47" i="1"/>
  <c r="Y47" i="1"/>
  <c r="AB46" i="1"/>
  <c r="Y46" i="1"/>
  <c r="S76" i="1"/>
  <c r="S7" i="1"/>
  <c r="S45" i="1"/>
  <c r="S44" i="1"/>
  <c r="S101" i="1"/>
  <c r="AB117" i="1"/>
  <c r="AB96" i="1"/>
  <c r="AB9" i="1"/>
  <c r="AB95" i="1"/>
  <c r="AB75" i="1"/>
  <c r="AC75" i="1" s="1"/>
  <c r="AB74" i="1"/>
  <c r="AC74" i="1" s="1"/>
  <c r="AB73" i="1"/>
  <c r="AC73" i="1" s="1"/>
  <c r="AB72" i="1"/>
  <c r="AC72" i="1" s="1"/>
  <c r="AB71" i="1"/>
  <c r="AC71" i="1" s="1"/>
  <c r="AB70" i="1"/>
  <c r="AC70" i="1" s="1"/>
  <c r="AB69" i="1"/>
  <c r="AC69" i="1" s="1"/>
  <c r="AB111" i="1"/>
  <c r="S111" i="1"/>
  <c r="R111" i="1"/>
  <c r="AB59" i="1"/>
  <c r="S59" i="1"/>
  <c r="R59" i="1"/>
  <c r="AB58" i="1"/>
  <c r="S58" i="1"/>
  <c r="R58" i="1"/>
  <c r="AB85" i="1"/>
  <c r="S85" i="1"/>
  <c r="R85" i="1"/>
  <c r="AB84" i="1"/>
  <c r="S84" i="1"/>
  <c r="R84" i="1"/>
  <c r="AB83" i="1"/>
  <c r="S83" i="1"/>
  <c r="R83" i="1"/>
  <c r="AB82" i="1"/>
  <c r="S82" i="1"/>
  <c r="R82" i="1"/>
  <c r="AB81" i="1"/>
  <c r="S81" i="1"/>
  <c r="R81" i="1"/>
  <c r="AB80" i="1"/>
  <c r="S80" i="1"/>
  <c r="R80" i="1"/>
  <c r="AB57" i="1"/>
  <c r="AB56" i="1"/>
  <c r="AB65" i="1"/>
  <c r="Y65" i="1"/>
  <c r="AB64" i="1"/>
  <c r="Y64" i="1"/>
  <c r="AB63" i="1"/>
  <c r="Y63" i="1"/>
  <c r="AB62" i="1"/>
  <c r="Y62" i="1"/>
  <c r="AB30" i="1"/>
  <c r="S30" i="1"/>
  <c r="R30" i="1"/>
  <c r="AB29" i="1"/>
  <c r="S29" i="1"/>
  <c r="R29" i="1"/>
  <c r="AB28" i="1"/>
  <c r="S28" i="1"/>
  <c r="R28" i="1"/>
  <c r="AB27" i="1"/>
  <c r="S27" i="1"/>
  <c r="R27" i="1"/>
  <c r="AB26" i="1"/>
  <c r="S26" i="1"/>
  <c r="R26" i="1"/>
  <c r="AB25" i="1"/>
  <c r="S25" i="1"/>
  <c r="R25" i="1"/>
  <c r="AF107" i="1"/>
  <c r="AB107" i="1"/>
  <c r="S107" i="1"/>
  <c r="R107" i="1"/>
  <c r="AF24" i="1"/>
  <c r="AB24" i="1"/>
  <c r="Y24" i="1"/>
  <c r="S24" i="1"/>
  <c r="R24" i="1"/>
  <c r="AB67" i="1"/>
  <c r="AB39" i="1"/>
  <c r="AC39" i="1" s="1"/>
  <c r="AB38" i="1"/>
  <c r="AC38" i="1" s="1"/>
  <c r="AB37" i="1"/>
  <c r="AC37" i="1" s="1"/>
  <c r="AB36" i="1"/>
  <c r="AC36" i="1" s="1"/>
  <c r="AB35" i="1"/>
  <c r="AB34" i="1"/>
  <c r="AC34" i="1" s="1"/>
  <c r="AJ23" i="1"/>
  <c r="AG23" i="1"/>
  <c r="AB23" i="1"/>
  <c r="AJ22" i="1"/>
  <c r="AG22" i="1"/>
  <c r="AB22" i="1"/>
  <c r="AJ21" i="1"/>
  <c r="AG21" i="1"/>
  <c r="AB21" i="1"/>
  <c r="AJ20" i="1"/>
  <c r="AG20" i="1"/>
  <c r="AB20" i="1"/>
  <c r="AJ19" i="1"/>
  <c r="AG19" i="1"/>
  <c r="AB19" i="1"/>
  <c r="AJ18" i="1"/>
  <c r="AG18" i="1"/>
  <c r="AB18" i="1"/>
  <c r="AJ17" i="1"/>
  <c r="AG17" i="1"/>
  <c r="AB17" i="1"/>
  <c r="AJ16" i="1"/>
  <c r="AG16" i="1"/>
  <c r="AB16" i="1"/>
  <c r="AJ15" i="1"/>
  <c r="AG15" i="1"/>
  <c r="AB15" i="1"/>
  <c r="AB8" i="1"/>
  <c r="S8" i="1"/>
  <c r="AB372" i="1"/>
  <c r="AB464" i="1"/>
  <c r="AB463" i="1"/>
  <c r="AB462" i="1"/>
  <c r="AB461" i="1"/>
  <c r="AB198" i="1"/>
  <c r="AB197" i="1"/>
  <c r="AB371" i="1"/>
  <c r="AB404" i="1"/>
  <c r="AB403" i="1"/>
  <c r="AB252" i="1"/>
  <c r="AB196" i="1"/>
  <c r="AB195" i="1"/>
  <c r="AB370" i="1"/>
  <c r="AB359" i="1"/>
  <c r="Y359" i="1"/>
  <c r="AB555" i="1"/>
  <c r="Y555" i="1"/>
  <c r="R555" i="1"/>
  <c r="AB313" i="1"/>
  <c r="Y313" i="1"/>
  <c r="R313" i="1"/>
  <c r="AB567" i="1"/>
  <c r="AF491" i="1"/>
  <c r="AB491" i="1"/>
  <c r="AB566" i="1"/>
  <c r="AF369" i="1"/>
  <c r="AB369" i="1"/>
  <c r="AB565" i="1"/>
  <c r="AB564" i="1"/>
  <c r="AF321" i="1"/>
  <c r="AB321" i="1"/>
  <c r="AG324" i="1"/>
  <c r="AB324" i="1"/>
  <c r="AG301" i="1"/>
  <c r="AB301" i="1"/>
  <c r="AG208" i="1"/>
  <c r="AB208" i="1"/>
  <c r="AG572" i="1"/>
  <c r="AB572" i="1"/>
  <c r="AG571" i="1"/>
  <c r="AB571" i="1"/>
  <c r="AG300" i="1"/>
  <c r="AB300" i="1"/>
  <c r="AG207" i="1"/>
  <c r="AB207" i="1"/>
  <c r="AG206" i="1"/>
  <c r="AB206" i="1"/>
  <c r="AG299" i="1"/>
  <c r="AB299" i="1"/>
  <c r="AG205" i="1"/>
  <c r="AB205" i="1"/>
  <c r="Y205" i="1"/>
  <c r="AG204" i="1"/>
  <c r="AB204" i="1"/>
  <c r="Y204" i="1"/>
  <c r="AG203" i="1"/>
  <c r="AB203" i="1"/>
  <c r="Y203" i="1"/>
  <c r="AG298" i="1"/>
  <c r="AB298" i="1"/>
  <c r="AG297" i="1"/>
  <c r="AB297" i="1"/>
  <c r="AB358" i="1"/>
  <c r="Y358" i="1"/>
  <c r="AB312" i="1"/>
  <c r="Y312" i="1"/>
  <c r="AB490" i="1"/>
  <c r="P490" i="1"/>
  <c r="V194" i="1"/>
  <c r="AB194" i="1" s="1"/>
  <c r="P194" i="1"/>
  <c r="V251" i="1"/>
  <c r="AB251" i="1" s="1"/>
  <c r="P251" i="1"/>
  <c r="V293" i="1"/>
  <c r="AB293" i="1" s="1"/>
  <c r="P293" i="1"/>
  <c r="V320" i="1"/>
  <c r="AB320" i="1" s="1"/>
  <c r="P320" i="1"/>
  <c r="V292" i="1"/>
  <c r="AB292" i="1" s="1"/>
  <c r="P292" i="1"/>
  <c r="V174" i="1"/>
  <c r="AB174" i="1" s="1"/>
  <c r="P174" i="1"/>
  <c r="AB533" i="1"/>
  <c r="AB368" i="1"/>
  <c r="AB193" i="1"/>
  <c r="AB192" i="1"/>
  <c r="AB532" i="1"/>
  <c r="AB357" i="1"/>
  <c r="AB460" i="1"/>
  <c r="AB459" i="1"/>
  <c r="AB191" i="1"/>
  <c r="AB190" i="1"/>
  <c r="AB531" i="1"/>
  <c r="AB189" i="1"/>
  <c r="AB600" i="1"/>
  <c r="AB367" i="1"/>
  <c r="AB173" i="1"/>
  <c r="Y173" i="1"/>
  <c r="AB172" i="1"/>
  <c r="Y172" i="1"/>
  <c r="V356" i="1"/>
  <c r="AB356" i="1" s="1"/>
  <c r="P356" i="1"/>
  <c r="AB450" i="1"/>
  <c r="Y450" i="1"/>
  <c r="AB449" i="1"/>
  <c r="Y449" i="1"/>
  <c r="AB529" i="1"/>
  <c r="Y529" i="1"/>
  <c r="AB434" i="1"/>
  <c r="Y434" i="1"/>
  <c r="AB433" i="1"/>
  <c r="Y433" i="1"/>
  <c r="AB171" i="1"/>
  <c r="Y171" i="1"/>
  <c r="AB170" i="1"/>
  <c r="Y170" i="1"/>
  <c r="V355" i="1"/>
  <c r="AB355" i="1" s="1"/>
  <c r="P355" i="1"/>
  <c r="AB448" i="1"/>
  <c r="Y448" i="1"/>
  <c r="AB447" i="1"/>
  <c r="Y447" i="1"/>
  <c r="AB528" i="1"/>
  <c r="Y528" i="1"/>
  <c r="AB432" i="1"/>
  <c r="Y432" i="1"/>
  <c r="AB431" i="1"/>
  <c r="Y431" i="1"/>
  <c r="AB169" i="1"/>
  <c r="Y169" i="1"/>
  <c r="AB168" i="1"/>
  <c r="Y168" i="1"/>
  <c r="AB354" i="1"/>
  <c r="Y354" i="1"/>
  <c r="AB167" i="1"/>
  <c r="Y167" i="1"/>
  <c r="AB166" i="1"/>
  <c r="Y166" i="1"/>
  <c r="AB311" i="1"/>
  <c r="Y311" i="1"/>
  <c r="AB165" i="1"/>
  <c r="Y165" i="1"/>
  <c r="AB500" i="1"/>
  <c r="Y500" i="1"/>
  <c r="AB446" i="1"/>
  <c r="Y446" i="1"/>
  <c r="AB445" i="1"/>
  <c r="Y445" i="1"/>
  <c r="AB554" i="1"/>
  <c r="Y554" i="1"/>
  <c r="AB164" i="1"/>
  <c r="Y164" i="1"/>
  <c r="AB480" i="1"/>
  <c r="Y480" i="1"/>
  <c r="AB527" i="1"/>
  <c r="Y527" i="1"/>
  <c r="AB163" i="1"/>
  <c r="Y163" i="1"/>
  <c r="AB353" i="1"/>
  <c r="Y353" i="1"/>
  <c r="AB499" i="1"/>
  <c r="Y499" i="1"/>
  <c r="AB518" i="1"/>
  <c r="Y518" i="1"/>
  <c r="AB283" i="1"/>
  <c r="Y283" i="1"/>
  <c r="AB386" i="1"/>
  <c r="AB162" i="1"/>
  <c r="Y162" i="1"/>
  <c r="AB553" i="1"/>
  <c r="Y553" i="1"/>
  <c r="AB444" i="1"/>
  <c r="Y444" i="1"/>
  <c r="AB161" i="1"/>
  <c r="Y161" i="1"/>
  <c r="AB498" i="1"/>
  <c r="Y498" i="1"/>
  <c r="AB594" i="1"/>
  <c r="AB160" i="1"/>
  <c r="Y160" i="1"/>
  <c r="AB479" i="1"/>
  <c r="Y479" i="1"/>
  <c r="AB385" i="1"/>
  <c r="Y385" i="1"/>
  <c r="AB384" i="1"/>
  <c r="Y384" i="1"/>
  <c r="AB310" i="1"/>
  <c r="Y310" i="1"/>
  <c r="AB352" i="1"/>
  <c r="Y352" i="1"/>
  <c r="AB552" i="1"/>
  <c r="Y552" i="1"/>
  <c r="AB551" i="1"/>
  <c r="Y551" i="1"/>
  <c r="AB550" i="1"/>
  <c r="Y550" i="1"/>
  <c r="AB549" i="1"/>
  <c r="Y549" i="1"/>
  <c r="AB548" i="1"/>
  <c r="Y548" i="1"/>
  <c r="AB547" i="1"/>
  <c r="Y547" i="1"/>
  <c r="AB546" i="1"/>
  <c r="Y546" i="1"/>
  <c r="AB545" i="1"/>
  <c r="Y545" i="1"/>
  <c r="AB544" i="1"/>
  <c r="Y544" i="1"/>
  <c r="AB543" i="1"/>
  <c r="Y543" i="1"/>
  <c r="AB542" i="1"/>
  <c r="Y542" i="1"/>
  <c r="AB443" i="1"/>
  <c r="Y443" i="1"/>
  <c r="AB442" i="1"/>
  <c r="Y442" i="1"/>
  <c r="AB383" i="1"/>
  <c r="Y383" i="1"/>
  <c r="AB159" i="1"/>
  <c r="Y159" i="1"/>
  <c r="AB158" i="1"/>
  <c r="Y158" i="1"/>
  <c r="AB339" i="1"/>
  <c r="Y339" i="1"/>
  <c r="AB338" i="1"/>
  <c r="Y338" i="1"/>
  <c r="AB351" i="1"/>
  <c r="Y351" i="1"/>
  <c r="AB337" i="1"/>
  <c r="Y337" i="1"/>
  <c r="AB336" i="1"/>
  <c r="Y336" i="1"/>
  <c r="AB335" i="1"/>
  <c r="Y335" i="1"/>
  <c r="AB382" i="1"/>
  <c r="Y382" i="1"/>
  <c r="AB334" i="1"/>
  <c r="Y334" i="1"/>
  <c r="AB282" i="1"/>
  <c r="Y282" i="1"/>
  <c r="AB157" i="1"/>
  <c r="AC157" i="1" s="1"/>
  <c r="Y157" i="1"/>
  <c r="AB230" i="1"/>
  <c r="Y230" i="1"/>
  <c r="AB229" i="1"/>
  <c r="Y229" i="1"/>
  <c r="AB156" i="1"/>
  <c r="Y156" i="1"/>
  <c r="AB309" i="1"/>
  <c r="Y309" i="1"/>
  <c r="AB155" i="1"/>
  <c r="Y155" i="1"/>
  <c r="AB406" i="1"/>
  <c r="Y406" i="1"/>
  <c r="AB497" i="1"/>
  <c r="Y497" i="1"/>
  <c r="AB496" i="1"/>
  <c r="Y496" i="1"/>
  <c r="AB441" i="1"/>
  <c r="Y441" i="1"/>
  <c r="AB440" i="1"/>
  <c r="Y440" i="1"/>
  <c r="AB381" i="1"/>
  <c r="Y381" i="1"/>
  <c r="AB478" i="1"/>
  <c r="Y478" i="1"/>
  <c r="AB333" i="1"/>
  <c r="Y333" i="1"/>
  <c r="AB541" i="1"/>
  <c r="Y541" i="1"/>
  <c r="AB154" i="1"/>
  <c r="Y154" i="1"/>
  <c r="AB477" i="1"/>
  <c r="Y477" i="1"/>
  <c r="AB526" i="1"/>
  <c r="Y526" i="1"/>
  <c r="AB332" i="1"/>
  <c r="Y332" i="1"/>
  <c r="AB331" i="1"/>
  <c r="Y331" i="1"/>
  <c r="AB153" i="1"/>
  <c r="Y153" i="1"/>
  <c r="AB152" i="1"/>
  <c r="Y152" i="1"/>
  <c r="AB350" i="1"/>
  <c r="Y350" i="1"/>
  <c r="AB281" i="1"/>
  <c r="Y281" i="1"/>
  <c r="AB495" i="1"/>
  <c r="Y495" i="1"/>
  <c r="AB593" i="1"/>
  <c r="Y593" i="1"/>
  <c r="AB280" i="1"/>
  <c r="Y280" i="1"/>
  <c r="AB308" i="1"/>
  <c r="S308" i="1"/>
  <c r="AB476" i="1"/>
  <c r="S476" i="1"/>
  <c r="AB475" i="1"/>
  <c r="S475" i="1"/>
  <c r="AB135" i="1"/>
  <c r="S135" i="1"/>
  <c r="AB151" i="1"/>
  <c r="S151" i="1"/>
  <c r="AB439" i="1"/>
  <c r="Y439" i="1"/>
  <c r="AB438" i="1"/>
  <c r="Y438" i="1"/>
  <c r="AB525" i="1"/>
  <c r="Y525" i="1"/>
  <c r="AB494" i="1"/>
  <c r="Y494" i="1"/>
  <c r="AB474" i="1"/>
  <c r="Y474" i="1"/>
  <c r="AB349" i="1"/>
  <c r="Y349" i="1"/>
  <c r="AB348" i="1"/>
  <c r="Y348" i="1"/>
  <c r="AB347" i="1"/>
  <c r="Y347" i="1"/>
  <c r="AB150" i="1"/>
  <c r="Y150" i="1"/>
  <c r="AB149" i="1"/>
  <c r="Y149" i="1"/>
  <c r="AB148" i="1"/>
  <c r="Y148" i="1"/>
  <c r="AB202" i="1"/>
  <c r="AB296" i="1"/>
  <c r="AC295" i="1"/>
  <c r="AC202" i="1" s="1"/>
  <c r="AB295" i="1"/>
  <c r="AB508" i="1"/>
  <c r="AB507" i="1"/>
  <c r="AB537" i="1"/>
  <c r="AB536" i="1"/>
  <c r="AB535" i="1"/>
  <c r="AB534" i="1"/>
  <c r="AJ366" i="1"/>
  <c r="AG366" i="1"/>
  <c r="AB366" i="1"/>
  <c r="AJ291" i="1"/>
  <c r="AG291" i="1"/>
  <c r="AB291" i="1"/>
  <c r="AJ188" i="1"/>
  <c r="AG188" i="1"/>
  <c r="AB188" i="1"/>
  <c r="AJ187" i="1"/>
  <c r="AG187" i="1"/>
  <c r="AB187" i="1"/>
  <c r="AJ290" i="1"/>
  <c r="AG290" i="1"/>
  <c r="AB290" i="1"/>
  <c r="AJ505" i="1"/>
  <c r="AG505" i="1"/>
  <c r="AB505" i="1"/>
  <c r="AJ599" i="1"/>
  <c r="AG599" i="1"/>
  <c r="AB599" i="1"/>
  <c r="AJ250" i="1"/>
  <c r="AG250" i="1"/>
  <c r="AB250" i="1"/>
  <c r="AJ289" i="1"/>
  <c r="AG289" i="1"/>
  <c r="AB289" i="1"/>
  <c r="AL288" i="1"/>
  <c r="AB288" i="1"/>
  <c r="AB365" i="1"/>
  <c r="AB271" i="1"/>
  <c r="AB270" i="1"/>
  <c r="AB417" i="1"/>
  <c r="AB269" i="1"/>
  <c r="AB319" i="1"/>
  <c r="AB346" i="1"/>
  <c r="Y346" i="1"/>
  <c r="AB524" i="1"/>
  <c r="Y524" i="1"/>
  <c r="AB430" i="1"/>
  <c r="Y430" i="1"/>
  <c r="AB429" i="1"/>
  <c r="Y429" i="1"/>
  <c r="AB307" i="1"/>
  <c r="Y307" i="1"/>
  <c r="AB306" i="1"/>
  <c r="Y306" i="1"/>
  <c r="AB428" i="1"/>
  <c r="Y428" i="1"/>
  <c r="AB427" i="1"/>
  <c r="Y427" i="1"/>
  <c r="AB318" i="1"/>
  <c r="AB268" i="1"/>
  <c r="AB249" i="1"/>
  <c r="V186" i="1"/>
  <c r="U186" i="1"/>
  <c r="P186" i="1"/>
  <c r="O186" i="1"/>
  <c r="AB563" i="1"/>
  <c r="AB562" i="1"/>
  <c r="AB248" i="1"/>
  <c r="AB267" i="1"/>
  <c r="AB317" i="1"/>
  <c r="AB389" i="1"/>
  <c r="AB489" i="1"/>
  <c r="AG465" i="1"/>
  <c r="AB465" i="1"/>
  <c r="AB458" i="1"/>
  <c r="AG506" i="1"/>
  <c r="AB506" i="1"/>
  <c r="AB504" i="1"/>
  <c r="AG201" i="1"/>
  <c r="AB201" i="1"/>
  <c r="AB185" i="1"/>
  <c r="AG294" i="1"/>
  <c r="AB294" i="1"/>
  <c r="AB287" i="1"/>
  <c r="AG586" i="1"/>
  <c r="AB586" i="1"/>
  <c r="AB585" i="1"/>
  <c r="AG200" i="1"/>
  <c r="AB200" i="1"/>
  <c r="AB184" i="1"/>
  <c r="AB457" i="1"/>
  <c r="S457" i="1"/>
  <c r="R457" i="1"/>
  <c r="AB456" i="1"/>
  <c r="S456" i="1"/>
  <c r="R456" i="1"/>
  <c r="AB364" i="1"/>
  <c r="S364" i="1"/>
  <c r="R364" i="1"/>
  <c r="AB183" i="1"/>
  <c r="S183" i="1"/>
  <c r="R183" i="1"/>
  <c r="AB199" i="1"/>
  <c r="S199" i="1"/>
  <c r="R199" i="1"/>
  <c r="AB561" i="1"/>
  <c r="S561" i="1"/>
  <c r="R561" i="1"/>
  <c r="AB560" i="1"/>
  <c r="S560" i="1"/>
  <c r="R560" i="1"/>
  <c r="AB559" i="1"/>
  <c r="S559" i="1"/>
  <c r="R559" i="1"/>
  <c r="AB503" i="1"/>
  <c r="S503" i="1"/>
  <c r="R503" i="1"/>
  <c r="AB598" i="1"/>
  <c r="S598" i="1"/>
  <c r="R598" i="1"/>
  <c r="AB558" i="1"/>
  <c r="S558" i="1"/>
  <c r="R558" i="1"/>
  <c r="U316" i="1"/>
  <c r="AB316" i="1" s="1"/>
  <c r="S316" i="1"/>
  <c r="R316" i="1"/>
  <c r="O316" i="1"/>
  <c r="AB523" i="1"/>
  <c r="AB540" i="1"/>
  <c r="AB539" i="1"/>
  <c r="AB473" i="1"/>
  <c r="AB228" i="1"/>
  <c r="AB147" i="1"/>
  <c r="AB363" i="1"/>
  <c r="AB247" i="1"/>
  <c r="AB146" i="1"/>
  <c r="Y146" i="1"/>
  <c r="AB145" i="1"/>
  <c r="Y145" i="1"/>
  <c r="AB345" i="1"/>
  <c r="Y345" i="1"/>
  <c r="AB344" i="1"/>
  <c r="Y344" i="1"/>
  <c r="AB472" i="1"/>
  <c r="Y472" i="1"/>
  <c r="AB437" i="1"/>
  <c r="Y437" i="1"/>
  <c r="AB436" i="1"/>
  <c r="Y436" i="1"/>
  <c r="AB343" i="1"/>
  <c r="Y343" i="1"/>
  <c r="AB342" i="1"/>
  <c r="Y342" i="1"/>
  <c r="AB305" i="1"/>
  <c r="Y305" i="1"/>
  <c r="AB279" i="1"/>
  <c r="Y279" i="1"/>
  <c r="AB522" i="1"/>
  <c r="Y522" i="1"/>
  <c r="AB493" i="1"/>
  <c r="Y493" i="1"/>
  <c r="AB492" i="1"/>
  <c r="Y492" i="1"/>
  <c r="AB592" i="1"/>
  <c r="Y592" i="1"/>
  <c r="AB144" i="1"/>
  <c r="Y144" i="1"/>
  <c r="AB227" i="1"/>
  <c r="Y227" i="1"/>
  <c r="AB278" i="1"/>
  <c r="Y278" i="1"/>
  <c r="AB341" i="1"/>
  <c r="Y341" i="1"/>
  <c r="AB304" i="1"/>
  <c r="Y304" i="1"/>
  <c r="AB323" i="1"/>
  <c r="AB375" i="1"/>
  <c r="AJ455" i="1"/>
  <c r="AI455" i="1"/>
  <c r="AG455" i="1"/>
  <c r="AF455" i="1"/>
  <c r="AB455" i="1"/>
  <c r="AJ454" i="1"/>
  <c r="AI454" i="1"/>
  <c r="AG454" i="1"/>
  <c r="AF454" i="1"/>
  <c r="AB454" i="1"/>
  <c r="AJ286" i="1"/>
  <c r="AI286" i="1"/>
  <c r="AG286" i="1"/>
  <c r="AF286" i="1"/>
  <c r="AB286" i="1"/>
  <c r="AJ182" i="1"/>
  <c r="AI182" i="1"/>
  <c r="AG182" i="1"/>
  <c r="AF182" i="1"/>
  <c r="AB182" i="1"/>
  <c r="AJ557" i="1"/>
  <c r="AI557" i="1"/>
  <c r="AG557" i="1"/>
  <c r="AF557" i="1"/>
  <c r="AB557" i="1"/>
  <c r="AJ597" i="1"/>
  <c r="AI597" i="1"/>
  <c r="AG597" i="1"/>
  <c r="AF597" i="1"/>
  <c r="AB597" i="1"/>
  <c r="AJ181" i="1"/>
  <c r="AI181" i="1"/>
  <c r="AG181" i="1"/>
  <c r="AF181" i="1"/>
  <c r="AB181" i="1"/>
  <c r="AJ180" i="1"/>
  <c r="AI180" i="1"/>
  <c r="AG180" i="1"/>
  <c r="AF180" i="1"/>
  <c r="AB180" i="1"/>
  <c r="AJ488" i="1"/>
  <c r="AI488" i="1"/>
  <c r="AG488" i="1"/>
  <c r="AF488" i="1"/>
  <c r="AB488" i="1"/>
  <c r="AJ487" i="1"/>
  <c r="AI487" i="1"/>
  <c r="AG487" i="1"/>
  <c r="AF487" i="1"/>
  <c r="AB487" i="1"/>
  <c r="AJ530" i="1"/>
  <c r="AI530" i="1"/>
  <c r="AG530" i="1"/>
  <c r="AF530" i="1"/>
  <c r="AB530" i="1"/>
  <c r="AJ388" i="1"/>
  <c r="AI388" i="1"/>
  <c r="AG388" i="1"/>
  <c r="AF388" i="1"/>
  <c r="AB388" i="1"/>
  <c r="AB538" i="1"/>
  <c r="Y538" i="1"/>
  <c r="AB387" i="1"/>
  <c r="R387" i="1"/>
  <c r="AB362" i="1"/>
  <c r="S362" i="1"/>
  <c r="R362" i="1"/>
  <c r="AB179" i="1"/>
  <c r="S179" i="1"/>
  <c r="R179" i="1"/>
  <c r="AB178" i="1"/>
  <c r="S178" i="1"/>
  <c r="R178" i="1"/>
  <c r="AF453" i="1"/>
  <c r="AB453" i="1"/>
  <c r="S453" i="1"/>
  <c r="R453" i="1"/>
  <c r="AF361" i="1"/>
  <c r="AB361" i="1"/>
  <c r="Y361" i="1"/>
  <c r="S361" i="1"/>
  <c r="R361" i="1"/>
  <c r="AF584" i="1"/>
  <c r="AB584" i="1"/>
  <c r="S584" i="1"/>
  <c r="R584" i="1"/>
  <c r="AF583" i="1"/>
  <c r="AB583" i="1"/>
  <c r="S583" i="1"/>
  <c r="R583" i="1"/>
  <c r="AF502" i="1"/>
  <c r="AB502" i="1"/>
  <c r="S502" i="1"/>
  <c r="R502" i="1"/>
  <c r="AF501" i="1"/>
  <c r="AB501" i="1"/>
  <c r="S501" i="1"/>
  <c r="R501" i="1"/>
  <c r="AF596" i="1"/>
  <c r="AB596" i="1"/>
  <c r="S596" i="1"/>
  <c r="R596" i="1"/>
  <c r="AF177" i="1"/>
  <c r="AB177" i="1"/>
  <c r="Y177" i="1"/>
  <c r="S177" i="1"/>
  <c r="R177" i="1"/>
  <c r="AB374" i="1"/>
  <c r="AB176" i="1"/>
  <c r="Y176" i="1"/>
  <c r="AB452" i="1"/>
  <c r="AB451" i="1"/>
  <c r="AB360" i="1"/>
  <c r="S360" i="1"/>
  <c r="R360" i="1"/>
  <c r="AB519" i="1"/>
  <c r="AB136" i="1"/>
  <c r="AB582" i="1"/>
  <c r="AB595" i="1"/>
  <c r="AB175" i="1"/>
  <c r="S175" i="1"/>
  <c r="R175" i="1"/>
  <c r="AB315" i="1"/>
  <c r="AB486" i="1"/>
  <c r="AB485" i="1"/>
  <c r="AB246" i="1"/>
  <c r="AB314" i="1"/>
  <c r="AB373" i="1"/>
  <c r="AB435" i="1"/>
  <c r="AB143" i="1"/>
  <c r="AB142" i="1"/>
  <c r="AB141" i="1"/>
  <c r="AB140" i="1"/>
  <c r="AB471" i="1"/>
  <c r="AB470" i="1"/>
  <c r="AB340" i="1"/>
  <c r="Y340" i="1"/>
  <c r="AB277" i="1"/>
  <c r="AB402" i="1"/>
  <c r="AB401" i="1"/>
  <c r="AF400" i="1"/>
  <c r="AB400" i="1"/>
  <c r="AF399" i="1"/>
  <c r="AB399" i="1"/>
  <c r="AB412" i="1"/>
  <c r="Y412" i="1"/>
  <c r="AB226" i="1"/>
  <c r="Y226" i="1"/>
  <c r="AB225" i="1"/>
  <c r="S225" i="1"/>
  <c r="AB224" i="1"/>
  <c r="S224" i="1"/>
  <c r="AB411" i="1"/>
  <c r="S411" i="1"/>
  <c r="AB416" i="1"/>
  <c r="AB418" i="1"/>
  <c r="AB415" i="1"/>
  <c r="AG570" i="1"/>
  <c r="AB570" i="1"/>
  <c r="AB556" i="1"/>
  <c r="AB398" i="1"/>
  <c r="S398" i="1"/>
  <c r="R398" i="1"/>
  <c r="AB397" i="1"/>
  <c r="S397" i="1"/>
  <c r="R397" i="1"/>
  <c r="AB245" i="1"/>
  <c r="S245" i="1"/>
  <c r="R245" i="1"/>
  <c r="AB410" i="1"/>
  <c r="Y410" i="1"/>
  <c r="AB409" i="1"/>
  <c r="Y409" i="1"/>
  <c r="AB591" i="1"/>
  <c r="AB139" i="1"/>
  <c r="AB244" i="1"/>
  <c r="AC244" i="1" s="1"/>
  <c r="AB408" i="1"/>
  <c r="Y408" i="1"/>
  <c r="AF243" i="1"/>
  <c r="AB243" i="1"/>
  <c r="S243" i="1"/>
  <c r="R243" i="1"/>
  <c r="AF276" i="1"/>
  <c r="AB276" i="1"/>
  <c r="S276" i="1"/>
  <c r="R276" i="1"/>
  <c r="AB242" i="1"/>
  <c r="AB241" i="1"/>
  <c r="AB240" i="1"/>
  <c r="AF239" i="1"/>
  <c r="AB239" i="1"/>
  <c r="AG257" i="1"/>
  <c r="AB257" i="1"/>
  <c r="AG256" i="1"/>
  <c r="AB256" i="1"/>
  <c r="AG255" i="1"/>
  <c r="AB255" i="1"/>
  <c r="AG254" i="1"/>
  <c r="AB254" i="1"/>
  <c r="V223" i="1"/>
  <c r="P223" i="1"/>
  <c r="AB222" i="1"/>
  <c r="Y222" i="1"/>
  <c r="AB221" i="1"/>
  <c r="Y221" i="1"/>
  <c r="AB220" i="1"/>
  <c r="Y220" i="1"/>
  <c r="AB219" i="1"/>
  <c r="Y219" i="1"/>
  <c r="AB264" i="1"/>
  <c r="Y264" i="1"/>
  <c r="AB263" i="1"/>
  <c r="Y263" i="1"/>
  <c r="AB262" i="1"/>
  <c r="AB303" i="1"/>
  <c r="Y303" i="1"/>
  <c r="AB302" i="1"/>
  <c r="Y302" i="1"/>
  <c r="AB517" i="1"/>
  <c r="Y517" i="1"/>
  <c r="AB581" i="1"/>
  <c r="Y581" i="1"/>
  <c r="AB516" i="1"/>
  <c r="Y516" i="1"/>
  <c r="AB580" i="1"/>
  <c r="Y580" i="1"/>
  <c r="AB579" i="1"/>
  <c r="Y579" i="1"/>
  <c r="AB515" i="1"/>
  <c r="Y515" i="1"/>
  <c r="AB394" i="1"/>
  <c r="Y394" i="1"/>
  <c r="AB380" i="1"/>
  <c r="Y380" i="1"/>
  <c r="AB275" i="1"/>
  <c r="AB273" i="1"/>
  <c r="AB405" i="1"/>
  <c r="Y405" i="1"/>
  <c r="AB407" i="1"/>
  <c r="Y407" i="1"/>
  <c r="AB393" i="1"/>
  <c r="Y393" i="1"/>
  <c r="AB379" i="1"/>
  <c r="Y379" i="1"/>
  <c r="AB330" i="1"/>
  <c r="Y330" i="1"/>
  <c r="AB329" i="1"/>
  <c r="Y329" i="1"/>
  <c r="AB328" i="1"/>
  <c r="Y328" i="1"/>
  <c r="AB327" i="1"/>
  <c r="Y327" i="1"/>
  <c r="AB426" i="1"/>
  <c r="Y426" i="1"/>
  <c r="AB425" i="1"/>
  <c r="Y425" i="1"/>
  <c r="AB218" i="1"/>
  <c r="AC218" i="1" s="1"/>
  <c r="Z218" i="1"/>
  <c r="AB217" i="1"/>
  <c r="AC217" i="1" s="1"/>
  <c r="AB274" i="1"/>
  <c r="AB272" i="1"/>
  <c r="AB514" i="1"/>
  <c r="Y514" i="1"/>
  <c r="AB578" i="1"/>
  <c r="Y578" i="1"/>
  <c r="AB513" i="1"/>
  <c r="Y513" i="1"/>
  <c r="AB577" i="1"/>
  <c r="Y577" i="1"/>
  <c r="AB216" i="1"/>
  <c r="Y216" i="1"/>
  <c r="AB215" i="1"/>
  <c r="Y215" i="1"/>
  <c r="AB392" i="1"/>
  <c r="Y392" i="1"/>
  <c r="AB378" i="1"/>
  <c r="Y378" i="1"/>
  <c r="AB512" i="1"/>
  <c r="Y512" i="1"/>
  <c r="AB576" i="1"/>
  <c r="Y576" i="1"/>
  <c r="AB391" i="1"/>
  <c r="Y391" i="1"/>
  <c r="AB377" i="1"/>
  <c r="Y377" i="1"/>
  <c r="AB511" i="1"/>
  <c r="Y511" i="1"/>
  <c r="AB575" i="1"/>
  <c r="Y575" i="1"/>
  <c r="AB390" i="1"/>
  <c r="Y390" i="1"/>
  <c r="AB376" i="1"/>
  <c r="Y376" i="1"/>
  <c r="AB326" i="1"/>
  <c r="Y326" i="1"/>
  <c r="AB325" i="1"/>
  <c r="Y325" i="1"/>
  <c r="AB424" i="1"/>
  <c r="Y424" i="1"/>
  <c r="AB423" i="1"/>
  <c r="Y423" i="1"/>
  <c r="AB422" i="1"/>
  <c r="Y422" i="1"/>
  <c r="AB421" i="1"/>
  <c r="Y421" i="1"/>
  <c r="V214" i="1"/>
  <c r="AB214" i="1" s="1"/>
  <c r="S214" i="1"/>
  <c r="P214" i="1"/>
  <c r="V213" i="1"/>
  <c r="S213" i="1"/>
  <c r="P213" i="1"/>
  <c r="AB569" i="1"/>
  <c r="AB568" i="1"/>
  <c r="AB510" i="1"/>
  <c r="Y510" i="1"/>
  <c r="AB574" i="1"/>
  <c r="Y574" i="1"/>
  <c r="AB509" i="1"/>
  <c r="Y509" i="1"/>
  <c r="AB573" i="1"/>
  <c r="Y573" i="1"/>
  <c r="AB521" i="1"/>
  <c r="Y521" i="1"/>
  <c r="AB520" i="1"/>
  <c r="Y520" i="1"/>
  <c r="AB420" i="1"/>
  <c r="Y420" i="1"/>
  <c r="AB419" i="1"/>
  <c r="Y419" i="1"/>
  <c r="AB484" i="1"/>
  <c r="AB483" i="1"/>
  <c r="AB482" i="1"/>
  <c r="AB481" i="1"/>
  <c r="AB396" i="1"/>
  <c r="AB395" i="1"/>
  <c r="AB414" i="1"/>
  <c r="AB413" i="1"/>
  <c r="AB238" i="1"/>
  <c r="AB237" i="1"/>
  <c r="AB236" i="1"/>
  <c r="AB235" i="1"/>
  <c r="AB266" i="1"/>
  <c r="AB265" i="1"/>
  <c r="AB234" i="1"/>
  <c r="AB233" i="1"/>
  <c r="AB590" i="1"/>
  <c r="Y590" i="1"/>
  <c r="AB589" i="1"/>
  <c r="Y589" i="1"/>
  <c r="AB469" i="1"/>
  <c r="Y469" i="1"/>
  <c r="AB468" i="1"/>
  <c r="Y468" i="1"/>
  <c r="AB212" i="1"/>
  <c r="AB211" i="1"/>
  <c r="AB261" i="1"/>
  <c r="Y261" i="1"/>
  <c r="AB260" i="1"/>
  <c r="Y260" i="1"/>
  <c r="AB588" i="1"/>
  <c r="Y588" i="1"/>
  <c r="AB587" i="1"/>
  <c r="Y587" i="1"/>
  <c r="AB138" i="1"/>
  <c r="Y138" i="1"/>
  <c r="AB137" i="1"/>
  <c r="Y137" i="1"/>
  <c r="AB210" i="1"/>
  <c r="AB209" i="1"/>
  <c r="Y209" i="1"/>
  <c r="AB259" i="1"/>
  <c r="Y259" i="1"/>
  <c r="AB258" i="1"/>
  <c r="Y258" i="1"/>
  <c r="AB322" i="1"/>
  <c r="AB253" i="1"/>
  <c r="AB285" i="1"/>
  <c r="AB284" i="1"/>
  <c r="AB232" i="1"/>
  <c r="AB231" i="1"/>
  <c r="AB467" i="1"/>
  <c r="Y467" i="1"/>
  <c r="AB466" i="1"/>
  <c r="Y466" i="1"/>
  <c r="AB186" i="1" l="1"/>
  <c r="Y213" i="1"/>
  <c r="Y223" i="1"/>
  <c r="AB223" i="1"/>
  <c r="AE339" i="1"/>
  <c r="AE412" i="1"/>
  <c r="AE403" i="1"/>
  <c r="AE241" i="1"/>
  <c r="AE394" i="1"/>
  <c r="AE242" i="1"/>
  <c r="AE597" i="1"/>
  <c r="AE594" i="1"/>
  <c r="AC296" i="1"/>
  <c r="Y355" i="1"/>
  <c r="Y174" i="1"/>
  <c r="AB213" i="1"/>
  <c r="AE380" i="1" s="1"/>
  <c r="Y356" i="1"/>
  <c r="Y214" i="1"/>
  <c r="AE22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tc={BBDDC94F-A11A-F84D-A904-5E18152FAA0F}</author>
    <author>tc={AEDA87DF-750D-5B4D-A6ED-7407614E9286}</author>
    <author>tc={6B6E5412-E061-484F-BF0D-9CD38D5B40FF}</author>
    <author>Megan Staines (Research Student)</author>
  </authors>
  <commentList>
    <comment ref="P172" authorId="0" shapeId="0" xr:uid="{BBDDC94F-A11A-F84D-A904-5E18152FAA0F}">
      <text>
        <t>[Threaded comment]
Your version of Excel allows you to read this threaded comment; however, any edits to it will get removed if the file is opened in a newer version of Excel. Learn more: https://go.microsoft.com/fwlink/?linkid=870924
Comment:
    Number from controls substituted instead of 0</t>
      </text>
    </comment>
    <comment ref="P386" authorId="1" shapeId="0" xr:uid="{AEDA87DF-750D-5B4D-A6ED-7407614E9286}">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V386" authorId="2" shapeId="0" xr:uid="{6B6E5412-E061-484F-BF0D-9CD38D5B40FF}">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AF415" authorId="3" shapeId="0" xr:uid="{0236B9B1-E09D-3447-98B0-CEE856443065}">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List>
</comments>
</file>

<file path=xl/sharedStrings.xml><?xml version="1.0" encoding="utf-8"?>
<sst xmlns="http://schemas.openxmlformats.org/spreadsheetml/2006/main" count="5561" uniqueCount="948">
  <si>
    <t>from 12D</t>
  </si>
  <si>
    <t>PKU GROUP</t>
  </si>
  <si>
    <t>CONTROL GROUP</t>
  </si>
  <si>
    <t>ES</t>
  </si>
  <si>
    <t xml:space="preserve">PKU group </t>
  </si>
  <si>
    <t>CONTROLS</t>
  </si>
  <si>
    <t xml:space="preserve">Group Large= EF (reasoning, flexibility, sustained attetion and inhibitory control) +visuo-spatial attention speed + visuo-motor control; </t>
  </si>
  <si>
    <t xml:space="preserve">Group Medium: memory and learning; </t>
  </si>
  <si>
    <t>Performance</t>
  </si>
  <si>
    <t>Age</t>
  </si>
  <si>
    <t>Group Small: basic language functions (reading and naming speed and accuracy; visuo-spatial attention accuracy; visuo-spatial skills and simple RT visuo-spatial</t>
  </si>
  <si>
    <t>Order</t>
  </si>
  <si>
    <t>Age -group</t>
  </si>
  <si>
    <t>Func_EF_flex_one</t>
  </si>
  <si>
    <t>Function</t>
  </si>
  <si>
    <t>ES_group</t>
  </si>
  <si>
    <t>Study</t>
  </si>
  <si>
    <t xml:space="preserve">Year </t>
  </si>
  <si>
    <t>Task</t>
  </si>
  <si>
    <t>speed/acc (+ all speed tasks even if no matched with accuracy)</t>
  </si>
  <si>
    <t>speed/acc matched</t>
  </si>
  <si>
    <t>Condition/measure</t>
  </si>
  <si>
    <t>More information</t>
  </si>
  <si>
    <t xml:space="preserve"> x̅ </t>
  </si>
  <si>
    <t>SD</t>
  </si>
  <si>
    <t>N  obs</t>
  </si>
  <si>
    <t>Current Phe Mean</t>
  </si>
  <si>
    <t>Cohen' s D - not revr</t>
  </si>
  <si>
    <t>Coeff</t>
  </si>
  <si>
    <t xml:space="preserve"> Glass delta</t>
  </si>
  <si>
    <t>SD glass</t>
  </si>
  <si>
    <t>Include</t>
  </si>
  <si>
    <t>Age diet starts</t>
  </si>
  <si>
    <t>Diet termination</t>
  </si>
  <si>
    <t>Adults</t>
  </si>
  <si>
    <t>Verbal STM/WM</t>
  </si>
  <si>
    <t>ES_medium</t>
  </si>
  <si>
    <t>Abgottspon et al 2022</t>
  </si>
  <si>
    <t>N-back task</t>
  </si>
  <si>
    <t>accuracy</t>
  </si>
  <si>
    <t>3 back - correct</t>
  </si>
  <si>
    <t>speed</t>
  </si>
  <si>
    <t xml:space="preserve">3 back - speed </t>
  </si>
  <si>
    <t>Children</t>
  </si>
  <si>
    <t>EF-Inhibitory control</t>
  </si>
  <si>
    <t>ES_large</t>
  </si>
  <si>
    <t>Anderson et al 2002/2007</t>
  </si>
  <si>
    <t>Contingency Naming test</t>
  </si>
  <si>
    <t>Errors</t>
  </si>
  <si>
    <t>Total time</t>
  </si>
  <si>
    <t>EF-Reasoning and planning</t>
  </si>
  <si>
    <t>Tower Puzzle</t>
  </si>
  <si>
    <t>Number correct</t>
  </si>
  <si>
    <t>Time</t>
  </si>
  <si>
    <t>Mixed-age</t>
  </si>
  <si>
    <t>Brunner and Berry 1987</t>
  </si>
  <si>
    <t>Continuous perfomance task</t>
  </si>
  <si>
    <t>False alarms</t>
  </si>
  <si>
    <t>NA</t>
  </si>
  <si>
    <t>BY  6 WEEKS</t>
  </si>
  <si>
    <t>Coninuous - for all but 4 ppts who terminated diet by age 7</t>
  </si>
  <si>
    <t>EF-Sustained attention</t>
  </si>
  <si>
    <t>RT</t>
  </si>
  <si>
    <t>Coninuous - for all but 4 ppts who terminated diet by age 8</t>
  </si>
  <si>
    <t>EF-Inhibitory control-baseline</t>
  </si>
  <si>
    <t>Channon et al 2005</t>
  </si>
  <si>
    <t>Flanker task-baseline-accuracy</t>
  </si>
  <si>
    <t>on diet, Compatible condition</t>
  </si>
  <si>
    <t>Within 1 month</t>
  </si>
  <si>
    <t>cont treat</t>
  </si>
  <si>
    <t>Flanker task-baseline-speed</t>
  </si>
  <si>
    <t>Compatible trials - Speed per item (sec.)</t>
  </si>
  <si>
    <t>Flanker task-INTERFERENCE</t>
  </si>
  <si>
    <t>on diet, Incompatible condition</t>
  </si>
  <si>
    <t>Incompatible trials - Speed per item (sec.)</t>
  </si>
  <si>
    <t>EF-Flexibility</t>
  </si>
  <si>
    <t>EF-Flexibility-other</t>
  </si>
  <si>
    <t xml:space="preserve">Object Alternation </t>
  </si>
  <si>
    <t xml:space="preserve"> on diet vs controls -  %  correct</t>
  </si>
  <si>
    <t xml:space="preserve"> on diet vs controls -  speed per item (sec)</t>
  </si>
  <si>
    <t>Visuo-spatial skills</t>
  </si>
  <si>
    <t>ES_small</t>
  </si>
  <si>
    <t>Channon et al 2005 on diet</t>
  </si>
  <si>
    <t>Perceptual judgement Task</t>
  </si>
  <si>
    <t>Shape matching - % correct</t>
  </si>
  <si>
    <t>Given a target object match it with one of two objects presented below</t>
  </si>
  <si>
    <t>Shape Matching - Speed per item</t>
  </si>
  <si>
    <t>Channon et al 2007 off diet</t>
  </si>
  <si>
    <t>Compatible trials - Number correct</t>
  </si>
  <si>
    <t>Incompatible trials - Number correct</t>
  </si>
  <si>
    <t>Combined 0 back, 1 back, 2 back task -  % correct - off diet</t>
  </si>
  <si>
    <t>Combined 0 back, 1 back, 2 back task - Speed per item -off diet</t>
  </si>
  <si>
    <t>A single object displayed and ppts were required to match it to one of two objects</t>
  </si>
  <si>
    <t>off diet</t>
  </si>
  <si>
    <t xml:space="preserve">Shape matching - Speed per item </t>
  </si>
  <si>
    <t>Christ et al 2006</t>
  </si>
  <si>
    <t>Antisaccade task</t>
  </si>
  <si>
    <t>Inhibitory Error</t>
  </si>
  <si>
    <t>Inhibitory RT</t>
  </si>
  <si>
    <t>baseline Error</t>
  </si>
  <si>
    <t>baseline RT</t>
  </si>
  <si>
    <t>Go-No-Go</t>
  </si>
  <si>
    <t>Simple RT-Visuo-spatial</t>
  </si>
  <si>
    <t>Simple detection-accuracy;</t>
  </si>
  <si>
    <t>Simple detection-RT</t>
  </si>
  <si>
    <t>Language speed</t>
  </si>
  <si>
    <t>Stroop-neutral-accuracy</t>
  </si>
  <si>
    <t>Stroop-neutral-speed</t>
  </si>
  <si>
    <t>Griffiths 1998</t>
  </si>
  <si>
    <t>2 back - accuracy</t>
  </si>
  <si>
    <t xml:space="preserve">One back </t>
  </si>
  <si>
    <t>2 back -RT</t>
  </si>
  <si>
    <t>Social Cognition</t>
  </si>
  <si>
    <t>Jahja et al 2016/2017</t>
  </si>
  <si>
    <t>ANT identification of facial emotions-% err</t>
  </si>
  <si>
    <t>ANT identification of facial emotions - % Errors</t>
  </si>
  <si>
    <t>Since birth</t>
  </si>
  <si>
    <t>-</t>
  </si>
  <si>
    <t>Soon after birth</t>
  </si>
  <si>
    <t>ANT identification of facial emotions-RT</t>
  </si>
  <si>
    <t>ANT identification of facial emotions - RT</t>
  </si>
  <si>
    <t>Visual STM/WM</t>
  </si>
  <si>
    <t>Feature integration-accuracy</t>
  </si>
  <si>
    <t>Feature integration - N Errors</t>
  </si>
  <si>
    <t>Feature integration-RT</t>
  </si>
  <si>
    <t>Feature integration - RT</t>
  </si>
  <si>
    <t>Visuo-spatial attention acc</t>
  </si>
  <si>
    <t>Memory search-high load-N err</t>
  </si>
  <si>
    <t>Memory search 2 dimension task - high memory load - N Errors</t>
  </si>
  <si>
    <t>Visual spatial attention speed</t>
  </si>
  <si>
    <t>Memory search-high load-RT</t>
  </si>
  <si>
    <t>Memory search 2 dimension task - high memory load - RT</t>
  </si>
  <si>
    <t>Memory search-low load-N err</t>
  </si>
  <si>
    <t>Memory search 2 dimension task - Low memory load  - N Errors</t>
  </si>
  <si>
    <t>Memory search-low load-RT</t>
  </si>
  <si>
    <t>Memory search 2 dimension task - low memory load RT</t>
  </si>
  <si>
    <t>Visuo motor control</t>
  </si>
  <si>
    <t>Luciana et al 2001</t>
  </si>
  <si>
    <t>Motor screening task</t>
  </si>
  <si>
    <t>Error</t>
  </si>
  <si>
    <t>quickly and accurately touch visual targets that are
presented one at a time on the computer screen</t>
  </si>
  <si>
    <t>Latency</t>
  </si>
  <si>
    <t xml:space="preserve">latency </t>
  </si>
  <si>
    <t>Moyle et al 2006</t>
  </si>
  <si>
    <t>false alarms</t>
  </si>
  <si>
    <t>RT (only no go)</t>
  </si>
  <si>
    <t>--</t>
  </si>
  <si>
    <t>Early treated</t>
  </si>
  <si>
    <t>Palermo et al 2017/2020; De Felice et al 2018</t>
  </si>
  <si>
    <t>3 Face Test-Accuracy-N correct</t>
  </si>
  <si>
    <t>3 Face Test - Accuracy - N correct</t>
  </si>
  <si>
    <t xml:space="preserve">3 Face Test-Time </t>
  </si>
  <si>
    <t>3 Face Test - Time (sec.)</t>
  </si>
  <si>
    <t>Affect Selection-N correct</t>
  </si>
  <si>
    <t>Affect Selection - N correct</t>
  </si>
  <si>
    <t xml:space="preserve">Affect Selection-Time </t>
  </si>
  <si>
    <t>Affect Selection - Time (sec.)</t>
  </si>
  <si>
    <t>Higher Language Skills</t>
  </si>
  <si>
    <t>Appreciation of Humour</t>
  </si>
  <si>
    <t>Appreciation of Humour Test -  N Errors</t>
  </si>
  <si>
    <t>Appreciation of Humour Test - Time (sec.)</t>
  </si>
  <si>
    <t>Language accuracy</t>
  </si>
  <si>
    <t>Block Cyclic Naming</t>
  </si>
  <si>
    <t xml:space="preserve">Block Cyclic Naming - </t>
  </si>
  <si>
    <t>overall errors</t>
  </si>
  <si>
    <t>Block cyclic naming -  RT (ms)</t>
  </si>
  <si>
    <t>overall RT</t>
  </si>
  <si>
    <t>Choice detection</t>
  </si>
  <si>
    <t>Choice Reaction time -  % Errors</t>
  </si>
  <si>
    <t>Choice Reaction time - RT</t>
  </si>
  <si>
    <t>Colour Naming</t>
  </si>
  <si>
    <t>Colour Naming - % Errors</t>
  </si>
  <si>
    <t>Colour Naming - RT (ms)</t>
  </si>
  <si>
    <t>Conjoined search</t>
  </si>
  <si>
    <t>Conjanction Search - % Errors</t>
  </si>
  <si>
    <t>Conjoined search - RT</t>
  </si>
  <si>
    <t>Continuous Naming</t>
  </si>
  <si>
    <t>Continulus Picture Naming - Overall % Errors</t>
  </si>
  <si>
    <t>Continuous Picture Naming - overall RT (ms)</t>
  </si>
  <si>
    <t>Continuous Naming-5th-1st pos</t>
  </si>
  <si>
    <t>Naming Semantic Interference Task - Difference position 5-1 - % Errors</t>
  </si>
  <si>
    <t>Naming Semantic Interference Task - Difference position 5-1 - RT</t>
  </si>
  <si>
    <t>Detection w/distractors-accuracy</t>
  </si>
  <si>
    <t>Detection with distractors - % Errors</t>
  </si>
  <si>
    <t>Detection w/distractors-RT</t>
  </si>
  <si>
    <t>Detection with distractors - RT</t>
  </si>
  <si>
    <t>Feature search-accuracy</t>
  </si>
  <si>
    <t>Feature search - % Errors</t>
  </si>
  <si>
    <t>Feature search-RT</t>
  </si>
  <si>
    <t>Feature search - RT</t>
  </si>
  <si>
    <t>EF-Inhibitory control-baseline; Language accuracy</t>
  </si>
  <si>
    <t>Hayling Sentence Completion A-accuracy</t>
  </si>
  <si>
    <t>Hayling Sentence Completion Test - Part 2  - N Errors</t>
  </si>
  <si>
    <t>EF-Inhibitory control-baseline; Language speed</t>
  </si>
  <si>
    <t xml:space="preserve">Hayling Sentence Completion A-Time </t>
  </si>
  <si>
    <t xml:space="preserve">Hayling Sentence Completion Test Part 2 - Time (sec.) </t>
  </si>
  <si>
    <t>Hayling Sentence Completion B-accuracy</t>
  </si>
  <si>
    <t xml:space="preserve">Hayling Sentence Completion B-Time </t>
  </si>
  <si>
    <t>Identity Test Accuracy-N correct</t>
  </si>
  <si>
    <t>Identity Test Accuracy - N correct</t>
  </si>
  <si>
    <t xml:space="preserve">Identity Test-Time </t>
  </si>
  <si>
    <t>Identity Test  - Time (sec,)</t>
  </si>
  <si>
    <t>Inferred meaning-N err</t>
  </si>
  <si>
    <t>Comprehension of Inferred meaning Test -  N Errors</t>
  </si>
  <si>
    <t xml:space="preserve">Inferred meaning-Time </t>
  </si>
  <si>
    <t>Comprehension of Inferred meaning Test - Time (sec.)</t>
  </si>
  <si>
    <t>Metaphor Picture-N err</t>
  </si>
  <si>
    <t>Metaphor Picture Test - N Errors</t>
  </si>
  <si>
    <t>Metaphor Picture-Time</t>
  </si>
  <si>
    <t>Metaphor Picture Test - Total time (sec.)</t>
  </si>
  <si>
    <t>Non-word reading-accuracy</t>
  </si>
  <si>
    <t>Non-word reading - % Errors</t>
  </si>
  <si>
    <t>Non-word reading-RT</t>
  </si>
  <si>
    <t>Non-word reading - RT (ms)</t>
  </si>
  <si>
    <t>Simple Detection - RT</t>
  </si>
  <si>
    <t>Within 3 months</t>
  </si>
  <si>
    <t>Phonological Tasks</t>
  </si>
  <si>
    <t>Spoonerisms-% err</t>
  </si>
  <si>
    <t>Spoonerisms  - % Errors</t>
  </si>
  <si>
    <t>Stroop-baseline-accuracy</t>
  </si>
  <si>
    <t>Congruent condition Errors</t>
  </si>
  <si>
    <t>Naming the colour of words spelling the same colour</t>
  </si>
  <si>
    <t>Stroop-baseline-speed</t>
  </si>
  <si>
    <t>Congruent condition RT</t>
  </si>
  <si>
    <t>Word reading-Accuracy</t>
  </si>
  <si>
    <t>Word Reading - % Errors</t>
  </si>
  <si>
    <t>Word Reading-RT</t>
  </si>
  <si>
    <t>Word Reading - RT (ms)</t>
  </si>
  <si>
    <t>Romani et al 2020</t>
  </si>
  <si>
    <t>Conjoined search-RT</t>
  </si>
  <si>
    <t>Conjunction search-accuracy</t>
  </si>
  <si>
    <t>Schmidt et al 1994</t>
  </si>
  <si>
    <t>Dot pattern Task</t>
  </si>
  <si>
    <t xml:space="preserve"> Exercise T1 - N Errors</t>
  </si>
  <si>
    <t xml:space="preserve"> Exercise T1 - RT</t>
  </si>
  <si>
    <t>Sundermann et al 2011-Gr1</t>
  </si>
  <si>
    <t>STROOP baseline</t>
  </si>
  <si>
    <t xml:space="preserve">Placebo 2nd session - neutral errors </t>
  </si>
  <si>
    <t xml:space="preserve"> Subjects were instructed to decide via push button whether the color of the top row letters were writtn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</si>
  <si>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till  adolescence</t>
  </si>
  <si>
    <t>Placebo 1st session - neutral RT</t>
  </si>
  <si>
    <t xml:space="preserve"> Subjects were instructed to decide via push button whether the color of the top row letters were writtetn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</si>
  <si>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Placebo 2nd session - neutral RT</t>
  </si>
  <si>
    <t>Stroop DIFFERENCE</t>
  </si>
  <si>
    <t>Placebo 1st session - difference neutral-incongruent Errors</t>
  </si>
  <si>
    <t xml:space="preserve">Placebo 1st session - difference neutral-incongruent RT </t>
  </si>
  <si>
    <t xml:space="preserve">Placebo 2nd session - difference neutral-incongruent RT </t>
  </si>
  <si>
    <t>Sundermann et al 2020</t>
  </si>
  <si>
    <t>Errors for no-go trials</t>
  </si>
  <si>
    <t>within 3 months</t>
  </si>
  <si>
    <t>corr RT</t>
  </si>
  <si>
    <t>Van Zutphen et al 2007</t>
  </si>
  <si>
    <t>Inhibition condition Errors</t>
  </si>
  <si>
    <t>Colour-word switching</t>
  </si>
  <si>
    <t>From D-KEFS</t>
  </si>
  <si>
    <t>Switching condition Errors</t>
  </si>
  <si>
    <t>Colour-word Inhibition</t>
  </si>
  <si>
    <t>Stroop-INTERFERENCE</t>
  </si>
  <si>
    <t>Inhibition condition ?</t>
  </si>
  <si>
    <t>Switching condition ?</t>
  </si>
  <si>
    <t>Weglage et al 1996/1999</t>
  </si>
  <si>
    <t>CWIT - interference condition</t>
  </si>
  <si>
    <t>INT-T(time)</t>
  </si>
  <si>
    <t>INT-M (mistakes)</t>
  </si>
  <si>
    <t>same data as weglage 1996</t>
  </si>
  <si>
    <t>CWIT Errors (older group 14+)</t>
  </si>
  <si>
    <t>CWIT speed (older group 14+)</t>
  </si>
  <si>
    <t>Antshel &amp; Waisbren 2003</t>
  </si>
  <si>
    <t>Reading T-score</t>
  </si>
  <si>
    <t>Color and word Test interference trial</t>
  </si>
  <si>
    <t>Burgard et al 1997-German</t>
  </si>
  <si>
    <t>Finger motor speed</t>
  </si>
  <si>
    <t>Finger motor speed exercise adults german vs controls - Time</t>
  </si>
  <si>
    <t>5 years</t>
  </si>
  <si>
    <t>Christ et al 2023</t>
  </si>
  <si>
    <t>Oral Symbol Digit</t>
  </si>
  <si>
    <t>processing speed - T-score</t>
  </si>
  <si>
    <t>NIH Toolbox Cognitive Battery</t>
  </si>
  <si>
    <t>This is an additional measure of processing speed in which participants orally report digits that correspond to a series of symbols via a provided symbol-digit key.</t>
  </si>
  <si>
    <t xml:space="preserve">Pattern Comparison </t>
  </si>
  <si>
    <t>Pattern Comparison is a measure of processing speed requiring participants to indicate if two images are the same or different as quickly as possible.</t>
  </si>
  <si>
    <t>Dawson et al 2011-off diet</t>
  </si>
  <si>
    <t>Reciprocal saccade</t>
  </si>
  <si>
    <t>Reciprocal of saccade latency</t>
  </si>
  <si>
    <t>early in life</t>
  </si>
  <si>
    <t>until adolescence</t>
  </si>
  <si>
    <t>Dawson et al 2011-on diet</t>
  </si>
  <si>
    <t>Gassio et al 2005</t>
  </si>
  <si>
    <t>T score-interference</t>
  </si>
  <si>
    <t>T score-color naming</t>
  </si>
  <si>
    <t>Stroop-reading-speed</t>
  </si>
  <si>
    <t>T score -colour reading</t>
  </si>
  <si>
    <t>Griffiths 1995</t>
  </si>
  <si>
    <t>Peg transfer-Purdue Pegboard</t>
  </si>
  <si>
    <t>Grooved pegboard - Time (sec.)</t>
  </si>
  <si>
    <t>Purdue Pegboard (Lafayette Instruments) without collars and washers. Total time for transferring 25 pegs from left to right column of holes and back again. Preferred hand; seconnds??</t>
  </si>
  <si>
    <t>median age 15 days (range 12-20)</t>
  </si>
  <si>
    <t>13.6-28.42</t>
  </si>
  <si>
    <t>Simple RT</t>
  </si>
  <si>
    <t>Button-pressing in response to single light stimulus. Preferred hand. Ten trials summated.</t>
  </si>
  <si>
    <t>Janos et al 2012</t>
  </si>
  <si>
    <t>Muri et al 2022</t>
  </si>
  <si>
    <t>Alertness (TAP subtests)</t>
  </si>
  <si>
    <t>Test of Attentional Performance (TAP)</t>
  </si>
  <si>
    <t xml:space="preserve">T-scores </t>
  </si>
  <si>
    <t>Median reaction time (higher=better)</t>
  </si>
  <si>
    <t>In this test, reaction time is examined under two conditions. The first condition concerns simple reaction time measurements, in which a cross appears on the monitor at randomly varying intervals and to which the subject should respond as quickly as possible by pressing a key. Intrinsic alertness is measured in this condition. In a second condition, reaction time is measured in response to a critical stimulus preceded by a cue stimulus presented as warning tone ("phasic arousal", or temporal orientation of attentional focus).</t>
  </si>
  <si>
    <t>IQR=358</t>
  </si>
  <si>
    <t>Colour-word interference test condition 3 (inhibition?)</t>
  </si>
  <si>
    <t>Scale scores (time)</t>
  </si>
  <si>
    <t>Time (higher = better)</t>
  </si>
  <si>
    <t>Delis‚Äì Kaplan Executive Function System (D-KEFS)</t>
  </si>
  <si>
    <t>Colour-word interference test condition 4 (inhibition/switching)</t>
  </si>
  <si>
    <t>Scale scores (interference)</t>
  </si>
  <si>
    <t>Time (higher=btter)</t>
  </si>
  <si>
    <t>Block Cyclic Naming Semantic Interference -  4th cycle-1st cycle - RT</t>
  </si>
  <si>
    <t xml:space="preserve">CWIT Colour naming speed </t>
  </si>
  <si>
    <t>Stroop Color and Word Test</t>
  </si>
  <si>
    <t xml:space="preserve">CWIT Colour reading speed </t>
  </si>
  <si>
    <t>CWIT Colour naming Speed (older group 14+)</t>
  </si>
  <si>
    <t>CWIT Colour reading Speed (older group 14+)</t>
  </si>
  <si>
    <t>sec</t>
  </si>
  <si>
    <t>White et al 2001</t>
  </si>
  <si>
    <t>Colour naming items/min</t>
  </si>
  <si>
    <t>IQ</t>
  </si>
  <si>
    <t xml:space="preserve">WAIS-IV short form </t>
  </si>
  <si>
    <t>matrix, symbol search, vocabulary, arthmetic</t>
  </si>
  <si>
    <t>Aitkenhead et al 2021</t>
  </si>
  <si>
    <t>Digit span–backwards</t>
  </si>
  <si>
    <t>z score</t>
  </si>
  <si>
    <t>Digit span-forward</t>
  </si>
  <si>
    <t>Digit symbol coding</t>
  </si>
  <si>
    <t>Symbol-digit matching test</t>
  </si>
  <si>
    <t>EF-Flexibility-verbal</t>
  </si>
  <si>
    <t>Phonemic fluency</t>
  </si>
  <si>
    <t>Letter fluency 'S' - N correct</t>
  </si>
  <si>
    <t>Semantic fluency</t>
  </si>
  <si>
    <t>WCST</t>
  </si>
  <si>
    <t>z-score</t>
  </si>
  <si>
    <t>DKefs Card Sorting</t>
  </si>
  <si>
    <t>Verbal memory and learning</t>
  </si>
  <si>
    <t>Word-list learning</t>
  </si>
  <si>
    <t>CVLT-II Trials 1-5 - z score</t>
  </si>
  <si>
    <t>Aldridge et al 2020</t>
  </si>
  <si>
    <t>WASI</t>
  </si>
  <si>
    <t>WASI - Performance Index</t>
  </si>
  <si>
    <t>Code Transmission</t>
  </si>
  <si>
    <t xml:space="preserve">Self correction </t>
  </si>
  <si>
    <t>Digital Distraction</t>
  </si>
  <si>
    <t>Children must count the number of beeps presented on audio tape while random numbers are intermittenly presented,</t>
  </si>
  <si>
    <t>Total words</t>
  </si>
  <si>
    <t>COWAT</t>
  </si>
  <si>
    <t>letters F,A,S</t>
  </si>
  <si>
    <t>Rey-Osterrieth CFT-copy</t>
  </si>
  <si>
    <t xml:space="preserve">Copy </t>
  </si>
  <si>
    <t>Sky Search</t>
  </si>
  <si>
    <t>Iit measures selective attention and visual search; children have to look for a particular space ship among similar distractors on a large piece of paper.</t>
  </si>
  <si>
    <t>ircle all the targets (spaceships) as quickly as
possible on a laminated sheet filled with very similar distractors.</t>
  </si>
  <si>
    <t>Divided attention</t>
  </si>
  <si>
    <t>Sky Search-Dual Task</t>
  </si>
  <si>
    <t>speed + accuracy</t>
  </si>
  <si>
    <t xml:space="preserve"> children have to look for a particular space ship among similar distractors on a large piece of paper; in the dual task condition they have to count the tone they hear at the same time.  Performance is measured with the time it taskes to complete the task.</t>
  </si>
  <si>
    <t>Symbol Search</t>
  </si>
  <si>
    <t>from WISC</t>
  </si>
  <si>
    <t>WISC-III</t>
  </si>
  <si>
    <t>Rey AVLT–total</t>
  </si>
  <si>
    <t>RVDLT–total</t>
  </si>
  <si>
    <t>Anderson et al 2003/2008</t>
  </si>
  <si>
    <t>The child is given a key in which digits are paired with simple shapes. The task is to draw each shape under its corresponding digit within a certain time limit - from WISC</t>
  </si>
  <si>
    <t>Antenor-Dorsey 2013</t>
  </si>
  <si>
    <t>score</t>
  </si>
  <si>
    <t>Copy -organizational score</t>
  </si>
  <si>
    <t>Visual learning LTM</t>
  </si>
  <si>
    <t>Rey-Osterrieth CFT-recall</t>
  </si>
  <si>
    <t xml:space="preserve">Delayed recallOrganizational score </t>
  </si>
  <si>
    <t>Immediate recall Organizational score</t>
  </si>
  <si>
    <t>scaled score</t>
  </si>
  <si>
    <t>based on N correct - errors</t>
  </si>
  <si>
    <t>from WISC, participants are given two minutes to answer as many items as possible. Each item is presented as a row of two symbols on the left and five symbols on the right. The participant indicates whether the set of five symbols includes either of the two symbols on the left</t>
  </si>
  <si>
    <t>CVLT - Trial 5</t>
  </si>
  <si>
    <t>Banerjee et al 2011</t>
  </si>
  <si>
    <t>Banich et al 2000</t>
  </si>
  <si>
    <t>Peabody Picture Vocabulary Test</t>
  </si>
  <si>
    <t>Bartus et al 2018</t>
  </si>
  <si>
    <t>Motor screening test-Err score</t>
  </si>
  <si>
    <t>Motor screening test (Error raw score)</t>
  </si>
  <si>
    <t>Bisiacchi et al 2018</t>
  </si>
  <si>
    <t xml:space="preserve"> Naming</t>
  </si>
  <si>
    <t>max score =10</t>
  </si>
  <si>
    <t xml:space="preserve">Corsi Block task </t>
  </si>
  <si>
    <t>Phonemic Fluency</t>
  </si>
  <si>
    <t>Street’s Completion Test</t>
  </si>
  <si>
    <t>Gestalt test; in this test objects made of black blotches representing parts of objects have to be recognized, therefore participants
have to group the parts into a recognizable object and name it;</t>
  </si>
  <si>
    <t>TMT-A</t>
  </si>
  <si>
    <t>TMT–B</t>
  </si>
  <si>
    <t>Score; max score =12</t>
  </si>
  <si>
    <t>Delayed recall z score</t>
  </si>
  <si>
    <t>Immediate recall z score</t>
  </si>
  <si>
    <t>Bodner et al 2012</t>
  </si>
  <si>
    <t>At birth</t>
  </si>
  <si>
    <t>Misses</t>
  </si>
  <si>
    <t>Coninuous - for all but 4 ppts who terminated diet by age 6</t>
  </si>
  <si>
    <t>german vs controls - level  Time</t>
  </si>
  <si>
    <t>Within  3 months</t>
  </si>
  <si>
    <t>WISC-R &amp; WAIS-R</t>
  </si>
  <si>
    <t>WISC-R &amp; WAIS-R - German Group</t>
  </si>
  <si>
    <t>Channon et al 2004</t>
  </si>
  <si>
    <t>Brixton scaled-Score</t>
  </si>
  <si>
    <t>Brixton text scaled score (rule finding) higher scores indicate fewer Errors</t>
  </si>
  <si>
    <t>Participants are presented with patterns of circles where one is filled.  The filled circle move around from one pattern presentation to the next according to rules (9 in total).  Partipants have to anticipate the position of the next filled circle.</t>
  </si>
  <si>
    <t>Hayling Sentence Completion Test B  - Correct completions per sec.</t>
  </si>
  <si>
    <t>Letter fluency - N correct</t>
  </si>
  <si>
    <t>Initial copy - % correct</t>
  </si>
  <si>
    <t xml:space="preserve"> delayed recall-% correct</t>
  </si>
  <si>
    <t xml:space="preserve">Rey-Osterrieth CFT-recognition </t>
  </si>
  <si>
    <t>t recognition -  % correct</t>
  </si>
  <si>
    <t>Self ordered pointing</t>
  </si>
  <si>
    <t xml:space="preserve"> N correct</t>
  </si>
  <si>
    <t>Six elements-Rules per minute</t>
  </si>
  <si>
    <t>Six elements rules per minute</t>
  </si>
  <si>
    <t>Telephone Search-N tones/min</t>
  </si>
  <si>
    <t>Telephone Search - N of tones counted per minute</t>
  </si>
  <si>
    <t>WASI-Performance Index</t>
  </si>
  <si>
    <t>WASI-Verbal Index</t>
  </si>
  <si>
    <t>Rey AVLT-  Delayed recall - % corr</t>
  </si>
  <si>
    <t>Rey AVLT Recognition - % corr</t>
  </si>
  <si>
    <t>Combined 0 back, 1 back, 2 back task - % correct  -on diet</t>
  </si>
  <si>
    <t>WAIS-Full scale</t>
  </si>
  <si>
    <t>WASI - Full scale - on diet</t>
  </si>
  <si>
    <t>Channon et al 2007</t>
  </si>
  <si>
    <t>WASI - Full scale - off diet</t>
  </si>
  <si>
    <t>Object Alternation-accuracy</t>
  </si>
  <si>
    <t xml:space="preserve">Object alternation learning  off diet vs controls - % correct </t>
  </si>
  <si>
    <t>Object Alternation-Speed</t>
  </si>
  <si>
    <t xml:space="preserve">Object alternation learning; off diet vs controls - Speed per item </t>
  </si>
  <si>
    <t>Stroop task</t>
  </si>
  <si>
    <t>Dimensional Change Card Sort</t>
  </si>
  <si>
    <t>T-score</t>
  </si>
  <si>
    <t>DCCS was scored using a new two-vector scoring method combining both accuracy and, for participants who maintained a high level of accuracy (&gt; 80% correct), reaction time (RT) into one score.</t>
  </si>
  <si>
    <t xml:space="preserve">Flanker </t>
  </si>
  <si>
    <t>Scores for the NIH Toolbox Flanker were created using a procedure analogous to the one used for scoring the NIH Toolbox DCCS. That is, a two-vector method incorporated accuracy and, for participants who maintained a high level of accuracy (&gt; 80% correct)</t>
  </si>
  <si>
    <t>List sorting</t>
  </si>
  <si>
    <t>Participants are visually and orally presented with a series of picture stimuli and asked to recall the stimuli in size order from smallest to biggest. Participants are exposed to both a one-list condition and a two-list condition where items from one semantic category must be repeated in size order before items from the second semantic category.</t>
  </si>
  <si>
    <t>Pegboard-Dominant Hand</t>
  </si>
  <si>
    <t>higher=better</t>
  </si>
  <si>
    <t>NIH Toolbox Motor Battery</t>
  </si>
  <si>
    <t>Pegboard-Non-Dominant Hand</t>
  </si>
  <si>
    <t>Picture Sequence</t>
  </si>
  <si>
    <t>Participants are shown a sequence of pictures. Following the presentation of the final image, all stimuli are randomly mixed. The participant must then place the images to match the initial presentation order. Picture vary in numbers for 6-15 depending on age</t>
  </si>
  <si>
    <t>Conner's Continuous Performance Test</t>
  </si>
  <si>
    <t xml:space="preserve">CPT - Error average </t>
  </si>
  <si>
    <t>click when see/hear '2' do not click when you see/hear '1'</t>
  </si>
  <si>
    <t>Purdue assembly</t>
  </si>
  <si>
    <t>Purdue Pegboard Test</t>
  </si>
  <si>
    <t>Delayed recall</t>
  </si>
  <si>
    <t>Tapping Dominant hand</t>
  </si>
  <si>
    <t>Tapping Nondominant hand</t>
  </si>
  <si>
    <t>Perseverative Errors</t>
  </si>
  <si>
    <t>WISC-R/Kauffman Assessment Battery</t>
  </si>
  <si>
    <t>Children Auditory Verbal learning test - 5th trial</t>
  </si>
  <si>
    <t>Design fluency</t>
  </si>
  <si>
    <t>Number of non-repeated designs in 3 min</t>
  </si>
  <si>
    <t>Visual matching-to-sample of complex drawings. First items from MFFT20 (Caims &amp; Cammock 1978). - Identify from a group of 6 similar figures the one tht matches a given sample. It measures One-minute time-limit per figure. It is supposed to test speed of reflection and impulsivity.</t>
  </si>
  <si>
    <t>Letter cancellation</t>
  </si>
  <si>
    <t>n correct in one min</t>
  </si>
  <si>
    <t>Letter Cancellation. Visual letter-search (Neisser t967). Twenty target stimuli, 1180 distractors. Four-minute time-limit.</t>
  </si>
  <si>
    <t>Matching figures</t>
  </si>
  <si>
    <t>N correct/20</t>
  </si>
  <si>
    <t>N correct/21</t>
  </si>
  <si>
    <t xml:space="preserve">Phonemic fluency </t>
  </si>
  <si>
    <t>Total words correct</t>
  </si>
  <si>
    <t>F', 'A', 'S'</t>
  </si>
  <si>
    <t>Rey-Davis Manual Labyrinth</t>
  </si>
  <si>
    <t>Systematic search and recall, repeated five times, of single peg positions in each of four stacked wooden boards, each board containing a further eight distractor pegs (Zangwill 1946)</t>
  </si>
  <si>
    <t>4.98</t>
  </si>
  <si>
    <t xml:space="preserve">Rey Verbal Learning. Total Recall of orally presented t5-word list, repeated five times </t>
  </si>
  <si>
    <t>Picture Vocabulary Scale</t>
  </si>
  <si>
    <t>Huijbregts et al 2002</t>
  </si>
  <si>
    <t>Number of dot identification task (yes/no)</t>
  </si>
  <si>
    <t>Mean Series time</t>
  </si>
  <si>
    <t>dot task from ANT respond to arrays of eg 3 dots do not respond for arrays of 2 or 4 dots</t>
  </si>
  <si>
    <t>Jahja et al 2014</t>
  </si>
  <si>
    <t>FL part 1 - facilitation (closest to baseline)</t>
  </si>
  <si>
    <t>high phe group</t>
  </si>
  <si>
    <t>FL part 2 - part 1 - inhibitory control</t>
  </si>
  <si>
    <t>Motor control accuracy</t>
  </si>
  <si>
    <t>deviation from target in mm- high  Phe group</t>
  </si>
  <si>
    <t>Motor control stability</t>
  </si>
  <si>
    <t>sd of movement trajectory- high  Phe group</t>
  </si>
  <si>
    <t>shifting attentional set-visual</t>
  </si>
  <si>
    <t>SSV part3-part1 - flexibility - high phe group</t>
  </si>
  <si>
    <t>Shifting attentional set-visual</t>
  </si>
  <si>
    <t>SSV part 2 - opposite movement</t>
  </si>
  <si>
    <t>SSV part 1 - consistent movement</t>
  </si>
  <si>
    <t>Sustained attention-dots</t>
  </si>
  <si>
    <t>SAD - inhibitory control - high Phe group</t>
  </si>
  <si>
    <t>ANT Facial Recognition-% err</t>
  </si>
  <si>
    <t>ANT Facial Recognition  - % Errors</t>
  </si>
  <si>
    <t>ANT Facial Recognition-RT</t>
  </si>
  <si>
    <t>ANT Facial Recognition - RT</t>
  </si>
  <si>
    <t xml:space="preserve"> N Errors</t>
  </si>
  <si>
    <t xml:space="preserve"> Mean series time (sec.)</t>
  </si>
  <si>
    <t>Faux-pas Recogntion Test-Score</t>
  </si>
  <si>
    <t xml:space="preserve">Faux - pas Recogntion Test Score - High score indicate better ability </t>
  </si>
  <si>
    <t>Reading the mind in the eyes-Score</t>
  </si>
  <si>
    <t>Reading the mind in the eyes (RME) - high score indicate better ability to recognise emotions . (ToM)</t>
  </si>
  <si>
    <t>Visuospatial sequencing-N cor</t>
  </si>
  <si>
    <t>Visuospatial sequencing task - N correct</t>
  </si>
  <si>
    <t>WISC-III and WAIS III Vocabulary/Block Design</t>
  </si>
  <si>
    <t>WISC-III and WAIS III Vocabulary and Block Design</t>
  </si>
  <si>
    <t>Go-No-go</t>
  </si>
  <si>
    <t>SD-RT</t>
  </si>
  <si>
    <t>Go-No-Go-baseline speed</t>
  </si>
  <si>
    <t>mean RT</t>
  </si>
  <si>
    <t>Simple detectopm RT SD</t>
  </si>
  <si>
    <t>Stimulus–response compatibility mean RT</t>
  </si>
  <si>
    <t>compatible condition press righ key when right circle britens</t>
  </si>
  <si>
    <t>Stimulus–response compatibility SD RT</t>
  </si>
  <si>
    <t xml:space="preserve">WASI </t>
  </si>
  <si>
    <t>Leuzzi et al 2004</t>
  </si>
  <si>
    <t>Connecting dots</t>
  </si>
  <si>
    <t>Connect black dots arranged on a grid following rules</t>
  </si>
  <si>
    <t>Elithorn’s Maze</t>
  </si>
  <si>
    <t>Object categorization task</t>
  </si>
  <si>
    <t xml:space="preserve">Luria Motor Learning Test </t>
  </si>
  <si>
    <t>respond with opposite gesture to those made by assessor</t>
  </si>
  <si>
    <t>Copy</t>
  </si>
  <si>
    <t>From memory</t>
  </si>
  <si>
    <t>Categories</t>
  </si>
  <si>
    <t>Weigl’s Sorting</t>
  </si>
  <si>
    <t>The subject is shown one of two gestures,  is required to respond each time with the opposite gesture of the one shown.</t>
  </si>
  <si>
    <t>WISC-R</t>
  </si>
  <si>
    <t>span</t>
  </si>
  <si>
    <t>???</t>
  </si>
  <si>
    <t>Easy-item</t>
  </si>
  <si>
    <t>Hard-item</t>
  </si>
  <si>
    <t>Strategy</t>
  </si>
  <si>
    <t>Delayed matching to sample</t>
  </si>
  <si>
    <t>Pattern condition</t>
  </si>
  <si>
    <t>% correct</t>
  </si>
  <si>
    <t>Delayed mattching to sample a number of geometric patterns are presented; then the ppts has to decide which of two patterns was presented before</t>
  </si>
  <si>
    <t>Spatial condition</t>
  </si>
  <si>
    <t xml:space="preserve">Point to the location (out of 5) where a given stimulus was presetned </t>
  </si>
  <si>
    <t>Average of 3,4,5 move problems-accuracy</t>
  </si>
  <si>
    <t>Average of 3,4,5 move problems-time</t>
  </si>
  <si>
    <t>Average ES</t>
  </si>
  <si>
    <t>Set shifting task (analogous of WCST)</t>
  </si>
  <si>
    <t>Moyle et al 2007</t>
  </si>
  <si>
    <t>Phonemic fluency - N correct</t>
  </si>
  <si>
    <t>From birth</t>
  </si>
  <si>
    <t>cont treat, but off diet</t>
  </si>
  <si>
    <t>TMT-difference</t>
  </si>
  <si>
    <t>Trail making - Difference B-A time (sec.)</t>
  </si>
  <si>
    <t>SD must be estimated-Subtraction is not reported in the paper</t>
  </si>
  <si>
    <t xml:space="preserve">WAIS III-Perceptual Organisation Index </t>
  </si>
  <si>
    <t xml:space="preserve">WAIS III - Perceptual Organisation Index </t>
  </si>
  <si>
    <t xml:space="preserve">WAIS III-Processing Speed Index </t>
  </si>
  <si>
    <t xml:space="preserve">WAIS III - Processing Speed Index </t>
  </si>
  <si>
    <t xml:space="preserve">WAIS III-Working Memory Index </t>
  </si>
  <si>
    <t xml:space="preserve">WAIS III - Working Memory Index </t>
  </si>
  <si>
    <t>WMS-III Auditory Immediate Memory</t>
  </si>
  <si>
    <t>Auditory Immediate Memory score (WMS III)</t>
  </si>
  <si>
    <t>cont treat, but off  diet</t>
  </si>
  <si>
    <t>WMS-III Visual delayed</t>
  </si>
  <si>
    <t>Visual Delayed  WMS III  - Score</t>
  </si>
  <si>
    <t>WMS-III Visual Immedjate Memory</t>
  </si>
  <si>
    <t xml:space="preserve">Visual Immediate memory score(WMS III) </t>
  </si>
  <si>
    <t>WMS-III-Auditory delayed recall</t>
  </si>
  <si>
    <t xml:space="preserve">Auditory delayed (WMS III) - Score </t>
  </si>
  <si>
    <t>WMS-III-Delayed recognition</t>
  </si>
  <si>
    <t xml:space="preserve">Auditory recognition delayed (WMS III) -Score </t>
  </si>
  <si>
    <t>Digit/symbol coding</t>
  </si>
  <si>
    <t>Subtest of WAIS-IV</t>
  </si>
  <si>
    <t>Scale scores (total correct)</t>
  </si>
  <si>
    <t>IQR=358; based on normal distribution SD = IQR/1.35</t>
  </si>
  <si>
    <t>Divided attention (TAP subtests)</t>
  </si>
  <si>
    <t>T-scores</t>
  </si>
  <si>
    <t>Total omission (higher = better)</t>
  </si>
  <si>
    <t>In this test, a visual and an auditory task must be processed in parallel. The visual task consisted of crosses
326 COUILLET ET AL.
Downloaded By: [Azouvi, Philippe] At: 14:45 18 May 2010
that appeared in a random configuration in a 4 _x0002_ 4 matrix. Patients had to
detect whether the crosses form the corner of a square. The auditory task
included a regular sequence of high and low beeps. Patients had to detect
an irregularity in the sequence.</t>
  </si>
  <si>
    <t>Raw scores</t>
  </si>
  <si>
    <t>Accuracy in % correct</t>
  </si>
  <si>
    <t>cant find N??</t>
  </si>
  <si>
    <t>Residuals (use?)</t>
  </si>
  <si>
    <t>higher = better</t>
  </si>
  <si>
    <t>*Residuals are the error terms after regressing out the confounding variable AGE</t>
  </si>
  <si>
    <t>Sustained attention (TAP subtests)</t>
  </si>
  <si>
    <t>SD in reaction time (higher = better)</t>
  </si>
  <si>
    <t>In this test, a sequence of stimuli is presented on the monitor. The stimuli vary in a range of feature dimensions: color, shape, size and filling. A target stimulus occurs whenever it corresponds in one or the other of two predetermined stimulus dimensions with the preceding stimulus (e.g. the same shape but with different color, size and filling). In order to adapt the difficulty of the task to the performance level of a subject, different levels of difficulty, that is, reactions to "shape" only or to "color or shape", may be selected.</t>
  </si>
  <si>
    <t>Nardecchia et al 2015</t>
  </si>
  <si>
    <t>Elithorn's-N solved trials</t>
  </si>
  <si>
    <t>Elithorns Maze Test  - N of solved puzzles</t>
  </si>
  <si>
    <t>Witihn 2 months</t>
  </si>
  <si>
    <t>Rey Figure Test with copy at second assessment - N correct</t>
  </si>
  <si>
    <t>Recall  second assessment - % correct</t>
  </si>
  <si>
    <t xml:space="preserve"> Performance score</t>
  </si>
  <si>
    <t>WAIS-R - Full scale</t>
  </si>
  <si>
    <t>N perseverative responses</t>
  </si>
  <si>
    <t>N categories - correct</t>
  </si>
  <si>
    <t>Conflicting Prosody</t>
  </si>
  <si>
    <t>Conflicting Prosody - N Errors</t>
  </si>
  <si>
    <t>Emotional Prosody - N Errors</t>
  </si>
  <si>
    <t>Corsi span</t>
  </si>
  <si>
    <t>Digit symbol coding - % Error</t>
  </si>
  <si>
    <t xml:space="preserve">Grooved pegboard-Time </t>
  </si>
  <si>
    <t>Non Emotional Prosody-N err</t>
  </si>
  <si>
    <t>Non Emotional Prosody - N Errors</t>
  </si>
  <si>
    <t xml:space="preserve">Nonword repetition </t>
  </si>
  <si>
    <t>Nonword repetition - % Errors</t>
  </si>
  <si>
    <t>Non-Word Spelling-accuracy</t>
  </si>
  <si>
    <t>Non - Word Spelling - % Errors</t>
  </si>
  <si>
    <t xml:space="preserve">Paired associates verbal learning </t>
  </si>
  <si>
    <t>P-ass-VL delayed recall - % Errors</t>
  </si>
  <si>
    <t>P-ass-VL - % Errors over 5 trials</t>
  </si>
  <si>
    <t>P-ass VisL % err</t>
  </si>
  <si>
    <t>P-ass-VisL % err</t>
  </si>
  <si>
    <t>P-ass VisL % Errors. Delayed match to sample % Errors</t>
  </si>
  <si>
    <t>Phoneme Deletion-% err</t>
  </si>
  <si>
    <t>Phoneme Deletion - % Errors</t>
  </si>
  <si>
    <t>Rapid Visual Processing-% err</t>
  </si>
  <si>
    <t>Rapid visual Information Processing -RVP -  % Errors</t>
  </si>
  <si>
    <t xml:space="preserve">Semantic fluency </t>
  </si>
  <si>
    <t>Stroop DIFFERENCE-accuracy</t>
  </si>
  <si>
    <t>Stroop Task; Differene incongruous-congruous - % Errors</t>
  </si>
  <si>
    <t>Stroop DIFFERENCE-speed</t>
  </si>
  <si>
    <t xml:space="preserve"> Difference incongruous-congruous- RT</t>
  </si>
  <si>
    <t>raw scores not reported</t>
  </si>
  <si>
    <t xml:space="preserve">% of NOT solved trials </t>
  </si>
  <si>
    <t xml:space="preserve">Verbal Narrative-% cor info units </t>
  </si>
  <si>
    <t>Verbal Narrative - Correct information units (% of total words)</t>
  </si>
  <si>
    <t>Verbal Narrative-% err</t>
  </si>
  <si>
    <t>Verbal Narrative - %  Error/ total words</t>
  </si>
  <si>
    <t>Verbal Narrative-Main concepts-% cor</t>
  </si>
  <si>
    <t xml:space="preserve">Verbal Narrative - Main concepts - %  correct answers </t>
  </si>
  <si>
    <t>Verbal Narrative-Mean utterance length</t>
  </si>
  <si>
    <t>Verbal Narrative - Mean utterance length</t>
  </si>
  <si>
    <t>Verbal Narrative-Speech rate</t>
  </si>
  <si>
    <t>Verbal Narrative - Speech Rate</t>
  </si>
  <si>
    <t>WASI - Full scale</t>
  </si>
  <si>
    <t>WASI Similarities-N cor</t>
  </si>
  <si>
    <t>WASI Similarities - N correct</t>
  </si>
  <si>
    <t>WASI Vocabulary-N cor</t>
  </si>
  <si>
    <t>WASI Vocabulary - N correct</t>
  </si>
  <si>
    <t xml:space="preserve">   N perseverative responses</t>
  </si>
  <si>
    <t>Word Spelling-% err</t>
  </si>
  <si>
    <t>Word Spelling - % Errors</t>
  </si>
  <si>
    <t>Ret AVLT delayed recall - % Errors</t>
  </si>
  <si>
    <t>Rey AVLT - % Errors over 5 trials</t>
  </si>
  <si>
    <t>Pietz et al 1998</t>
  </si>
  <si>
    <t>Fast Video Tracking-Level dist</t>
  </si>
  <si>
    <t>Fast Video Tracking task level distance</t>
  </si>
  <si>
    <t>Fast Video Tracking-Stability dist</t>
  </si>
  <si>
    <t>Fast Video Tracking task stability distance</t>
  </si>
  <si>
    <t>Long pins/ short pins pegboard-Time</t>
  </si>
  <si>
    <t>MLS Long pins/ short pins pegboard -  Time (sec.)</t>
  </si>
  <si>
    <t xml:space="preserve">MLS line following-Duration </t>
  </si>
  <si>
    <t xml:space="preserve">MLS line following duration </t>
  </si>
  <si>
    <t>MLS line following-N err</t>
  </si>
  <si>
    <t>MLS line following N Error</t>
  </si>
  <si>
    <t xml:space="preserve">MLS rotor circle-Duration </t>
  </si>
  <si>
    <t xml:space="preserve">MLS rotor circle duration </t>
  </si>
  <si>
    <t>MLS rotor circle-N err</t>
  </si>
  <si>
    <t>MLS rotor circle - N Error</t>
  </si>
  <si>
    <t>MLS steadiness-Duration</t>
  </si>
  <si>
    <t>MLS steadiness duration - Does not specify but assume seconds</t>
  </si>
  <si>
    <t>MLS steadiness-N err</t>
  </si>
  <si>
    <t>MLS steadiness N Error</t>
  </si>
  <si>
    <t>Slow Video Tracking-Level dist</t>
  </si>
  <si>
    <t>Slow Video Tracking task level distance</t>
  </si>
  <si>
    <t>Slow Video Tracking-Stability dist</t>
  </si>
  <si>
    <t>Slow Video Tracking task stability distance</t>
  </si>
  <si>
    <t>Pilotto et al 2021</t>
  </si>
  <si>
    <t xml:space="preserve"> D2 Test</t>
  </si>
  <si>
    <t>??</t>
  </si>
  <si>
    <t xml:space="preserve"> Naming-accuracy</t>
  </si>
  <si>
    <t>Boston Naming</t>
  </si>
  <si>
    <t>Baxt ideomotor apraxia</t>
  </si>
  <si>
    <t>Recall-Raw score</t>
  </si>
  <si>
    <t>Story recall</t>
  </si>
  <si>
    <t>Trail making B -Time (sec.)</t>
  </si>
  <si>
    <t>Token test</t>
  </si>
  <si>
    <t>Ris et al 1994</t>
  </si>
  <si>
    <t>ADM visual search-RT</t>
  </si>
  <si>
    <t>Attention Diagnostic Method - ADM visual search; unaffected siblings - Time (sec.)</t>
  </si>
  <si>
    <t xml:space="preserve"> Rey complex figure raw scores - N correct vs siblings </t>
  </si>
  <si>
    <t>P-ass-VL - % Errors</t>
  </si>
  <si>
    <t>difference scores are available</t>
  </si>
  <si>
    <t>WAIS - Full scale</t>
  </si>
  <si>
    <t>Smith et al 1996-High Phe</t>
  </si>
  <si>
    <t>Face closure</t>
  </si>
  <si>
    <t>number correct</t>
  </si>
  <si>
    <t>Face memory</t>
  </si>
  <si>
    <t>standard score</t>
  </si>
  <si>
    <t>N err</t>
  </si>
  <si>
    <t>Petrides &amp; Milner, 1982</t>
  </si>
  <si>
    <t>Story recall-delayed</t>
  </si>
  <si>
    <t>Unit recalled</t>
  </si>
  <si>
    <t>Story recall-immediate</t>
  </si>
  <si>
    <t>Smith et al 1996-Low Phe</t>
  </si>
  <si>
    <t>Smith et al 2000</t>
  </si>
  <si>
    <t xml:space="preserve">Full scale IQ </t>
  </si>
  <si>
    <t>Doesn’t say which measure</t>
  </si>
  <si>
    <t>Line bisection</t>
  </si>
  <si>
    <t>distance from midpoint</t>
  </si>
  <si>
    <t>number of words generated (F, A, S)</t>
  </si>
  <si>
    <t>point to a different picture in a grid across presentations of the grid (which could have 6,8,10. or 12 pictures)</t>
  </si>
  <si>
    <t>percentage perseverative errors</t>
  </si>
  <si>
    <t>Number of categories</t>
  </si>
  <si>
    <t>number of categories</t>
  </si>
  <si>
    <t>Delayed recall total words across 3 trials</t>
  </si>
  <si>
    <t>Immediate recall total words across 3 trials</t>
  </si>
  <si>
    <t>recall 12 unrelated words</t>
  </si>
  <si>
    <t>St James et al 1993</t>
  </si>
  <si>
    <t>not reported</t>
  </si>
  <si>
    <t>Stemerdink et al 1999</t>
  </si>
  <si>
    <t>Recency judgment test</t>
  </si>
  <si>
    <t>Which of two pictures occurred more recently in the sequence.  Participants had to look at a series of drawings presented one
at a time in the center of the screen. From time to time a test item appeared bear-
ing two drawings with a question mark between them; the participant had to in-
dicate which of these drawings he or she saw more recently.</t>
  </si>
  <si>
    <t>percentage perseverative Errors</t>
  </si>
  <si>
    <t>Stemerdink et al 2000</t>
  </si>
  <si>
    <t>Recognition test</t>
  </si>
  <si>
    <t>has this picture been presented before</t>
  </si>
  <si>
    <t>Trimarco et al 2020</t>
  </si>
  <si>
    <t>Animal sorting</t>
  </si>
  <si>
    <t>A card-sorting task assessing concept formation</t>
  </si>
  <si>
    <t>From NespyII</t>
  </si>
  <si>
    <t>Auditory Attention</t>
  </si>
  <si>
    <t>Pointing to stimuli according to consistent and inconsistent examiner cues;</t>
  </si>
  <si>
    <t>Clocks</t>
  </si>
  <si>
    <t>Recognizing time on analog clocks and costructing clock faces
time
on
analog
clocks,
and
constructing
clock
faces</t>
  </si>
  <si>
    <t>Inhibition subtest combined</t>
  </si>
  <si>
    <t>Inhibition involves rapid opposite naming of
shapes (saying square when circle, saying circle
when square) or arrows (say up when pointing
down, say down when pointing up).</t>
  </si>
  <si>
    <t>scaled score (norm=10;3)</t>
  </si>
  <si>
    <t xml:space="preserve">Switching combined </t>
  </si>
  <si>
    <t>The child listens to a series of words and touches the
appropriate circle (matching or contrasting) when he or she hears a
target word (description in paper??) Switching
involves rapidly saying the correct shape or
arrow direction if the object is colored white, or
saying the opposite shape or arrow direction if</t>
  </si>
  <si>
    <t xml:space="preserve">WM index </t>
  </si>
  <si>
    <t>Ullrich et al 1996</t>
  </si>
  <si>
    <t>Sonnevitle Visual Attention Task - Dot Pattern Exercise t1 - RT in sec</t>
  </si>
  <si>
    <t>Combined Description Score</t>
  </si>
  <si>
    <t>Confirmed correct sort</t>
  </si>
  <si>
    <t>Design Fluency</t>
  </si>
  <si>
    <t>Design fluency empy dots</t>
  </si>
  <si>
    <t>Design fluency filled dots</t>
  </si>
  <si>
    <t>Percent Design Accuracy</t>
  </si>
  <si>
    <t>Free Sorting Description</t>
  </si>
  <si>
    <t>Sort Recognition Description</t>
  </si>
  <si>
    <t>TMT Letter sequencing</t>
  </si>
  <si>
    <t>TMT Number sequencing</t>
  </si>
  <si>
    <t>TMT Numbe/letterr sequencing</t>
  </si>
  <si>
    <t>Total achievement</t>
  </si>
  <si>
    <t xml:space="preserve">Visual Scanning </t>
  </si>
  <si>
    <t>part of the TMT of D-KEFS identify all numbers '3' in a matrix</t>
  </si>
  <si>
    <t>Weglage et al 1995</t>
  </si>
  <si>
    <t xml:space="preserve"> Follow line </t>
  </si>
  <si>
    <t>F (number of mistakes)</t>
  </si>
  <si>
    <t xml:space="preserve">Aiming </t>
  </si>
  <si>
    <t>Culture fair intelligence test</t>
  </si>
  <si>
    <t>Rotor task</t>
  </si>
  <si>
    <t>z score (number of mistakes)</t>
  </si>
  <si>
    <t>stardized From WISC-R</t>
  </si>
  <si>
    <t xml:space="preserve">Steadiness </t>
  </si>
  <si>
    <t>Weglage et al 2013</t>
  </si>
  <si>
    <t>D2 Test - N correct - mistakes</t>
  </si>
  <si>
    <t xml:space="preserve">Within 10 weeks </t>
  </si>
  <si>
    <t>TMT (ZVT); only  T1</t>
  </si>
  <si>
    <t>WAIS - Full scale baseline</t>
  </si>
  <si>
    <t>Matrix Reasoning</t>
  </si>
  <si>
    <t>Non-verbal</t>
  </si>
  <si>
    <t>CWIT  stim correct in 45 sec</t>
  </si>
  <si>
    <t xml:space="preserve">Stroop-neutral - colour naiming </t>
  </si>
  <si>
    <t>Stroop-neutral -word reading</t>
  </si>
  <si>
    <t xml:space="preserve">Vocabulary </t>
  </si>
  <si>
    <t>Verbal</t>
  </si>
  <si>
    <t>Correct responses</t>
  </si>
  <si>
    <t>CVLT - Trial 5 (words correct)</t>
  </si>
  <si>
    <t>CVLT -Trial 5 semantic cluster ratio</t>
  </si>
  <si>
    <t>CVLT -Short-delay free recall (words correct)</t>
  </si>
  <si>
    <t>CVLT -Long-delay free recall (words correct)</t>
  </si>
  <si>
    <t>Wiersema et al 2005</t>
  </si>
  <si>
    <t xml:space="preserve">early </t>
  </si>
  <si>
    <t>Continously</t>
  </si>
  <si>
    <t>Residuals (USE?)</t>
  </si>
  <si>
    <t>Correct</t>
  </si>
  <si>
    <t>Perseverative responses</t>
  </si>
  <si>
    <t>Nonperseverative Errors</t>
  </si>
  <si>
    <t>Percentage of conceptual level responses</t>
  </si>
  <si>
    <t>Trials 1st category</t>
  </si>
  <si>
    <t>Failure t o maintain set</t>
  </si>
  <si>
    <t>Learning to learn</t>
  </si>
  <si>
    <t>Trials</t>
  </si>
  <si>
    <t>Stage reached</t>
  </si>
  <si>
    <t>ID Errors</t>
  </si>
  <si>
    <t>intra-dimention</t>
  </si>
  <si>
    <t>ID trials</t>
  </si>
  <si>
    <t>ED Errors</t>
  </si>
  <si>
    <t>external dimention</t>
  </si>
  <si>
    <t xml:space="preserve">ED trials </t>
  </si>
  <si>
    <t>Reversal Errors</t>
  </si>
  <si>
    <t>Extra attempls</t>
  </si>
  <si>
    <t>CVLT -Semantic Cluster Ratio</t>
  </si>
  <si>
    <t>Clusters</t>
  </si>
  <si>
    <t>Switches</t>
  </si>
  <si>
    <t>Words in clusters</t>
  </si>
  <si>
    <t>WISC/WAIS</t>
  </si>
  <si>
    <t>NoSD</t>
  </si>
  <si>
    <t>FSIQ</t>
  </si>
  <si>
    <t xml:space="preserve"> Function matching -  % correct</t>
  </si>
  <si>
    <t>questionable as a reasoning task</t>
  </si>
  <si>
    <t xml:space="preserve"> Function matching - Speed per item</t>
  </si>
  <si>
    <t xml:space="preserve">Function matching - Speed per item </t>
  </si>
  <si>
    <t>Function matching;  -  % correct</t>
  </si>
  <si>
    <t>Speed</t>
  </si>
  <si>
    <t>Duarte et al 2023</t>
  </si>
  <si>
    <t>Auditory attention (selective attention)</t>
  </si>
  <si>
    <t>raw scores</t>
  </si>
  <si>
    <t>The developmental neuropsychological battery (NEPSY-II); subtests of the Attention and executive functions domains</t>
  </si>
  <si>
    <t>Duarte not included because group includes PKU patients with lower Phe around 900 rather than &gt; 1200</t>
  </si>
  <si>
    <t>CPT - Omissions</t>
  </si>
  <si>
    <t>CPT - Commissions</t>
  </si>
  <si>
    <t>CPT - Variability</t>
  </si>
  <si>
    <t>Hit - SE</t>
  </si>
  <si>
    <t>Hit - Block Change</t>
  </si>
  <si>
    <t>SE</t>
  </si>
  <si>
    <t xml:space="preserve">Verbal memory and learning </t>
  </si>
  <si>
    <t>Children Auditory Verbal learning test -1st trial</t>
  </si>
  <si>
    <t>Minimum move solutions</t>
  </si>
  <si>
    <t>3-move problems</t>
  </si>
  <si>
    <t>N of move to complete</t>
  </si>
  <si>
    <t>4-move problems</t>
  </si>
  <si>
    <t>5-move problems</t>
  </si>
  <si>
    <t>Planning time</t>
  </si>
  <si>
    <t>Luna at al 2023</t>
  </si>
  <si>
    <t>Comprehension</t>
  </si>
  <si>
    <t>Subtest from WAIS-IV Spanish version</t>
  </si>
  <si>
    <t>Not all early treated</t>
  </si>
  <si>
    <t>Score</t>
  </si>
  <si>
    <t>" Note: raw scores are shown "</t>
  </si>
  <si>
    <t>Don't think this is raw score(span),looks high, but can't find out how this score was calculated</t>
  </si>
  <si>
    <t>Subtests from WAIS-IV Spanish version</t>
  </si>
  <si>
    <t>Processing speed</t>
  </si>
  <si>
    <t>Spanish version</t>
  </si>
  <si>
    <t>Incomplete figures subtest</t>
  </si>
  <si>
    <t>WAIS-IV Spanish version</t>
  </si>
  <si>
    <t>Information</t>
  </si>
  <si>
    <t xml:space="preserve">Matrix reasoning subtest </t>
  </si>
  <si>
    <t>F,A,S</t>
  </si>
  <si>
    <t>from Controlled Oral Word Association Test (COWAT)</t>
  </si>
  <si>
    <t>Puzzles subtest</t>
  </si>
  <si>
    <t>Copy accuracy</t>
  </si>
  <si>
    <t>Copy time</t>
  </si>
  <si>
    <t>Semantic fluency - N correct</t>
  </si>
  <si>
    <t>ANIMALS</t>
  </si>
  <si>
    <t xml:space="preserve">Similarities </t>
  </si>
  <si>
    <t>Stroop CW-INTERFERENCE</t>
  </si>
  <si>
    <t>Interference</t>
  </si>
  <si>
    <t>"Note: raw scores are shown" ?</t>
  </si>
  <si>
    <t>t-score?</t>
  </si>
  <si>
    <t>lower score = greater difficulty?</t>
  </si>
  <si>
    <t xml:space="preserve">Accuracy </t>
  </si>
  <si>
    <t xml:space="preserve">40 or less considered low, above 40 normal? </t>
  </si>
  <si>
    <t>Visual memory (ROCF)</t>
  </si>
  <si>
    <t>Recall - raw score</t>
  </si>
  <si>
    <t>3 min delay</t>
  </si>
  <si>
    <t>Vocabulary</t>
  </si>
  <si>
    <t>(lower = better)</t>
  </si>
  <si>
    <t>Last is the inhibition/switching trial, in which the patient is presented with a page containing the words ‚Äúred,‚Äù ‚Äúgreen,‚Äù and ‚Äúblue‚Äù written in red, green, or blue ink. Half of these words are enclosed within boxes. The patient is asked to say the color of the ink in which each word is printed (as in the third trial), but to read the word aloud (and not name the ink color) when a word appears inside a box, as quickly as he/she can without making mistakes.</t>
  </si>
  <si>
    <t>Incongruent condition Errors</t>
  </si>
  <si>
    <t>Naming the colour of words spelling a different colour</t>
  </si>
  <si>
    <t>replicate results</t>
  </si>
  <si>
    <t>Incongruent  condition RT</t>
  </si>
  <si>
    <t xml:space="preserve">Placebo 1st session - neutral errors </t>
  </si>
  <si>
    <t>Placebo 2nd session - difference neutral-incongruent Errors</t>
  </si>
  <si>
    <t>Sundermann et al 2011-Gr2</t>
  </si>
  <si>
    <t>Placebo 2nd session -incongruent cond RT</t>
  </si>
  <si>
    <t>Category Switching</t>
  </si>
  <si>
    <t>Category Switching Accuracy</t>
  </si>
  <si>
    <t>Weglage 1999; time 2</t>
  </si>
  <si>
    <t>1999 report of 1996  Phe and 1996 Phe aren't the same</t>
  </si>
  <si>
    <t>CVLT -Trial 1 (words correct)</t>
  </si>
  <si>
    <t>CVLT -Trial 1 semantic cluster ratio</t>
  </si>
  <si>
    <t>CVLT -List B (words correct)</t>
  </si>
  <si>
    <t>excluded</t>
  </si>
  <si>
    <t>Soleymani 2015</t>
  </si>
  <si>
    <t>WPPSI</t>
  </si>
  <si>
    <t>some late treated</t>
  </si>
  <si>
    <t>At diagnosis (diganosed at newborn screening)</t>
  </si>
  <si>
    <t>Feldmann 2019</t>
  </si>
  <si>
    <t>WISC &amp; WAIS</t>
  </si>
  <si>
    <t>Mild pku as controls</t>
  </si>
  <si>
    <t>include? Mild pku as controls</t>
  </si>
  <si>
    <t>Weglage 2000</t>
  </si>
  <si>
    <t>CFT-20</t>
  </si>
  <si>
    <t>DIABETIC CONTROLS</t>
  </si>
  <si>
    <t>Animals</t>
  </si>
  <si>
    <t>number in 60 sec</t>
  </si>
  <si>
    <t>total in 60 sec</t>
  </si>
  <si>
    <t>letters: R,A,S</t>
  </si>
  <si>
    <t>This subtest is designed to assess the ability to formulate basic concepts, to transfer those concepts into action (sort into categories), and to shift set from one concept to another. The child sorts cards into two groups of four cards each using various self-initiated sorting criteria.</t>
  </si>
  <si>
    <t>Digit span</t>
  </si>
  <si>
    <t>max 8</t>
  </si>
  <si>
    <t>IN-I (Inhibition)</t>
  </si>
  <si>
    <t>Inhibition</t>
  </si>
  <si>
    <t>can't figure out measure?? But low scores indicate "poor sustained attention, inhibition, or working memory" from NEPSY-II: A Developmental Neuropsychological Assessment, Second Edition</t>
  </si>
  <si>
    <t>IN-N (Naming)</t>
  </si>
  <si>
    <t>Naming</t>
  </si>
  <si>
    <t>Glass delta looks odd; Duarte not included because group includes PKU patients with lower Phe around 900 rather than &gt; 1200</t>
  </si>
  <si>
    <t>IN-S (Switching)</t>
  </si>
  <si>
    <t>Switching</t>
  </si>
  <si>
    <t>max 7</t>
  </si>
  <si>
    <t>Response set (auditory control and vigilence)</t>
  </si>
  <si>
    <t>Manti et al 2023</t>
  </si>
  <si>
    <t>Choice detection-acc</t>
  </si>
  <si>
    <t>Accuracy (max=64)</t>
  </si>
  <si>
    <t>At T0 (before resume strict diet)</t>
  </si>
  <si>
    <t>The participant is given 120 s to fill as many boxes as possible with a symbol corresponding to a number according to a key.</t>
  </si>
  <si>
    <t>difference looks very large - but this is what is reported</t>
  </si>
  <si>
    <t>Participants are asked to orally produce as many words as possible beginning with a specific letter. The test consists of three trials of 1 min each.</t>
  </si>
  <si>
    <t>articipants are asked to generate as many words as possible from a given semantic category (e.g., ‚Äúanimals‚Äù) within a limited time, usually 1 min. This requires planning an efficient search through the lexicon.</t>
  </si>
  <si>
    <t>Hayling sentence completion</t>
  </si>
  <si>
    <t>Accuracy (max=10)</t>
  </si>
  <si>
    <t>SD from De Felice et al 2018</t>
  </si>
  <si>
    <t>Understanding of metaphors</t>
  </si>
  <si>
    <t>accuracy measures (correct response rates) are taken.</t>
  </si>
  <si>
    <t>SD from De Felice et al 2018, Metaphor Picture?</t>
  </si>
  <si>
    <t>Continuous picture naming (corr. Max - 165)</t>
  </si>
  <si>
    <t>Nonword reading-accuracy</t>
  </si>
  <si>
    <t>Non-word reading (corr. Max = 40)</t>
  </si>
  <si>
    <t>used PKU SD</t>
  </si>
  <si>
    <t>Spelling</t>
  </si>
  <si>
    <t>Corr. Max = 30</t>
  </si>
  <si>
    <t>Word reading (corr. Max = 40)</t>
  </si>
  <si>
    <t>from Palermo et al 2017</t>
  </si>
  <si>
    <t>RVP</t>
  </si>
  <si>
    <t>Accuracy (% Errors)</t>
  </si>
  <si>
    <t>Immediate recall, corr. Max = 45</t>
  </si>
  <si>
    <t>Delayed recall, corr. Max = 9)</t>
  </si>
  <si>
    <t>Rey Immediate recall (Trial A1-A5, max = 75)</t>
  </si>
  <si>
    <t>Rey Delayed Recall (Trial A6, n=15)</t>
  </si>
  <si>
    <t>Grooved pegboard</t>
  </si>
  <si>
    <t>Speed (s)</t>
  </si>
  <si>
    <t>Accuracy (% of Errors)</t>
  </si>
  <si>
    <t>no accuracy in Romani 2020</t>
  </si>
  <si>
    <t>Choice detection-RT</t>
  </si>
  <si>
    <t>Detection w/distractors</t>
  </si>
  <si>
    <t>Feature search</t>
  </si>
  <si>
    <t>Corsi Span</t>
  </si>
  <si>
    <t>Accuracy (max=36)</t>
  </si>
  <si>
    <t>SD from Romani 2020</t>
  </si>
  <si>
    <t>Accuracy(max=64)</t>
  </si>
  <si>
    <r>
      <rPr>
        <b/>
        <sz val="11"/>
        <rFont val="Calibri"/>
        <family val="2"/>
      </rPr>
      <t xml:space="preserve">Func_ES_groupping  </t>
    </r>
    <r>
      <rPr>
        <sz val="11"/>
        <rFont val="Calibri"/>
        <family val="2"/>
      </rPr>
      <t>= ESs grouped according to size of impariment in adults as follows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</si>
</sst>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2" x14ac:knownFonts="1">
    <font>
      <sz val="12"/>
      <color theme="1"/>
      <name val="Aptos Narrow"/>
      <family val="2"/>
      <scheme val="minor"/>
    </font>
    <font>
      <b/>
      <sz val="9"/>
      <color rgb="FF000000"/>
      <name val="Tahoma"/>
      <family val="2"/>
    </font>
    <font>
      <sz val="9"/>
      <color rgb="FF000000"/>
      <name val="Tahoma"/>
      <family val="2"/>
    </font>
    <font>
      <sz val="11"/>
      <name val="Calibri"/>
      <family val="2"/>
    </font>
    <font>
      <b/>
      <sz val="11"/>
      <name val="Calibri"/>
      <family val="2"/>
    </font>
    <font>
      <i/>
      <sz val="11"/>
      <name val="Calibri"/>
      <family val="2"/>
    </font>
    <font>
      <b/>
      <sz val="11"/>
      <color theme="5" tint="-0.499984740745262"/>
      <name val="Calibri"/>
      <family val="2"/>
    </font>
    <font>
      <sz val="12"/>
      <color theme="1"/>
      <name val="Calibri"/>
      <family val="2"/>
    </font>
    <font>
      <b/>
      <i/>
      <sz val="11"/>
      <name val="Calibri"/>
      <family val="2"/>
    </font>
    <font>
      <b/>
      <sz val="11"/>
      <color theme="4" tint="-0.249977111117893"/>
      <name val="Calibri"/>
      <family val="2"/>
    </font>
    <font>
      <b/>
      <i/>
      <sz val="11"/>
      <color theme="1"/>
      <name val="Calibri"/>
      <family val="2"/>
    </font>
    <font>
      <b/>
      <sz val="11"/>
      <color theme="1"/>
      <name val="Calibri"/>
      <family val="2"/>
    </font>
    <font>
      <i/>
      <sz val="11"/>
      <color theme="1"/>
      <name val="Calibri"/>
      <family val="2"/>
    </font>
    <font>
      <sz val="11"/>
      <color theme="4" tint="-0.249977111117893"/>
      <name val="Calibri"/>
      <family val="2"/>
    </font>
    <font>
      <sz val="11"/>
      <color theme="5" tint="-0.499984740745262"/>
      <name val="Calibri"/>
      <family val="2"/>
    </font>
    <font>
      <sz val="11"/>
      <color rgb="FF181717"/>
      <name val="Calibri"/>
      <family val="2"/>
    </font>
    <font>
      <sz val="11"/>
      <color rgb="FF000000"/>
      <name val="Calibri"/>
      <family val="2"/>
    </font>
    <font>
      <b/>
      <sz val="11"/>
      <color rgb="FF181717"/>
      <name val="Calibri"/>
      <family val="2"/>
    </font>
    <font>
      <i/>
      <sz val="11"/>
      <color rgb="FF000000"/>
      <name val="Calibri"/>
      <family val="2"/>
    </font>
    <font>
      <b/>
      <sz val="11"/>
      <color rgb="FF000000"/>
      <name val="Calibri"/>
      <family val="2"/>
    </font>
    <font>
      <sz val="11"/>
      <color rgb="FF0070C0"/>
      <name val="Calibri"/>
      <family val="2"/>
    </font>
    <font>
      <sz val="11"/>
      <color rgb="FF1F1F1F"/>
      <name val="Calibri"/>
      <family val="2"/>
    </font>
  </fonts>
  <fills count="6">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5" tint="0.79998168889431442"/>
        <bgColor indexed="64"/>
      </patternFill>
    </fill>
    <fill>
      <patternFill patternType="solid">
        <fgColor rgb="FFFFFFCC"/>
        <bgColor indexed="64"/>
      </patternFill>
    </fill>
  </fills>
  <borders count="6">
    <border>
      <left/>
      <right/>
      <top/>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s>
  <cellStyleXfs count="1">
    <xf numFmtId="0" fontId="0" fillId="0" borderId="0"/>
  </cellStyleXfs>
  <cellXfs count="248">
    <xf numFmtId="0" fontId="0" fillId="0" borderId="0" xfId="0"/>
    <xf numFmtId="0" fontId="3" fillId="0" borderId="0" xfId="0" applyFont="1" applyAlignment="1">
      <alignment horizontal="center"/>
    </xf>
    <xf numFmtId="0" fontId="3" fillId="0" borderId="1" xfId="0" applyFont="1" applyBorder="1" applyAlignment="1">
      <alignment horizontal="center"/>
    </xf>
    <xf numFmtId="0" fontId="3" fillId="0" borderId="1" xfId="0" applyFont="1" applyBorder="1" applyAlignment="1">
      <alignment horizontal="center" wrapText="1"/>
    </xf>
    <xf numFmtId="0" fontId="4" fillId="0" borderId="1" xfId="0" applyFont="1" applyBorder="1" applyAlignment="1">
      <alignment horizontal="center"/>
    </xf>
    <xf numFmtId="1" fontId="3" fillId="0" borderId="1" xfId="0" applyNumberFormat="1" applyFont="1" applyBorder="1" applyAlignment="1">
      <alignment horizontal="center" wrapText="1"/>
    </xf>
    <xf numFmtId="1" fontId="5" fillId="0" borderId="1" xfId="0" applyNumberFormat="1" applyFont="1" applyBorder="1" applyAlignment="1">
      <alignment horizontal="center" wrapText="1"/>
    </xf>
    <xf numFmtId="0" fontId="4" fillId="0" borderId="2"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xf numFmtId="0" fontId="6" fillId="0" borderId="1" xfId="0" applyFont="1" applyBorder="1" applyAlignment="1">
      <alignment horizontal="center" wrapText="1"/>
    </xf>
    <xf numFmtId="0" fontId="7" fillId="0" borderId="0" xfId="0" applyFont="1" applyAlignment="1">
      <alignment horizontal="center"/>
    </xf>
    <xf numFmtId="0" fontId="4" fillId="0" borderId="0" xfId="0" applyFont="1" applyAlignment="1">
      <alignment horizontal="center" wrapText="1"/>
    </xf>
    <xf numFmtId="0" fontId="7" fillId="0" borderId="0" xfId="0" applyFont="1" applyAlignment="1">
      <alignment horizontal="center" vertical="center"/>
    </xf>
    <xf numFmtId="0" fontId="3" fillId="0" borderId="0" xfId="0" applyFont="1" applyAlignment="1">
      <alignment horizontal="center" wrapText="1"/>
    </xf>
    <xf numFmtId="164" fontId="4" fillId="0" borderId="1" xfId="0" applyNumberFormat="1" applyFont="1" applyBorder="1" applyAlignment="1">
      <alignment horizontal="center"/>
    </xf>
    <xf numFmtId="164" fontId="8" fillId="0" borderId="1" xfId="0" applyNumberFormat="1" applyFont="1" applyBorder="1" applyAlignment="1">
      <alignment horizontal="center"/>
    </xf>
    <xf numFmtId="1" fontId="5" fillId="0" borderId="0" xfId="0" applyNumberFormat="1" applyFont="1" applyAlignment="1">
      <alignment horizontal="center" wrapText="1"/>
    </xf>
    <xf numFmtId="0" fontId="4" fillId="0" borderId="0" xfId="0" applyFont="1" applyAlignment="1">
      <alignment horizontal="center"/>
    </xf>
    <xf numFmtId="0" fontId="4" fillId="0" borderId="0" xfId="0" applyFont="1" applyAlignment="1">
      <alignment horizontal="center" wrapText="1"/>
    </xf>
    <xf numFmtId="0" fontId="6" fillId="0" borderId="0" xfId="0" applyFont="1" applyAlignment="1">
      <alignment horizontal="center" wrapText="1"/>
    </xf>
    <xf numFmtId="0" fontId="9" fillId="0" borderId="1" xfId="0" applyFont="1" applyBorder="1" applyAlignment="1">
      <alignment horizontal="center"/>
    </xf>
    <xf numFmtId="0" fontId="9" fillId="0" borderId="0" xfId="0" applyFont="1" applyAlignment="1">
      <alignment horizontal="center"/>
    </xf>
    <xf numFmtId="0" fontId="4" fillId="0" borderId="0" xfId="0" applyFont="1" applyAlignment="1">
      <alignment horizontal="center" vertical="center" wrapText="1"/>
    </xf>
    <xf numFmtId="0" fontId="4" fillId="0" borderId="3" xfId="0" applyFont="1" applyBorder="1" applyAlignment="1">
      <alignment horizontal="center" vertical="center" wrapText="1"/>
    </xf>
    <xf numFmtId="164" fontId="4" fillId="0" borderId="4" xfId="0" applyNumberFormat="1" applyFont="1" applyBorder="1" applyAlignment="1">
      <alignment horizontal="center" vertical="center" wrapText="1"/>
    </xf>
    <xf numFmtId="164" fontId="8" fillId="0" borderId="4" xfId="0" applyNumberFormat="1" applyFont="1" applyBorder="1" applyAlignment="1">
      <alignment horizontal="center" vertical="center" wrapText="1"/>
    </xf>
    <xf numFmtId="0" fontId="9" fillId="0" borderId="5" xfId="0" applyFont="1" applyBorder="1" applyAlignment="1">
      <alignment horizontal="center" vertical="center" wrapText="1"/>
    </xf>
    <xf numFmtId="1" fontId="4" fillId="0" borderId="2" xfId="0" applyNumberFormat="1" applyFont="1" applyBorder="1" applyAlignment="1">
      <alignment horizontal="center" vertical="center" wrapText="1"/>
    </xf>
    <xf numFmtId="1" fontId="8" fillId="0" borderId="2" xfId="0" applyNumberFormat="1" applyFont="1" applyBorder="1" applyAlignment="1">
      <alignment horizontal="center" vertical="center" wrapText="1"/>
    </xf>
    <xf numFmtId="164" fontId="4" fillId="0" borderId="2" xfId="0" applyNumberFormat="1" applyFont="1" applyBorder="1" applyAlignment="1">
      <alignment horizontal="center" vertical="center" wrapText="1"/>
    </xf>
    <xf numFmtId="0" fontId="10" fillId="0" borderId="2" xfId="0" applyFont="1" applyBorder="1" applyAlignment="1">
      <alignment horizontal="center" vertical="center" wrapText="1"/>
    </xf>
    <xf numFmtId="0" fontId="9" fillId="0" borderId="2" xfId="0" applyFont="1" applyBorder="1" applyAlignment="1">
      <alignment horizontal="center" vertical="center" wrapText="1"/>
    </xf>
    <xf numFmtId="0" fontId="4" fillId="0" borderId="4" xfId="0" applyFont="1" applyBorder="1" applyAlignment="1">
      <alignment horizontal="center" vertical="center" wrapText="1"/>
    </xf>
    <xf numFmtId="0" fontId="6" fillId="0" borderId="4" xfId="0" applyFont="1" applyBorder="1" applyAlignment="1">
      <alignment horizontal="center" vertical="center" wrapText="1"/>
    </xf>
    <xf numFmtId="0" fontId="6" fillId="0" borderId="0" xfId="0" applyFont="1" applyAlignment="1">
      <alignment horizontal="center" vertical="center" wrapText="1"/>
    </xf>
    <xf numFmtId="0" fontId="7" fillId="0" borderId="0" xfId="0" applyFont="1"/>
    <xf numFmtId="0" fontId="7" fillId="0" borderId="0" xfId="0" applyFont="1" applyAlignment="1">
      <alignment horizontal="center" wrapText="1"/>
    </xf>
    <xf numFmtId="165" fontId="11" fillId="0" borderId="0" xfId="0" applyNumberFormat="1" applyFont="1" applyAlignment="1">
      <alignment horizontal="center"/>
    </xf>
    <xf numFmtId="165" fontId="12" fillId="0" borderId="0" xfId="0" applyNumberFormat="1" applyFont="1" applyAlignment="1">
      <alignment horizontal="center"/>
    </xf>
    <xf numFmtId="165" fontId="13" fillId="0" borderId="0" xfId="0" applyNumberFormat="1" applyFont="1" applyAlignment="1">
      <alignment horizontal="center"/>
    </xf>
    <xf numFmtId="165" fontId="7" fillId="0" borderId="0" xfId="0" applyNumberFormat="1" applyFont="1" applyAlignment="1">
      <alignment horizontal="center"/>
    </xf>
    <xf numFmtId="165" fontId="3" fillId="0" borderId="0" xfId="0" applyNumberFormat="1" applyFont="1" applyAlignment="1">
      <alignment horizontal="center"/>
    </xf>
    <xf numFmtId="2" fontId="6" fillId="0" borderId="0" xfId="0" applyNumberFormat="1" applyFont="1" applyAlignment="1">
      <alignment horizontal="center" wrapText="1"/>
    </xf>
    <xf numFmtId="1" fontId="7" fillId="0" borderId="0" xfId="0" applyNumberFormat="1" applyFont="1" applyAlignment="1">
      <alignment horizontal="center"/>
    </xf>
    <xf numFmtId="0" fontId="7" fillId="3" borderId="0" xfId="0" applyFont="1" applyFill="1" applyAlignment="1">
      <alignment horizontal="center"/>
    </xf>
    <xf numFmtId="0" fontId="3" fillId="3" borderId="0" xfId="0" applyFont="1" applyFill="1" applyAlignment="1">
      <alignment horizontal="center" wrapText="1"/>
    </xf>
    <xf numFmtId="165" fontId="11" fillId="3" borderId="0" xfId="0" applyNumberFormat="1" applyFont="1" applyFill="1" applyAlignment="1">
      <alignment horizontal="center"/>
    </xf>
    <xf numFmtId="165" fontId="12" fillId="3" borderId="0" xfId="0" applyNumberFormat="1" applyFont="1" applyFill="1" applyAlignment="1">
      <alignment horizontal="center"/>
    </xf>
    <xf numFmtId="165" fontId="13" fillId="3" borderId="0" xfId="0" applyNumberFormat="1" applyFont="1" applyFill="1" applyAlignment="1">
      <alignment horizontal="center"/>
    </xf>
    <xf numFmtId="165" fontId="7" fillId="3" borderId="0" xfId="0" applyNumberFormat="1" applyFont="1" applyFill="1" applyAlignment="1">
      <alignment horizontal="center"/>
    </xf>
    <xf numFmtId="165" fontId="3" fillId="3" borderId="0" xfId="0" applyNumberFormat="1" applyFont="1" applyFill="1" applyAlignment="1">
      <alignment horizontal="center"/>
    </xf>
    <xf numFmtId="0" fontId="6" fillId="3" borderId="0" xfId="0" applyFont="1" applyFill="1" applyAlignment="1">
      <alignment horizontal="center"/>
    </xf>
    <xf numFmtId="1" fontId="7" fillId="3" borderId="0" xfId="0" applyNumberFormat="1" applyFont="1" applyFill="1" applyAlignment="1">
      <alignment horizontal="center"/>
    </xf>
    <xf numFmtId="0" fontId="3" fillId="3" borderId="0" xfId="0" applyFont="1" applyFill="1" applyAlignment="1">
      <alignment horizontal="center"/>
    </xf>
    <xf numFmtId="2" fontId="3" fillId="0" borderId="0" xfId="0" applyNumberFormat="1" applyFont="1" applyAlignment="1">
      <alignment horizontal="center"/>
    </xf>
    <xf numFmtId="2" fontId="3" fillId="0" borderId="0" xfId="0" applyNumberFormat="1" applyFont="1" applyAlignment="1">
      <alignment horizontal="center" wrapText="1"/>
    </xf>
    <xf numFmtId="165" fontId="4" fillId="0" borderId="0" xfId="0" applyNumberFormat="1" applyFont="1" applyAlignment="1">
      <alignment horizontal="center"/>
    </xf>
    <xf numFmtId="165" fontId="5" fillId="0" borderId="0" xfId="0" applyNumberFormat="1" applyFont="1" applyAlignment="1">
      <alignment horizontal="center"/>
    </xf>
    <xf numFmtId="165" fontId="3" fillId="0" borderId="0" xfId="0" applyNumberFormat="1" applyFont="1" applyAlignment="1">
      <alignment horizontal="center" wrapText="1"/>
    </xf>
    <xf numFmtId="165" fontId="5" fillId="0" borderId="0" xfId="0" applyNumberFormat="1" applyFont="1" applyAlignment="1">
      <alignment horizontal="center" wrapText="1"/>
    </xf>
    <xf numFmtId="2" fontId="14" fillId="0" borderId="0" xfId="0" applyNumberFormat="1" applyFont="1" applyAlignment="1">
      <alignment horizontal="center" wrapText="1"/>
    </xf>
    <xf numFmtId="164" fontId="3" fillId="0" borderId="0" xfId="0" applyNumberFormat="1" applyFont="1" applyAlignment="1">
      <alignment horizontal="center"/>
    </xf>
    <xf numFmtId="0" fontId="15" fillId="0" borderId="0" xfId="0" applyFont="1" applyAlignment="1">
      <alignment horizontal="center" wrapText="1"/>
    </xf>
    <xf numFmtId="165" fontId="4" fillId="0" borderId="0" xfId="0" quotePrefix="1" applyNumberFormat="1" applyFont="1" applyAlignment="1">
      <alignment horizontal="center"/>
    </xf>
    <xf numFmtId="165" fontId="5" fillId="0" borderId="0" xfId="0" quotePrefix="1" applyNumberFormat="1" applyFont="1" applyAlignment="1">
      <alignment horizontal="center"/>
    </xf>
    <xf numFmtId="165" fontId="12" fillId="0" borderId="0" xfId="0" quotePrefix="1" applyNumberFormat="1" applyFont="1" applyAlignment="1">
      <alignment horizontal="center"/>
    </xf>
    <xf numFmtId="164" fontId="3" fillId="0" borderId="0" xfId="0" quotePrefix="1" applyNumberFormat="1" applyFont="1" applyAlignment="1">
      <alignment horizontal="center"/>
    </xf>
    <xf numFmtId="0" fontId="3" fillId="0" borderId="0" xfId="0" quotePrefix="1" applyFont="1" applyAlignment="1">
      <alignment horizontal="center"/>
    </xf>
    <xf numFmtId="165" fontId="3" fillId="0" borderId="0" xfId="0" quotePrefix="1" applyNumberFormat="1" applyFont="1" applyAlignment="1">
      <alignment horizontal="center" wrapText="1"/>
    </xf>
    <xf numFmtId="165" fontId="5" fillId="0" borderId="0" xfId="0" quotePrefix="1" applyNumberFormat="1" applyFont="1" applyAlignment="1">
      <alignment horizontal="center" wrapText="1"/>
    </xf>
    <xf numFmtId="0" fontId="3" fillId="0" borderId="0" xfId="0" quotePrefix="1" applyFont="1" applyAlignment="1">
      <alignment horizontal="center" wrapText="1"/>
    </xf>
    <xf numFmtId="0" fontId="16" fillId="0" borderId="0" xfId="0" applyFont="1" applyAlignment="1">
      <alignment horizontal="center"/>
    </xf>
    <xf numFmtId="2" fontId="7" fillId="0" borderId="0" xfId="0" applyNumberFormat="1" applyFont="1" applyAlignment="1">
      <alignment horizontal="center"/>
    </xf>
    <xf numFmtId="165" fontId="4" fillId="0" borderId="0" xfId="0" applyNumberFormat="1" applyFont="1" applyAlignment="1">
      <alignment horizontal="center" wrapText="1"/>
    </xf>
    <xf numFmtId="2" fontId="6" fillId="3" borderId="0" xfId="0" applyNumberFormat="1" applyFont="1" applyFill="1" applyAlignment="1">
      <alignment horizontal="center" wrapText="1"/>
    </xf>
    <xf numFmtId="165" fontId="4" fillId="3" borderId="0" xfId="0" applyNumberFormat="1" applyFont="1" applyFill="1" applyAlignment="1">
      <alignment horizontal="center"/>
    </xf>
    <xf numFmtId="165" fontId="5" fillId="3" borderId="0" xfId="0" applyNumberFormat="1" applyFont="1" applyFill="1" applyAlignment="1">
      <alignment horizontal="center"/>
    </xf>
    <xf numFmtId="165" fontId="3" fillId="3" borderId="0" xfId="0" applyNumberFormat="1" applyFont="1" applyFill="1" applyAlignment="1">
      <alignment horizontal="center" wrapText="1"/>
    </xf>
    <xf numFmtId="165" fontId="5" fillId="3" borderId="0" xfId="0" applyNumberFormat="1" applyFont="1" applyFill="1" applyAlignment="1">
      <alignment horizontal="center" wrapText="1"/>
    </xf>
    <xf numFmtId="2" fontId="3" fillId="3" borderId="0" xfId="0" applyNumberFormat="1" applyFont="1" applyFill="1" applyAlignment="1">
      <alignment horizontal="center"/>
    </xf>
    <xf numFmtId="2" fontId="14" fillId="3" borderId="0" xfId="0" applyNumberFormat="1" applyFont="1" applyFill="1" applyAlignment="1">
      <alignment horizontal="center" wrapText="1"/>
    </xf>
    <xf numFmtId="164" fontId="7" fillId="3" borderId="0" xfId="0" applyNumberFormat="1" applyFont="1" applyFill="1" applyAlignment="1">
      <alignment horizontal="center"/>
    </xf>
    <xf numFmtId="164" fontId="3" fillId="3" borderId="0" xfId="0" applyNumberFormat="1" applyFont="1" applyFill="1" applyAlignment="1">
      <alignment horizontal="center"/>
    </xf>
    <xf numFmtId="0" fontId="7" fillId="3" borderId="0" xfId="0" applyFont="1" applyFill="1" applyAlignment="1">
      <alignment horizontal="center" vertical="center"/>
    </xf>
    <xf numFmtId="2" fontId="6" fillId="0" borderId="0" xfId="0" applyNumberFormat="1" applyFont="1" applyAlignment="1">
      <alignment horizontal="center" vertical="center"/>
    </xf>
    <xf numFmtId="165" fontId="16" fillId="0" borderId="0" xfId="0" applyNumberFormat="1" applyFont="1" applyAlignment="1">
      <alignment horizontal="center" vertical="center" wrapText="1"/>
    </xf>
    <xf numFmtId="164" fontId="7" fillId="0" borderId="0" xfId="0" applyNumberFormat="1" applyFont="1" applyAlignment="1">
      <alignment horizontal="center"/>
    </xf>
    <xf numFmtId="1" fontId="3" fillId="0" borderId="0" xfId="0" applyNumberFormat="1" applyFont="1" applyAlignment="1">
      <alignment horizontal="center" wrapText="1"/>
    </xf>
    <xf numFmtId="165" fontId="4" fillId="2" borderId="0" xfId="0" applyNumberFormat="1" applyFont="1" applyFill="1" applyAlignment="1">
      <alignment horizontal="center"/>
    </xf>
    <xf numFmtId="165" fontId="13" fillId="2" borderId="0" xfId="0" applyNumberFormat="1" applyFont="1" applyFill="1" applyAlignment="1">
      <alignment horizontal="center"/>
    </xf>
    <xf numFmtId="165" fontId="13" fillId="0" borderId="0" xfId="0" applyNumberFormat="1" applyFont="1" applyAlignment="1">
      <alignment horizontal="center" wrapText="1"/>
    </xf>
    <xf numFmtId="165" fontId="12" fillId="0" borderId="0" xfId="0" applyNumberFormat="1" applyFont="1" applyAlignment="1">
      <alignment horizontal="center" wrapText="1"/>
    </xf>
    <xf numFmtId="165" fontId="4" fillId="3" borderId="0" xfId="0" applyNumberFormat="1" applyFont="1" applyFill="1" applyAlignment="1">
      <alignment horizontal="center" wrapText="1"/>
    </xf>
    <xf numFmtId="165" fontId="13" fillId="3" borderId="0" xfId="0" applyNumberFormat="1" applyFont="1" applyFill="1" applyAlignment="1">
      <alignment horizontal="center" wrapText="1"/>
    </xf>
    <xf numFmtId="165" fontId="12" fillId="3" borderId="0" xfId="0" applyNumberFormat="1" applyFont="1" applyFill="1" applyAlignment="1">
      <alignment horizontal="center" wrapText="1"/>
    </xf>
    <xf numFmtId="0" fontId="3" fillId="3" borderId="0" xfId="0" quotePrefix="1" applyFont="1" applyFill="1" applyAlignment="1">
      <alignment horizontal="center" wrapText="1"/>
    </xf>
    <xf numFmtId="165" fontId="7" fillId="0" borderId="0" xfId="0" applyNumberFormat="1" applyFont="1" applyAlignment="1">
      <alignment horizontal="center" vertical="center"/>
    </xf>
    <xf numFmtId="0" fontId="5" fillId="0" borderId="0" xfId="0" applyFont="1" applyAlignment="1">
      <alignment horizontal="center"/>
    </xf>
    <xf numFmtId="165" fontId="7" fillId="3" borderId="0" xfId="0" applyNumberFormat="1" applyFont="1" applyFill="1" applyAlignment="1">
      <alignment horizontal="center" vertical="center"/>
    </xf>
    <xf numFmtId="166" fontId="7" fillId="0" borderId="0" xfId="0" applyNumberFormat="1" applyFont="1" applyAlignment="1">
      <alignment horizontal="center"/>
    </xf>
    <xf numFmtId="2" fontId="11" fillId="0" borderId="0" xfId="0" applyNumberFormat="1" applyFont="1" applyAlignment="1">
      <alignment horizontal="center"/>
    </xf>
    <xf numFmtId="1" fontId="3" fillId="0" borderId="0" xfId="0" quotePrefix="1" applyNumberFormat="1" applyFont="1" applyAlignment="1">
      <alignment horizontal="center"/>
    </xf>
    <xf numFmtId="0" fontId="15" fillId="0" borderId="0" xfId="0" applyFont="1" applyAlignment="1">
      <alignment horizontal="center" vertical="center" wrapText="1"/>
    </xf>
    <xf numFmtId="164" fontId="5" fillId="0" borderId="0" xfId="0" applyNumberFormat="1" applyFont="1" applyAlignment="1">
      <alignment horizontal="center"/>
    </xf>
    <xf numFmtId="0" fontId="15" fillId="3" borderId="0" xfId="0" applyFont="1" applyFill="1" applyAlignment="1">
      <alignment horizontal="center" vertical="center" wrapText="1"/>
    </xf>
    <xf numFmtId="2" fontId="6" fillId="3" borderId="0" xfId="0" quotePrefix="1" applyNumberFormat="1" applyFont="1" applyFill="1" applyAlignment="1">
      <alignment horizontal="center" wrapText="1"/>
    </xf>
    <xf numFmtId="164" fontId="11" fillId="3" borderId="0" xfId="0" applyNumberFormat="1" applyFont="1" applyFill="1" applyAlignment="1">
      <alignment horizontal="center"/>
    </xf>
    <xf numFmtId="166" fontId="12" fillId="3" borderId="0" xfId="0" applyNumberFormat="1" applyFont="1" applyFill="1" applyAlignment="1">
      <alignment horizontal="center"/>
    </xf>
    <xf numFmtId="0" fontId="13" fillId="3" borderId="0" xfId="0" applyFont="1" applyFill="1" applyAlignment="1">
      <alignment horizontal="center"/>
    </xf>
    <xf numFmtId="2" fontId="7" fillId="3" borderId="0" xfId="0" applyNumberFormat="1" applyFont="1" applyFill="1" applyAlignment="1">
      <alignment horizontal="center"/>
    </xf>
    <xf numFmtId="2" fontId="12" fillId="3" borderId="0" xfId="0" applyNumberFormat="1" applyFont="1" applyFill="1" applyAlignment="1">
      <alignment horizontal="center"/>
    </xf>
    <xf numFmtId="166" fontId="7" fillId="3" borderId="0" xfId="0" applyNumberFormat="1" applyFont="1" applyFill="1" applyAlignment="1">
      <alignment horizontal="center"/>
    </xf>
    <xf numFmtId="165" fontId="11" fillId="0" borderId="0" xfId="0" applyNumberFormat="1" applyFont="1" applyAlignment="1">
      <alignment horizontal="center" wrapText="1"/>
    </xf>
    <xf numFmtId="165" fontId="16" fillId="0" borderId="0" xfId="0" applyNumberFormat="1" applyFont="1" applyAlignment="1">
      <alignment horizontal="center" wrapText="1"/>
    </xf>
    <xf numFmtId="165" fontId="17" fillId="0" borderId="0" xfId="0" applyNumberFormat="1" applyFont="1" applyAlignment="1">
      <alignment horizontal="center" wrapText="1"/>
    </xf>
    <xf numFmtId="164" fontId="15" fillId="0" borderId="0" xfId="0" applyNumberFormat="1" applyFont="1" applyAlignment="1">
      <alignment horizontal="center" wrapText="1"/>
    </xf>
    <xf numFmtId="165" fontId="18" fillId="0" borderId="0" xfId="0" applyNumberFormat="1" applyFont="1" applyAlignment="1">
      <alignment horizontal="center" wrapText="1"/>
    </xf>
    <xf numFmtId="0" fontId="16" fillId="0" borderId="0" xfId="0" applyFont="1" applyAlignment="1">
      <alignment horizontal="center" vertical="center" wrapText="1"/>
    </xf>
    <xf numFmtId="0" fontId="16" fillId="0" borderId="0" xfId="0" applyFont="1" applyAlignment="1">
      <alignment horizontal="center" wrapText="1"/>
    </xf>
    <xf numFmtId="164" fontId="16" fillId="0" borderId="0" xfId="0" applyNumberFormat="1" applyFont="1" applyAlignment="1">
      <alignment horizontal="center"/>
    </xf>
    <xf numFmtId="164" fontId="16" fillId="0" borderId="0" xfId="0" applyNumberFormat="1" applyFont="1" applyAlignment="1">
      <alignment horizontal="center" wrapText="1"/>
    </xf>
    <xf numFmtId="165" fontId="19" fillId="0" borderId="0" xfId="0" applyNumberFormat="1" applyFont="1" applyAlignment="1">
      <alignment horizontal="center"/>
    </xf>
    <xf numFmtId="0" fontId="7" fillId="0" borderId="0" xfId="0" applyFont="1" applyAlignment="1">
      <alignment horizontal="center" vertical="center" wrapText="1"/>
    </xf>
    <xf numFmtId="165" fontId="11" fillId="0" borderId="0" xfId="0" applyNumberFormat="1" applyFont="1" applyAlignment="1">
      <alignment horizontal="center" vertical="center"/>
    </xf>
    <xf numFmtId="165" fontId="12" fillId="0" borderId="0" xfId="0" applyNumberFormat="1" applyFont="1" applyAlignment="1">
      <alignment horizontal="center" vertical="center"/>
    </xf>
    <xf numFmtId="165" fontId="13" fillId="0" borderId="0" xfId="0" applyNumberFormat="1" applyFont="1" applyAlignment="1">
      <alignment horizontal="center" vertical="center"/>
    </xf>
    <xf numFmtId="0" fontId="20" fillId="0" borderId="0" xfId="0" applyFont="1" applyAlignment="1">
      <alignment horizontal="center" vertical="center"/>
    </xf>
    <xf numFmtId="2" fontId="14" fillId="0" borderId="0" xfId="0" applyNumberFormat="1" applyFont="1" applyAlignment="1">
      <alignment horizontal="center" vertical="center" wrapText="1"/>
    </xf>
    <xf numFmtId="164" fontId="7" fillId="0" borderId="0" xfId="0" applyNumberFormat="1" applyFont="1" applyAlignment="1">
      <alignment horizontal="center" vertical="center"/>
    </xf>
    <xf numFmtId="165" fontId="16" fillId="3" borderId="0" xfId="0" applyNumberFormat="1" applyFont="1" applyFill="1" applyAlignment="1">
      <alignment horizontal="center" wrapText="1"/>
    </xf>
    <xf numFmtId="165" fontId="18" fillId="3" borderId="0" xfId="0" applyNumberFormat="1" applyFont="1" applyFill="1" applyAlignment="1">
      <alignment horizontal="center" wrapText="1"/>
    </xf>
    <xf numFmtId="0" fontId="16" fillId="3" borderId="0" xfId="0" applyFont="1" applyFill="1" applyAlignment="1">
      <alignment horizontal="center" wrapText="1"/>
    </xf>
    <xf numFmtId="164" fontId="16" fillId="3" borderId="0" xfId="0" applyNumberFormat="1" applyFont="1" applyFill="1" applyAlignment="1">
      <alignment horizontal="center"/>
    </xf>
    <xf numFmtId="164" fontId="16" fillId="3" borderId="0" xfId="0" applyNumberFormat="1" applyFont="1" applyFill="1" applyAlignment="1">
      <alignment horizontal="center" wrapText="1"/>
    </xf>
    <xf numFmtId="0" fontId="15" fillId="3" borderId="0" xfId="0" applyFont="1" applyFill="1" applyAlignment="1">
      <alignment horizontal="center" wrapText="1"/>
    </xf>
    <xf numFmtId="0" fontId="16" fillId="3" borderId="0" xfId="0" applyFont="1" applyFill="1" applyAlignment="1">
      <alignment horizontal="center" vertical="center" wrapText="1"/>
    </xf>
    <xf numFmtId="165" fontId="13" fillId="0" borderId="0" xfId="0" quotePrefix="1" applyNumberFormat="1" applyFont="1" applyAlignment="1">
      <alignment horizontal="center"/>
    </xf>
    <xf numFmtId="165" fontId="18" fillId="0" borderId="0" xfId="0" applyNumberFormat="1" applyFont="1" applyAlignment="1">
      <alignment horizontal="center" vertical="center" wrapText="1"/>
    </xf>
    <xf numFmtId="164" fontId="16" fillId="0" borderId="0" xfId="0" applyNumberFormat="1" applyFont="1" applyAlignment="1">
      <alignment horizontal="center" vertical="center"/>
    </xf>
    <xf numFmtId="164" fontId="16" fillId="0" borderId="0" xfId="0" applyNumberFormat="1" applyFont="1" applyAlignment="1">
      <alignment horizontal="center" vertical="center" wrapText="1"/>
    </xf>
    <xf numFmtId="165" fontId="10" fillId="3" borderId="0" xfId="0" applyNumberFormat="1" applyFont="1" applyFill="1" applyAlignment="1">
      <alignment horizontal="center"/>
    </xf>
    <xf numFmtId="165" fontId="13" fillId="3" borderId="0" xfId="0" quotePrefix="1" applyNumberFormat="1" applyFont="1" applyFill="1" applyAlignment="1">
      <alignment horizontal="center"/>
    </xf>
    <xf numFmtId="17" fontId="7" fillId="0" borderId="0" xfId="0" applyNumberFormat="1" applyFont="1" applyAlignment="1">
      <alignment horizontal="center"/>
    </xf>
    <xf numFmtId="165" fontId="17" fillId="3" borderId="0" xfId="0" applyNumberFormat="1" applyFont="1" applyFill="1" applyAlignment="1">
      <alignment horizontal="center" wrapText="1"/>
    </xf>
    <xf numFmtId="164" fontId="15" fillId="3" borderId="0" xfId="0" applyNumberFormat="1" applyFont="1" applyFill="1" applyAlignment="1">
      <alignment horizontal="center" wrapText="1"/>
    </xf>
    <xf numFmtId="165" fontId="17" fillId="0" borderId="0" xfId="0" applyNumberFormat="1" applyFont="1" applyAlignment="1">
      <alignment horizontal="center" vertical="center" wrapText="1"/>
    </xf>
    <xf numFmtId="164" fontId="15" fillId="0" borderId="0" xfId="0" applyNumberFormat="1" applyFont="1" applyAlignment="1">
      <alignment horizontal="center" vertical="center" wrapText="1"/>
    </xf>
    <xf numFmtId="165" fontId="13" fillId="0" borderId="0" xfId="0" quotePrefix="1" applyNumberFormat="1" applyFont="1" applyAlignment="1">
      <alignment horizontal="center" vertical="center"/>
    </xf>
    <xf numFmtId="165" fontId="13" fillId="3" borderId="0" xfId="0" applyNumberFormat="1" applyFont="1" applyFill="1" applyAlignment="1">
      <alignment horizontal="center" vertical="center"/>
    </xf>
    <xf numFmtId="165" fontId="16" fillId="3" borderId="0" xfId="0" applyNumberFormat="1" applyFont="1" applyFill="1" applyAlignment="1">
      <alignment horizontal="center" vertical="center" wrapText="1"/>
    </xf>
    <xf numFmtId="165" fontId="18" fillId="3" borderId="0" xfId="0" applyNumberFormat="1" applyFont="1" applyFill="1" applyAlignment="1">
      <alignment horizontal="center" vertical="center" wrapText="1"/>
    </xf>
    <xf numFmtId="2" fontId="6" fillId="3" borderId="0" xfId="0" applyNumberFormat="1" applyFont="1" applyFill="1" applyAlignment="1">
      <alignment horizontal="center" vertical="center" wrapText="1"/>
    </xf>
    <xf numFmtId="2" fontId="14" fillId="3" borderId="0" xfId="0" applyNumberFormat="1" applyFont="1" applyFill="1" applyAlignment="1">
      <alignment horizontal="center" vertical="center" wrapText="1"/>
    </xf>
    <xf numFmtId="164" fontId="16" fillId="3" borderId="0" xfId="0" applyNumberFormat="1" applyFont="1" applyFill="1" applyAlignment="1">
      <alignment horizontal="center" vertical="center"/>
    </xf>
    <xf numFmtId="0" fontId="16" fillId="0" borderId="0" xfId="0" applyFont="1" applyAlignment="1">
      <alignment horizontal="center" vertical="center"/>
    </xf>
    <xf numFmtId="165" fontId="7" fillId="0" borderId="0" xfId="0" quotePrefix="1" applyNumberFormat="1" applyFont="1" applyAlignment="1">
      <alignment horizontal="center"/>
    </xf>
    <xf numFmtId="0" fontId="7" fillId="0" borderId="0" xfId="0" quotePrefix="1" applyFont="1" applyAlignment="1">
      <alignment horizontal="center"/>
    </xf>
    <xf numFmtId="165" fontId="19" fillId="0" borderId="0" xfId="0" applyNumberFormat="1" applyFont="1" applyAlignment="1">
      <alignment horizontal="center" vertical="center"/>
    </xf>
    <xf numFmtId="165" fontId="11" fillId="3" borderId="0" xfId="0" applyNumberFormat="1" applyFont="1" applyFill="1" applyAlignment="1">
      <alignment horizontal="center" vertical="center"/>
    </xf>
    <xf numFmtId="165" fontId="12" fillId="3" borderId="0" xfId="0" applyNumberFormat="1" applyFont="1" applyFill="1" applyAlignment="1">
      <alignment horizontal="center" vertical="center"/>
    </xf>
    <xf numFmtId="164" fontId="7" fillId="3" borderId="0" xfId="0" applyNumberFormat="1" applyFont="1" applyFill="1" applyAlignment="1">
      <alignment horizontal="center" vertical="center"/>
    </xf>
    <xf numFmtId="0" fontId="4" fillId="3" borderId="0" xfId="0" applyFont="1" applyFill="1" applyAlignment="1">
      <alignment horizontal="center"/>
    </xf>
    <xf numFmtId="17" fontId="16" fillId="0" borderId="0" xfId="0" applyNumberFormat="1" applyFont="1" applyAlignment="1">
      <alignment horizontal="center" vertical="center" wrapText="1"/>
    </xf>
    <xf numFmtId="165" fontId="7" fillId="3" borderId="0" xfId="0" quotePrefix="1" applyNumberFormat="1" applyFont="1" applyFill="1" applyAlignment="1">
      <alignment horizontal="center"/>
    </xf>
    <xf numFmtId="165" fontId="12" fillId="3" borderId="0" xfId="0" quotePrefix="1" applyNumberFormat="1" applyFont="1" applyFill="1" applyAlignment="1">
      <alignment horizontal="center"/>
    </xf>
    <xf numFmtId="0" fontId="16" fillId="3" borderId="0" xfId="0" applyFont="1" applyFill="1" applyAlignment="1">
      <alignment horizontal="center" vertical="center"/>
    </xf>
    <xf numFmtId="0" fontId="5" fillId="3" borderId="0" xfId="0" applyFont="1" applyFill="1" applyAlignment="1">
      <alignment horizontal="center"/>
    </xf>
    <xf numFmtId="165" fontId="21" fillId="0" borderId="0" xfId="0" applyNumberFormat="1" applyFont="1" applyAlignment="1">
      <alignment horizontal="center"/>
    </xf>
    <xf numFmtId="165" fontId="7" fillId="0" borderId="0" xfId="0" quotePrefix="1" applyNumberFormat="1" applyFont="1" applyAlignment="1">
      <alignment horizontal="center" vertical="center"/>
    </xf>
    <xf numFmtId="165" fontId="12" fillId="0" borderId="0" xfId="0" quotePrefix="1" applyNumberFormat="1" applyFont="1" applyAlignment="1">
      <alignment horizontal="center" vertical="center"/>
    </xf>
    <xf numFmtId="0" fontId="11" fillId="3" borderId="0" xfId="0" applyFont="1" applyFill="1" applyAlignment="1">
      <alignment horizontal="center"/>
    </xf>
    <xf numFmtId="164" fontId="4" fillId="0" borderId="0" xfId="0" applyNumberFormat="1" applyFont="1" applyAlignment="1">
      <alignment horizontal="center" wrapText="1"/>
    </xf>
    <xf numFmtId="166" fontId="5" fillId="0" borderId="0" xfId="0" applyNumberFormat="1" applyFont="1" applyAlignment="1">
      <alignment horizontal="center" wrapText="1"/>
    </xf>
    <xf numFmtId="0" fontId="13" fillId="0" borderId="0" xfId="0" applyFont="1" applyAlignment="1">
      <alignment horizontal="center" wrapText="1"/>
    </xf>
    <xf numFmtId="2" fontId="5" fillId="0" borderId="0" xfId="0" applyNumberFormat="1" applyFont="1" applyAlignment="1">
      <alignment horizontal="center" wrapText="1"/>
    </xf>
    <xf numFmtId="166" fontId="12" fillId="0" borderId="0" xfId="0" applyNumberFormat="1" applyFont="1" applyAlignment="1">
      <alignment horizontal="center" wrapText="1"/>
    </xf>
    <xf numFmtId="0" fontId="3" fillId="4" borderId="0" xfId="0" applyFont="1" applyFill="1" applyAlignment="1">
      <alignment horizontal="center"/>
    </xf>
    <xf numFmtId="0" fontId="3" fillId="5" borderId="0" xfId="0" applyFont="1" applyFill="1" applyAlignment="1">
      <alignment horizontal="center"/>
    </xf>
    <xf numFmtId="0" fontId="3" fillId="5" borderId="0" xfId="0" applyFont="1" applyFill="1" applyAlignment="1">
      <alignment horizontal="center" wrapText="1"/>
    </xf>
    <xf numFmtId="0" fontId="7" fillId="5" borderId="0" xfId="0" applyFont="1" applyFill="1"/>
    <xf numFmtId="0" fontId="7" fillId="5" borderId="0" xfId="0" applyFont="1" applyFill="1" applyAlignment="1">
      <alignment horizontal="center"/>
    </xf>
    <xf numFmtId="165" fontId="4" fillId="5" borderId="0" xfId="0" applyNumberFormat="1" applyFont="1" applyFill="1" applyAlignment="1">
      <alignment horizontal="center"/>
    </xf>
    <xf numFmtId="165" fontId="5" fillId="5" borderId="0" xfId="0" applyNumberFormat="1" applyFont="1" applyFill="1" applyAlignment="1">
      <alignment horizontal="center"/>
    </xf>
    <xf numFmtId="165" fontId="13" fillId="5" borderId="0" xfId="0" applyNumberFormat="1" applyFont="1" applyFill="1" applyAlignment="1">
      <alignment horizontal="center"/>
    </xf>
    <xf numFmtId="165" fontId="3" fillId="5" borderId="0" xfId="0" applyNumberFormat="1" applyFont="1" applyFill="1" applyAlignment="1">
      <alignment horizontal="center" wrapText="1"/>
    </xf>
    <xf numFmtId="165" fontId="5" fillId="5" borderId="0" xfId="0" applyNumberFormat="1" applyFont="1" applyFill="1" applyAlignment="1">
      <alignment horizontal="center" wrapText="1"/>
    </xf>
    <xf numFmtId="165" fontId="12" fillId="5" borderId="0" xfId="0" applyNumberFormat="1" applyFont="1" applyFill="1" applyAlignment="1">
      <alignment horizontal="center"/>
    </xf>
    <xf numFmtId="2" fontId="3" fillId="5" borderId="0" xfId="0" applyNumberFormat="1" applyFont="1" applyFill="1" applyAlignment="1">
      <alignment horizontal="center"/>
    </xf>
    <xf numFmtId="2" fontId="6" fillId="5" borderId="0" xfId="0" applyNumberFormat="1" applyFont="1" applyFill="1" applyAlignment="1">
      <alignment horizontal="center" wrapText="1"/>
    </xf>
    <xf numFmtId="2" fontId="14" fillId="5" borderId="0" xfId="0" applyNumberFormat="1" applyFont="1" applyFill="1" applyAlignment="1">
      <alignment horizontal="center" wrapText="1"/>
    </xf>
    <xf numFmtId="1" fontId="7" fillId="5" borderId="0" xfId="0" applyNumberFormat="1" applyFont="1" applyFill="1" applyAlignment="1">
      <alignment horizontal="center"/>
    </xf>
    <xf numFmtId="164" fontId="3" fillId="5" borderId="0" xfId="0" applyNumberFormat="1" applyFont="1" applyFill="1" applyAlignment="1">
      <alignment horizontal="center"/>
    </xf>
    <xf numFmtId="0" fontId="7" fillId="5" borderId="0" xfId="0" applyFont="1" applyFill="1" applyAlignment="1">
      <alignment horizontal="center" vertical="center"/>
    </xf>
    <xf numFmtId="2" fontId="6" fillId="5" borderId="0" xfId="0" applyNumberFormat="1" applyFont="1" applyFill="1" applyAlignment="1">
      <alignment horizontal="center" vertical="center"/>
    </xf>
    <xf numFmtId="165" fontId="7" fillId="5" borderId="0" xfId="0" applyNumberFormat="1" applyFont="1" applyFill="1" applyAlignment="1">
      <alignment horizontal="center"/>
    </xf>
    <xf numFmtId="165" fontId="16" fillId="5" borderId="0" xfId="0" applyNumberFormat="1" applyFont="1" applyFill="1" applyAlignment="1">
      <alignment horizontal="center" vertical="center" wrapText="1"/>
    </xf>
    <xf numFmtId="0" fontId="3" fillId="5" borderId="0" xfId="0" quotePrefix="1" applyFont="1" applyFill="1" applyAlignment="1">
      <alignment horizontal="center"/>
    </xf>
    <xf numFmtId="165" fontId="3" fillId="5" borderId="0" xfId="0" applyNumberFormat="1" applyFont="1" applyFill="1" applyAlignment="1">
      <alignment horizontal="center"/>
    </xf>
    <xf numFmtId="164" fontId="7" fillId="5" borderId="0" xfId="0" applyNumberFormat="1" applyFont="1" applyFill="1" applyAlignment="1">
      <alignment horizontal="center"/>
    </xf>
    <xf numFmtId="2" fontId="7" fillId="5" borderId="0" xfId="0" applyNumberFormat="1" applyFont="1" applyFill="1" applyAlignment="1">
      <alignment horizontal="center"/>
    </xf>
    <xf numFmtId="165" fontId="11" fillId="5" borderId="0" xfId="0" applyNumberFormat="1" applyFont="1" applyFill="1" applyAlignment="1">
      <alignment horizontal="center"/>
    </xf>
    <xf numFmtId="0" fontId="4" fillId="0" borderId="3" xfId="0" applyFont="1" applyBorder="1" applyAlignment="1">
      <alignment vertical="center" wrapText="1"/>
    </xf>
    <xf numFmtId="0" fontId="15" fillId="0" borderId="0" xfId="0" applyFont="1" applyAlignment="1">
      <alignment vertical="center" wrapText="1"/>
    </xf>
    <xf numFmtId="0" fontId="7" fillId="0" borderId="0" xfId="0" applyFont="1" applyAlignment="1">
      <alignment vertical="center"/>
    </xf>
    <xf numFmtId="0" fontId="16" fillId="0" borderId="0" xfId="0" applyFont="1" applyAlignment="1">
      <alignment vertical="center"/>
    </xf>
    <xf numFmtId="0" fontId="7" fillId="3" borderId="0" xfId="0" applyFont="1" applyFill="1" applyAlignment="1">
      <alignment vertical="center"/>
    </xf>
    <xf numFmtId="0" fontId="7" fillId="0" borderId="0" xfId="0" applyFont="1" applyAlignment="1">
      <alignment vertical="center" wrapText="1"/>
    </xf>
    <xf numFmtId="0" fontId="16" fillId="0" borderId="0" xfId="0" applyFont="1" applyAlignment="1">
      <alignment vertical="center" wrapText="1"/>
    </xf>
    <xf numFmtId="0" fontId="3" fillId="0" borderId="1" xfId="0" applyFont="1" applyBorder="1" applyAlignment="1">
      <alignment vertical="center"/>
    </xf>
    <xf numFmtId="0" fontId="3" fillId="0" borderId="0" xfId="0" applyFont="1" applyAlignment="1">
      <alignment vertical="center"/>
    </xf>
    <xf numFmtId="0" fontId="7" fillId="5" borderId="0" xfId="0" applyFont="1" applyFill="1" applyAlignment="1">
      <alignment vertical="center"/>
    </xf>
    <xf numFmtId="0" fontId="7" fillId="2" borderId="0" xfId="0" applyFont="1" applyFill="1" applyAlignment="1">
      <alignment vertical="center"/>
    </xf>
    <xf numFmtId="0" fontId="15" fillId="3" borderId="0" xfId="0" applyFont="1" applyFill="1" applyAlignment="1">
      <alignment vertical="center" wrapText="1"/>
    </xf>
    <xf numFmtId="2" fontId="4" fillId="0" borderId="3" xfId="0" applyNumberFormat="1" applyFont="1" applyBorder="1" applyAlignment="1">
      <alignment vertical="center" wrapText="1"/>
    </xf>
    <xf numFmtId="2" fontId="4" fillId="0" borderId="0" xfId="0" applyNumberFormat="1" applyFont="1" applyAlignment="1">
      <alignment vertical="center" wrapText="1"/>
    </xf>
    <xf numFmtId="0" fontId="4" fillId="0" borderId="0" xfId="0" applyFont="1" applyAlignment="1">
      <alignment vertical="center" wrapText="1"/>
    </xf>
    <xf numFmtId="0" fontId="7" fillId="3" borderId="0" xfId="0" applyFont="1" applyFill="1" applyAlignment="1">
      <alignment vertical="center" wrapText="1"/>
    </xf>
    <xf numFmtId="0" fontId="15" fillId="0" borderId="0" xfId="0" applyFont="1" applyAlignment="1">
      <alignment vertical="center"/>
    </xf>
    <xf numFmtId="0" fontId="3" fillId="0" borderId="1" xfId="0" applyFont="1" applyBorder="1" applyAlignment="1">
      <alignment vertical="center" wrapText="1"/>
    </xf>
    <xf numFmtId="0" fontId="3" fillId="0" borderId="0" xfId="0" applyFont="1" applyAlignment="1">
      <alignment vertical="center" wrapText="1"/>
    </xf>
    <xf numFmtId="2" fontId="3" fillId="0" borderId="0" xfId="0" applyNumberFormat="1" applyFont="1" applyAlignment="1">
      <alignment vertical="center"/>
    </xf>
    <xf numFmtId="2" fontId="3" fillId="0" borderId="0" xfId="0" applyNumberFormat="1" applyFont="1" applyAlignment="1">
      <alignment vertical="center" wrapText="1"/>
    </xf>
    <xf numFmtId="2" fontId="7" fillId="0" borderId="0" xfId="0" applyNumberFormat="1" applyFont="1" applyAlignment="1">
      <alignment vertical="center" wrapText="1"/>
    </xf>
    <xf numFmtId="2" fontId="7" fillId="0" borderId="0" xfId="0" applyNumberFormat="1" applyFont="1" applyAlignment="1">
      <alignment vertical="center"/>
    </xf>
    <xf numFmtId="0" fontId="3" fillId="3" borderId="0" xfId="0" applyFont="1" applyFill="1" applyAlignment="1">
      <alignment vertical="center"/>
    </xf>
    <xf numFmtId="0" fontId="3" fillId="3" borderId="0" xfId="0" applyFont="1" applyFill="1" applyAlignment="1">
      <alignment vertical="center" wrapText="1"/>
    </xf>
    <xf numFmtId="0" fontId="3" fillId="5" borderId="0" xfId="0" applyFont="1" applyFill="1" applyAlignment="1">
      <alignment vertical="center" wrapText="1"/>
    </xf>
    <xf numFmtId="0" fontId="3" fillId="5" borderId="0" xfId="0" applyFont="1" applyFill="1" applyAlignment="1">
      <alignment vertical="center"/>
    </xf>
    <xf numFmtId="0" fontId="7" fillId="5" borderId="0" xfId="0" applyFont="1" applyFill="1" applyAlignment="1">
      <alignment vertical="center" wrapText="1"/>
    </xf>
    <xf numFmtId="1" fontId="3" fillId="5" borderId="0" xfId="0" applyNumberFormat="1" applyFont="1" applyFill="1" applyAlignment="1">
      <alignment vertical="center" wrapText="1"/>
    </xf>
    <xf numFmtId="2" fontId="3" fillId="3" borderId="0" xfId="0" applyNumberFormat="1" applyFont="1" applyFill="1" applyAlignment="1">
      <alignment vertical="center"/>
    </xf>
    <xf numFmtId="2" fontId="3" fillId="3" borderId="0" xfId="0" applyNumberFormat="1" applyFont="1" applyFill="1" applyAlignment="1">
      <alignment vertical="center" wrapText="1"/>
    </xf>
    <xf numFmtId="0" fontId="7" fillId="0" borderId="0" xfId="0" quotePrefix="1" applyFont="1" applyAlignment="1">
      <alignment vertical="center" wrapText="1"/>
    </xf>
    <xf numFmtId="0" fontId="16" fillId="3" borderId="0" xfId="0" applyFont="1" applyFill="1" applyAlignment="1">
      <alignment vertical="center"/>
    </xf>
    <xf numFmtId="0" fontId="11" fillId="0" borderId="0" xfId="0" applyFont="1" applyAlignment="1">
      <alignment vertical="center" wrapText="1"/>
    </xf>
    <xf numFmtId="16" fontId="7" fillId="0" borderId="0" xfId="0" quotePrefix="1" applyNumberFormat="1" applyFont="1" applyAlignment="1">
      <alignment vertical="center"/>
    </xf>
    <xf numFmtId="0" fontId="7" fillId="0" borderId="0" xfId="0" applyFont="1" applyFill="1" applyAlignment="1">
      <alignment horizontal="center"/>
    </xf>
    <xf numFmtId="0" fontId="7" fillId="0" borderId="0" xfId="0" applyFont="1" applyFill="1" applyAlignment="1">
      <alignment horizontal="center" vertical="center"/>
    </xf>
    <xf numFmtId="0" fontId="7" fillId="0" borderId="0" xfId="0" applyFont="1" applyFill="1"/>
    <xf numFmtId="0" fontId="7" fillId="0" borderId="0" xfId="0" applyFont="1" applyFill="1" applyAlignment="1">
      <alignment vertical="center"/>
    </xf>
    <xf numFmtId="0" fontId="7" fillId="0" borderId="0" xfId="0" applyFont="1" applyFill="1" applyAlignment="1">
      <alignment vertical="center" wrapText="1"/>
    </xf>
    <xf numFmtId="165" fontId="11" fillId="0" borderId="0" xfId="0" applyNumberFormat="1" applyFont="1" applyFill="1" applyAlignment="1">
      <alignment horizontal="center"/>
    </xf>
    <xf numFmtId="165" fontId="12" fillId="0" borderId="0" xfId="0" applyNumberFormat="1" applyFont="1" applyFill="1" applyAlignment="1">
      <alignment horizontal="center"/>
    </xf>
    <xf numFmtId="165" fontId="13" fillId="0" borderId="0" xfId="0" applyNumberFormat="1" applyFont="1" applyFill="1" applyAlignment="1">
      <alignment horizontal="center"/>
    </xf>
    <xf numFmtId="165" fontId="7" fillId="0" borderId="0" xfId="0" applyNumberFormat="1" applyFont="1" applyFill="1" applyAlignment="1">
      <alignment horizontal="center"/>
    </xf>
    <xf numFmtId="0" fontId="6" fillId="0" borderId="0" xfId="0" applyFont="1" applyFill="1" applyAlignment="1">
      <alignment horizontal="center"/>
    </xf>
    <xf numFmtId="1" fontId="7" fillId="0" borderId="0" xfId="0" applyNumberFormat="1" applyFont="1" applyFill="1" applyAlignment="1">
      <alignment horizontal="center"/>
    </xf>
  </cellXfs>
  <cellStyles count="1">
    <cellStyle name="Normal" xfId="0" builtinId="0"/>
  </cellStyles>
  <dxfs count="0"/>
  <tableStyles count="0" defaultTableStyle="TableStyleMedium2" defaultPivotStyle="PivotStyleLight16"/>
  <colors>
    <mruColors>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19</xdr:col>
      <xdr:colOff>27609</xdr:colOff>
      <xdr:row>390</xdr:row>
      <xdr:rowOff>46014</xdr:rowOff>
    </xdr:from>
    <xdr:ext cx="184731" cy="264560"/>
    <xdr:sp macro="" textlink="">
      <xdr:nvSpPr>
        <xdr:cNvPr id="2" name="TextBox 1">
          <a:extLst>
            <a:ext uri="{FF2B5EF4-FFF2-40B4-BE49-F238E27FC236}">
              <a16:creationId xmlns:a16="http://schemas.microsoft.com/office/drawing/2014/main" id="{D315B5E5-D7E0-5C4F-ABAD-242C563F9682}"/>
            </a:ext>
          </a:extLst>
        </xdr:cNvPr>
        <xdr:cNvSpPr txBox="1"/>
      </xdr:nvSpPr>
      <xdr:spPr>
        <a:xfrm>
          <a:off x="23700409" y="147780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persons/person.xml><?xml version="1.0" encoding="utf-8"?>
<personList xmlns="http://schemas.microsoft.com/office/spreadsheetml/2018/threadedcomments" xmlns:x="http://schemas.openxmlformats.org/spreadsheetml/2006/main">
  <person displayName="Cristina Romani" id="{DC74E602-D95B-0F4E-BFEC-8E22E0A2DE19}" userId="S::romanic@aston.ac.uk::a3a16437-885a-4c0b-ba78-420f03291a9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P172" dT="2025-01-09T22:03:56.36" personId="{DC74E602-D95B-0F4E-BFEC-8E22E0A2DE19}" id="{BBDDC94F-A11A-F84D-A904-5E18152FAA0F}">
    <text>Number from controls substituted instead of 0</text>
  </threadedComment>
  <threadedComment ref="P386" dT="2025-01-09T22:01:23.55" personId="{DC74E602-D95B-0F4E-BFEC-8E22E0A2DE19}" id="{AEDA87DF-750D-5B4D-A6ED-7407614E9286}">
    <text>Substituted instead of original 0</text>
  </threadedComment>
  <threadedComment ref="V386" dT="2025-01-09T22:01:43.04" personId="{DC74E602-D95B-0F4E-BFEC-8E22E0A2DE19}" id="{6B6E5412-E061-484F-BF0D-9CD38D5B40FF}">
    <text>Substituted instead of original 0</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FFBFC-5FC0-4549-A4E1-F6DCE6677EA8}">
  <dimension ref="A1:AO602"/>
  <sheetViews>
    <sheetView tabSelected="1" topLeftCell="G275" zoomScale="80" zoomScaleNormal="80" workbookViewId="0">
      <selection activeCell="B284" sqref="A284:XFD293"/>
    </sheetView>
  </sheetViews>
  <sheetFormatPr defaultColWidth="11" defaultRowHeight="15.75" x14ac:dyDescent="0.25"/>
  <cols>
    <col min="1" max="1" width="11" style="36" hidden="1" customWidth="1"/>
    <col min="2" max="2" width="15.875" style="36" customWidth="1"/>
    <col min="3" max="3" width="34.125" style="36" customWidth="1"/>
    <col min="4" max="4" width="24.125" style="36" hidden="1" customWidth="1"/>
    <col min="5" max="5" width="0.5" style="36" hidden="1" customWidth="1"/>
    <col min="6" max="6" width="42.875" style="36" customWidth="1"/>
    <col min="7" max="7" width="7.75" style="36" customWidth="1"/>
    <col min="8" max="8" width="28.75" style="36" customWidth="1"/>
    <col min="9" max="9" width="5.75" style="204" customWidth="1"/>
    <col min="10" max="10" width="6.375" style="204" customWidth="1"/>
    <col min="11" max="11" width="29.125" style="204" customWidth="1"/>
    <col min="12" max="12" width="31.125" style="204" customWidth="1"/>
    <col min="13" max="14" width="9.875" style="204" customWidth="1"/>
    <col min="15" max="18" width="11" style="36"/>
    <col min="19" max="19" width="10.75" style="36" customWidth="1"/>
    <col min="20" max="20" width="11" style="36" hidden="1" customWidth="1"/>
    <col min="21" max="23" width="11" style="36"/>
    <col min="24" max="24" width="2.75" style="36" customWidth="1"/>
    <col min="25" max="25" width="10.625" style="36" customWidth="1"/>
    <col min="26" max="26" width="11" style="36" hidden="1" customWidth="1"/>
    <col min="27" max="27" width="5" style="36" customWidth="1"/>
    <col min="28" max="16384" width="11" style="36"/>
  </cols>
  <sheetData>
    <row r="1" spans="1:41" s="13" customFormat="1" ht="15.95" customHeight="1" x14ac:dyDescent="0.25">
      <c r="A1" s="1"/>
      <c r="B1" s="1" t="s">
        <v>947</v>
      </c>
      <c r="C1" s="1"/>
      <c r="D1" s="2"/>
      <c r="E1" s="2"/>
      <c r="F1" s="2"/>
      <c r="G1" s="2"/>
      <c r="H1" s="2" t="s">
        <v>0</v>
      </c>
      <c r="I1" s="209"/>
      <c r="J1" s="209"/>
      <c r="K1" s="209"/>
      <c r="L1" s="219"/>
      <c r="M1" s="209"/>
      <c r="N1" s="209"/>
      <c r="O1" s="4" t="s">
        <v>1</v>
      </c>
      <c r="P1" s="4"/>
      <c r="Q1" s="4"/>
      <c r="R1" s="5"/>
      <c r="S1" s="6"/>
      <c r="T1" s="3"/>
      <c r="U1" s="7" t="s">
        <v>2</v>
      </c>
      <c r="V1" s="7"/>
      <c r="W1" s="7"/>
      <c r="X1" s="8"/>
      <c r="Y1" s="9" t="s">
        <v>3</v>
      </c>
      <c r="Z1" s="9"/>
      <c r="AA1" s="9"/>
      <c r="AB1" s="10"/>
      <c r="AC1" s="10"/>
      <c r="AD1" s="11"/>
      <c r="AE1" s="11"/>
      <c r="AF1" s="12" t="s">
        <v>4</v>
      </c>
      <c r="AG1" s="12"/>
      <c r="AH1" s="1"/>
      <c r="AI1" s="12" t="s">
        <v>5</v>
      </c>
      <c r="AJ1" s="12"/>
      <c r="AK1" s="1"/>
      <c r="AL1" s="1"/>
      <c r="AM1" s="1"/>
      <c r="AN1" s="1"/>
      <c r="AO1" s="1"/>
    </row>
    <row r="2" spans="1:41" s="13" customFormat="1" ht="15.95" customHeight="1" x14ac:dyDescent="0.25">
      <c r="A2" s="1"/>
      <c r="B2" s="1"/>
      <c r="C2" s="1" t="s">
        <v>6</v>
      </c>
      <c r="D2" s="1"/>
      <c r="E2" s="1"/>
      <c r="F2" s="1"/>
      <c r="G2" s="1"/>
      <c r="H2" s="1"/>
      <c r="I2" s="210"/>
      <c r="J2" s="210"/>
      <c r="K2" s="210"/>
      <c r="L2" s="220"/>
      <c r="M2" s="210"/>
      <c r="N2" s="210"/>
      <c r="O2" s="15"/>
      <c r="P2" s="16"/>
      <c r="Q2" s="8"/>
      <c r="R2" s="5"/>
      <c r="S2" s="17"/>
      <c r="T2" s="14"/>
      <c r="U2" s="15"/>
      <c r="V2" s="8"/>
      <c r="W2" s="8"/>
      <c r="X2" s="18"/>
      <c r="Y2" s="19"/>
      <c r="Z2" s="19"/>
      <c r="AA2" s="19"/>
      <c r="AB2" s="20"/>
      <c r="AC2" s="20"/>
      <c r="AD2" s="11"/>
      <c r="AE2" s="11"/>
      <c r="AF2" s="19"/>
      <c r="AG2" s="19"/>
      <c r="AH2" s="1"/>
      <c r="AI2" s="19"/>
      <c r="AJ2" s="19"/>
      <c r="AK2" s="1"/>
      <c r="AL2" s="1"/>
      <c r="AM2" s="1"/>
      <c r="AN2" s="1"/>
      <c r="AO2" s="1"/>
    </row>
    <row r="3" spans="1:41" s="13" customFormat="1" ht="15.95" customHeight="1" x14ac:dyDescent="0.25">
      <c r="A3" s="1"/>
      <c r="B3" s="1"/>
      <c r="C3" s="1" t="s">
        <v>7</v>
      </c>
      <c r="D3" s="1"/>
      <c r="E3" s="1"/>
      <c r="F3" s="1"/>
      <c r="G3" s="1"/>
      <c r="H3" s="1"/>
      <c r="I3" s="210"/>
      <c r="J3" s="210"/>
      <c r="K3" s="210"/>
      <c r="L3" s="220"/>
      <c r="M3" s="210"/>
      <c r="N3" s="210"/>
      <c r="O3" s="7" t="s">
        <v>8</v>
      </c>
      <c r="P3" s="7"/>
      <c r="Q3" s="21"/>
      <c r="R3" s="5"/>
      <c r="S3" s="17"/>
      <c r="T3" s="14"/>
      <c r="U3" s="4" t="s">
        <v>8</v>
      </c>
      <c r="V3" s="4"/>
      <c r="W3" s="21"/>
      <c r="X3" s="18"/>
      <c r="Y3" s="19"/>
      <c r="Z3" s="19"/>
      <c r="AA3" s="19"/>
      <c r="AB3" s="20"/>
      <c r="AC3" s="20"/>
      <c r="AD3" s="11"/>
      <c r="AE3" s="11"/>
      <c r="AF3" s="7" t="s">
        <v>9</v>
      </c>
      <c r="AG3" s="7"/>
      <c r="AH3" s="1"/>
      <c r="AI3" s="7" t="s">
        <v>9</v>
      </c>
      <c r="AJ3" s="7"/>
      <c r="AK3" s="1"/>
      <c r="AL3" s="1"/>
      <c r="AM3" s="1"/>
      <c r="AN3" s="1"/>
      <c r="AO3" s="1"/>
    </row>
    <row r="4" spans="1:41" s="13" customFormat="1" ht="15.95" customHeight="1" x14ac:dyDescent="0.25">
      <c r="A4" s="1"/>
      <c r="B4" s="1"/>
      <c r="C4" s="1" t="s">
        <v>10</v>
      </c>
      <c r="D4" s="1"/>
      <c r="E4" s="1"/>
      <c r="F4" s="1"/>
      <c r="G4" s="1"/>
      <c r="H4" s="1"/>
      <c r="I4" s="210"/>
      <c r="J4" s="210"/>
      <c r="K4" s="210"/>
      <c r="L4" s="220"/>
      <c r="M4" s="210"/>
      <c r="N4" s="210"/>
      <c r="O4" s="15"/>
      <c r="P4" s="16"/>
      <c r="Q4" s="22"/>
      <c r="R4" s="5"/>
      <c r="S4" s="17"/>
      <c r="T4" s="14"/>
      <c r="U4" s="15"/>
      <c r="V4" s="8"/>
      <c r="W4" s="21"/>
      <c r="X4" s="18"/>
      <c r="Y4" s="19"/>
      <c r="Z4" s="19"/>
      <c r="AA4" s="19"/>
      <c r="AB4" s="20"/>
      <c r="AC4" s="20"/>
      <c r="AD4" s="11"/>
      <c r="AE4" s="11"/>
      <c r="AF4" s="8"/>
      <c r="AG4" s="8"/>
      <c r="AH4" s="1"/>
      <c r="AI4" s="8"/>
      <c r="AJ4" s="8"/>
      <c r="AK4" s="1"/>
      <c r="AL4" s="1"/>
      <c r="AM4" s="1"/>
      <c r="AN4" s="1"/>
      <c r="AO4" s="1"/>
    </row>
    <row r="5" spans="1:41" s="13" customFormat="1" ht="15.95" customHeight="1" x14ac:dyDescent="0.25">
      <c r="A5" s="1"/>
      <c r="B5" s="1"/>
      <c r="C5" s="1"/>
      <c r="D5" s="1"/>
      <c r="E5" s="1"/>
      <c r="F5" s="1"/>
      <c r="G5" s="1"/>
      <c r="H5" s="1"/>
      <c r="I5" s="210"/>
      <c r="J5" s="210"/>
      <c r="K5" s="210"/>
      <c r="L5" s="220"/>
      <c r="M5" s="210"/>
      <c r="N5" s="210"/>
      <c r="O5" s="15"/>
      <c r="P5" s="16"/>
      <c r="Q5" s="22"/>
      <c r="R5" s="5"/>
      <c r="S5" s="17"/>
      <c r="T5" s="14"/>
      <c r="U5" s="15"/>
      <c r="V5" s="8"/>
      <c r="W5" s="21"/>
      <c r="X5" s="18"/>
      <c r="Y5" s="19"/>
      <c r="Z5" s="19"/>
      <c r="AA5" s="19"/>
      <c r="AB5" s="20"/>
      <c r="AC5" s="20"/>
      <c r="AD5" s="11"/>
      <c r="AE5" s="11"/>
      <c r="AF5" s="8"/>
      <c r="AG5" s="8"/>
      <c r="AH5" s="1"/>
      <c r="AI5" s="8"/>
      <c r="AJ5" s="8"/>
      <c r="AK5" s="1"/>
      <c r="AL5" s="1"/>
      <c r="AM5" s="1"/>
      <c r="AN5" s="1"/>
      <c r="AO5" s="1"/>
    </row>
    <row r="6" spans="1:41" s="23" customFormat="1" ht="63.75" customHeight="1" thickBot="1" x14ac:dyDescent="0.3">
      <c r="A6" s="23" t="s">
        <v>11</v>
      </c>
      <c r="B6" s="23" t="s">
        <v>12</v>
      </c>
      <c r="C6" s="23" t="s">
        <v>13</v>
      </c>
      <c r="D6" s="24" t="s">
        <v>14</v>
      </c>
      <c r="E6" s="24" t="s">
        <v>15</v>
      </c>
      <c r="F6" s="24" t="s">
        <v>16</v>
      </c>
      <c r="G6" s="24" t="s">
        <v>17</v>
      </c>
      <c r="H6" s="24" t="s">
        <v>18</v>
      </c>
      <c r="I6" s="202" t="s">
        <v>19</v>
      </c>
      <c r="J6" s="202" t="s">
        <v>20</v>
      </c>
      <c r="K6" s="214" t="s">
        <v>21</v>
      </c>
      <c r="L6" s="215" t="s">
        <v>22</v>
      </c>
      <c r="M6" s="216"/>
      <c r="N6" s="216"/>
      <c r="O6" s="25" t="s">
        <v>23</v>
      </c>
      <c r="P6" s="26" t="s">
        <v>24</v>
      </c>
      <c r="Q6" s="27" t="s">
        <v>25</v>
      </c>
      <c r="R6" s="28" t="s">
        <v>26</v>
      </c>
      <c r="S6" s="29" t="s">
        <v>24</v>
      </c>
      <c r="U6" s="30" t="s">
        <v>23</v>
      </c>
      <c r="V6" s="31" t="s">
        <v>24</v>
      </c>
      <c r="W6" s="32" t="s">
        <v>25</v>
      </c>
      <c r="Y6" s="33" t="s">
        <v>27</v>
      </c>
      <c r="AA6" s="23" t="s">
        <v>28</v>
      </c>
      <c r="AB6" s="34" t="s">
        <v>29</v>
      </c>
      <c r="AC6" s="35" t="s">
        <v>30</v>
      </c>
      <c r="AD6" s="23" t="s">
        <v>31</v>
      </c>
      <c r="AF6" s="33" t="s">
        <v>23</v>
      </c>
      <c r="AG6" s="26" t="s">
        <v>24</v>
      </c>
      <c r="AI6" s="33" t="s">
        <v>23</v>
      </c>
      <c r="AJ6" s="26" t="s">
        <v>24</v>
      </c>
      <c r="AK6" s="24" t="s">
        <v>32</v>
      </c>
      <c r="AL6" s="23" t="s">
        <v>32</v>
      </c>
      <c r="AM6" s="23" t="s">
        <v>33</v>
      </c>
      <c r="AN6" s="23" t="s">
        <v>32</v>
      </c>
    </row>
    <row r="7" spans="1:41" s="13" customFormat="1" ht="18.95" customHeight="1" x14ac:dyDescent="0.25">
      <c r="A7" s="45">
        <v>260</v>
      </c>
      <c r="B7" s="45" t="s">
        <v>34</v>
      </c>
      <c r="C7" s="46" t="s">
        <v>358</v>
      </c>
      <c r="D7" s="46" t="s">
        <v>358</v>
      </c>
      <c r="E7" s="36"/>
      <c r="F7" s="45" t="s">
        <v>301</v>
      </c>
      <c r="G7" s="45">
        <v>2023</v>
      </c>
      <c r="H7" s="45" t="s">
        <v>575</v>
      </c>
      <c r="I7" s="206"/>
      <c r="J7" s="206"/>
      <c r="K7" s="206" t="s">
        <v>303</v>
      </c>
      <c r="L7" s="217" t="s">
        <v>779</v>
      </c>
      <c r="M7" s="206" t="s">
        <v>862</v>
      </c>
      <c r="N7" s="206" t="s">
        <v>584</v>
      </c>
      <c r="O7" s="47">
        <v>-0.05</v>
      </c>
      <c r="P7" s="48">
        <v>1.9</v>
      </c>
      <c r="Q7" s="49">
        <v>30</v>
      </c>
      <c r="R7" s="50">
        <v>741</v>
      </c>
      <c r="S7" s="51">
        <f>358/1.35</f>
        <v>265.18518518518516</v>
      </c>
      <c r="T7" s="48" t="s">
        <v>307</v>
      </c>
      <c r="U7" s="47">
        <v>-0.6</v>
      </c>
      <c r="V7" s="50">
        <v>2.1</v>
      </c>
      <c r="W7" s="49">
        <v>54</v>
      </c>
      <c r="X7" s="45" t="s">
        <v>58</v>
      </c>
      <c r="Y7" s="45">
        <v>-0.27</v>
      </c>
      <c r="Z7" s="45"/>
      <c r="AA7" s="45">
        <v>1</v>
      </c>
      <c r="AB7" s="52">
        <v>-0.26</v>
      </c>
      <c r="AC7" s="45"/>
      <c r="AD7" s="53">
        <v>0</v>
      </c>
      <c r="AE7" s="53"/>
      <c r="AF7" s="45" t="s">
        <v>58</v>
      </c>
      <c r="AG7" s="45"/>
      <c r="AH7" s="45"/>
      <c r="AI7" s="45"/>
      <c r="AJ7" s="45"/>
      <c r="AK7" s="45"/>
      <c r="AL7" s="45"/>
      <c r="AM7" s="45"/>
      <c r="AN7" s="45"/>
      <c r="AO7" s="54"/>
    </row>
    <row r="8" spans="1:41" s="13" customFormat="1" ht="18.95" customHeight="1" x14ac:dyDescent="0.25">
      <c r="A8" s="54">
        <v>1</v>
      </c>
      <c r="B8" s="45" t="s">
        <v>34</v>
      </c>
      <c r="C8" s="45" t="s">
        <v>75</v>
      </c>
      <c r="D8" s="45" t="s">
        <v>76</v>
      </c>
      <c r="E8" s="36" t="s">
        <v>36</v>
      </c>
      <c r="F8" s="45" t="s">
        <v>301</v>
      </c>
      <c r="G8" s="45">
        <v>2022</v>
      </c>
      <c r="H8" s="45" t="s">
        <v>571</v>
      </c>
      <c r="I8" s="206"/>
      <c r="J8" s="206"/>
      <c r="K8" s="206" t="s">
        <v>572</v>
      </c>
      <c r="L8" s="217" t="s">
        <v>779</v>
      </c>
      <c r="M8" s="206" t="s">
        <v>444</v>
      </c>
      <c r="N8" s="206" t="s">
        <v>584</v>
      </c>
      <c r="O8" s="47">
        <v>-5.2</v>
      </c>
      <c r="P8" s="48">
        <v>9.6999999999999993</v>
      </c>
      <c r="Q8" s="49">
        <v>30</v>
      </c>
      <c r="R8" s="50">
        <v>741</v>
      </c>
      <c r="S8" s="48">
        <f>358/1.35</f>
        <v>265.18518518518516</v>
      </c>
      <c r="T8" s="50" t="s">
        <v>574</v>
      </c>
      <c r="U8" s="47">
        <v>4</v>
      </c>
      <c r="V8" s="50">
        <v>9.5</v>
      </c>
      <c r="W8" s="49">
        <v>54</v>
      </c>
      <c r="X8" s="45">
        <v>54</v>
      </c>
      <c r="Y8" s="45">
        <v>0.41</v>
      </c>
      <c r="Z8" s="45"/>
      <c r="AA8" s="45">
        <v>-1</v>
      </c>
      <c r="AB8" s="75">
        <f>((U8-O8)/V8)*AA8* (1-(3/(4*(Q8+W8-2)-1)))</f>
        <v>-0.95953645581844516</v>
      </c>
      <c r="AC8" s="45"/>
      <c r="AD8" s="53">
        <v>0</v>
      </c>
      <c r="AE8" s="53"/>
      <c r="AF8" s="45" t="s">
        <v>58</v>
      </c>
      <c r="AG8" s="45"/>
      <c r="AH8" s="45"/>
      <c r="AI8" s="45"/>
      <c r="AJ8" s="45"/>
      <c r="AK8" s="45"/>
      <c r="AL8" s="45"/>
      <c r="AM8" s="45"/>
      <c r="AN8" s="45"/>
      <c r="AO8" s="54"/>
    </row>
    <row r="9" spans="1:41" s="13" customFormat="1" ht="18.95" customHeight="1" x14ac:dyDescent="0.25">
      <c r="A9" s="54">
        <v>21</v>
      </c>
      <c r="B9" s="45" t="s">
        <v>34</v>
      </c>
      <c r="C9" s="45" t="s">
        <v>75</v>
      </c>
      <c r="D9" s="45" t="s">
        <v>76</v>
      </c>
      <c r="E9" s="36" t="s">
        <v>36</v>
      </c>
      <c r="F9" s="45" t="s">
        <v>829</v>
      </c>
      <c r="G9" s="45">
        <v>2023</v>
      </c>
      <c r="H9" s="45" t="s">
        <v>571</v>
      </c>
      <c r="I9" s="206"/>
      <c r="J9" s="206"/>
      <c r="K9" s="206" t="s">
        <v>837</v>
      </c>
      <c r="L9" s="217" t="s">
        <v>838</v>
      </c>
      <c r="M9" s="206"/>
      <c r="N9" s="206"/>
      <c r="O9" s="47">
        <v>50.3</v>
      </c>
      <c r="P9" s="48">
        <v>12.58</v>
      </c>
      <c r="Q9" s="49">
        <v>20</v>
      </c>
      <c r="R9" s="50">
        <v>585.75</v>
      </c>
      <c r="S9" s="48">
        <v>419.73</v>
      </c>
      <c r="T9" s="50"/>
      <c r="U9" s="47">
        <v>59.8</v>
      </c>
      <c r="V9" s="50">
        <v>4.6100000000000003</v>
      </c>
      <c r="W9" s="49">
        <v>20</v>
      </c>
      <c r="X9" s="45" t="s">
        <v>58</v>
      </c>
      <c r="Y9" s="45">
        <v>0.4</v>
      </c>
      <c r="Z9" s="45"/>
      <c r="AA9" s="45">
        <v>-1</v>
      </c>
      <c r="AB9" s="75">
        <f>((U9-O9)/V9)*AA9* (1-(3/(4*(Q9+W9-2)-1)))</f>
        <v>-2.0197957219404978</v>
      </c>
      <c r="AC9" s="45"/>
      <c r="AD9" s="53">
        <v>0</v>
      </c>
      <c r="AE9" s="53" t="s">
        <v>832</v>
      </c>
      <c r="AF9" s="45" t="s">
        <v>58</v>
      </c>
      <c r="AG9" s="45"/>
      <c r="AH9" s="45"/>
      <c r="AI9" s="45"/>
      <c r="AJ9" s="45"/>
      <c r="AK9" s="45"/>
      <c r="AL9" s="45"/>
      <c r="AM9" s="45"/>
      <c r="AN9" s="45"/>
      <c r="AO9" s="54"/>
    </row>
    <row r="10" spans="1:41" s="13" customFormat="1" ht="15.95" customHeight="1" x14ac:dyDescent="0.25">
      <c r="A10" s="54">
        <v>83</v>
      </c>
      <c r="B10" s="45" t="s">
        <v>34</v>
      </c>
      <c r="C10" s="45" t="s">
        <v>75</v>
      </c>
      <c r="D10" s="45" t="s">
        <v>333</v>
      </c>
      <c r="E10" s="36" t="s">
        <v>36</v>
      </c>
      <c r="F10" s="45" t="s">
        <v>829</v>
      </c>
      <c r="G10" s="45">
        <v>2023</v>
      </c>
      <c r="H10" s="45" t="s">
        <v>469</v>
      </c>
      <c r="I10" s="206"/>
      <c r="J10" s="206"/>
      <c r="K10" s="206" t="s">
        <v>411</v>
      </c>
      <c r="L10" s="217" t="s">
        <v>843</v>
      </c>
      <c r="M10" s="206" t="s">
        <v>844</v>
      </c>
      <c r="N10" s="206"/>
      <c r="O10" s="47">
        <v>38.65</v>
      </c>
      <c r="P10" s="48">
        <v>12.81</v>
      </c>
      <c r="Q10" s="49">
        <v>20</v>
      </c>
      <c r="R10" s="50">
        <v>585.75</v>
      </c>
      <c r="S10" s="48">
        <v>419.73</v>
      </c>
      <c r="T10" s="50"/>
      <c r="U10" s="47">
        <v>45.1</v>
      </c>
      <c r="V10" s="50">
        <v>7.99</v>
      </c>
      <c r="W10" s="49">
        <v>20</v>
      </c>
      <c r="X10" s="45" t="s">
        <v>58</v>
      </c>
      <c r="Y10" s="45">
        <v>0.28000000000000003</v>
      </c>
      <c r="Z10" s="45"/>
      <c r="AA10" s="45">
        <v>-1</v>
      </c>
      <c r="AB10" s="52">
        <v>-0.6</v>
      </c>
      <c r="AC10" s="45"/>
      <c r="AD10" s="53">
        <v>0</v>
      </c>
      <c r="AE10" s="53" t="s">
        <v>832</v>
      </c>
      <c r="AF10" s="45" t="s">
        <v>58</v>
      </c>
      <c r="AG10" s="45"/>
      <c r="AH10" s="45"/>
      <c r="AI10" s="45"/>
      <c r="AJ10" s="45"/>
      <c r="AK10" s="45"/>
      <c r="AL10" s="45"/>
      <c r="AM10" s="45"/>
      <c r="AN10" s="45"/>
      <c r="AO10" s="45"/>
    </row>
    <row r="11" spans="1:41" s="13" customFormat="1" ht="15.95" customHeight="1" x14ac:dyDescent="0.25">
      <c r="A11" s="54">
        <v>99</v>
      </c>
      <c r="B11" s="45" t="s">
        <v>34</v>
      </c>
      <c r="C11" s="45" t="s">
        <v>75</v>
      </c>
      <c r="D11" s="45" t="s">
        <v>333</v>
      </c>
      <c r="E11" s="36" t="s">
        <v>36</v>
      </c>
      <c r="F11" s="45" t="s">
        <v>829</v>
      </c>
      <c r="G11" s="45">
        <v>2023</v>
      </c>
      <c r="H11" s="45" t="s">
        <v>620</v>
      </c>
      <c r="I11" s="206"/>
      <c r="J11" s="206"/>
      <c r="K11" s="206" t="s">
        <v>848</v>
      </c>
      <c r="L11" s="217" t="s">
        <v>849</v>
      </c>
      <c r="M11" s="206" t="s">
        <v>844</v>
      </c>
      <c r="N11" s="206"/>
      <c r="O11" s="47">
        <v>23.1</v>
      </c>
      <c r="P11" s="48">
        <v>6.14</v>
      </c>
      <c r="Q11" s="49">
        <v>20</v>
      </c>
      <c r="R11" s="50">
        <v>585.75</v>
      </c>
      <c r="S11" s="48">
        <v>419.73</v>
      </c>
      <c r="T11" s="50"/>
      <c r="U11" s="47">
        <v>26.25</v>
      </c>
      <c r="V11" s="50">
        <v>3.74</v>
      </c>
      <c r="W11" s="49">
        <v>20</v>
      </c>
      <c r="X11" s="45" t="s">
        <v>58</v>
      </c>
      <c r="Y11" s="45">
        <v>0.28999999999999998</v>
      </c>
      <c r="Z11" s="45"/>
      <c r="AA11" s="45">
        <v>-1</v>
      </c>
      <c r="AB11" s="52">
        <v>-0.83</v>
      </c>
      <c r="AC11" s="45"/>
      <c r="AD11" s="53">
        <v>0</v>
      </c>
      <c r="AE11" s="53" t="s">
        <v>832</v>
      </c>
      <c r="AF11" s="45" t="s">
        <v>58</v>
      </c>
      <c r="AG11" s="45"/>
      <c r="AH11" s="45"/>
      <c r="AI11" s="45"/>
      <c r="AJ11" s="45"/>
      <c r="AK11" s="45"/>
      <c r="AL11" s="45"/>
      <c r="AM11" s="45"/>
      <c r="AN11" s="45"/>
      <c r="AO11" s="54"/>
    </row>
    <row r="12" spans="1:41" s="13" customFormat="1" ht="15.95" customHeight="1" x14ac:dyDescent="0.25">
      <c r="A12" s="45">
        <v>576</v>
      </c>
      <c r="B12" s="45" t="s">
        <v>34</v>
      </c>
      <c r="C12" s="45" t="s">
        <v>75</v>
      </c>
      <c r="D12" s="45" t="s">
        <v>333</v>
      </c>
      <c r="E12" s="36" t="s">
        <v>36</v>
      </c>
      <c r="F12" s="45" t="s">
        <v>908</v>
      </c>
      <c r="G12" s="45">
        <v>2023</v>
      </c>
      <c r="H12" s="45" t="s">
        <v>571</v>
      </c>
      <c r="I12" s="206"/>
      <c r="J12" s="206"/>
      <c r="K12" s="206" t="s">
        <v>579</v>
      </c>
      <c r="L12" s="217"/>
      <c r="M12" s="206"/>
      <c r="N12" s="206"/>
      <c r="O12" s="47">
        <v>51.4</v>
      </c>
      <c r="P12" s="48">
        <v>9.6</v>
      </c>
      <c r="Q12" s="49">
        <v>7</v>
      </c>
      <c r="R12" s="50">
        <v>1311</v>
      </c>
      <c r="S12" s="48">
        <v>278</v>
      </c>
      <c r="T12" s="50" t="s">
        <v>911</v>
      </c>
      <c r="U12" s="47">
        <v>69</v>
      </c>
      <c r="V12" s="50">
        <v>2.31</v>
      </c>
      <c r="W12" s="49">
        <v>7</v>
      </c>
      <c r="X12" s="45">
        <v>7</v>
      </c>
      <c r="Y12" s="45"/>
      <c r="Z12" s="45"/>
      <c r="AA12" s="45">
        <v>-1</v>
      </c>
      <c r="AB12" s="75">
        <f>((U12-O12)/V12)*AA12* (1-(3/(4*(Q12+W12-2)-1)))</f>
        <v>-7.1327254305977714</v>
      </c>
      <c r="AC12" s="45"/>
      <c r="AD12" s="45">
        <v>0</v>
      </c>
      <c r="AE12" s="53"/>
      <c r="AF12" s="45" t="s">
        <v>58</v>
      </c>
      <c r="AG12" s="45"/>
      <c r="AH12" s="45"/>
      <c r="AI12" s="45"/>
      <c r="AJ12" s="45" t="s">
        <v>912</v>
      </c>
      <c r="AK12" s="45"/>
      <c r="AL12" s="45"/>
      <c r="AM12" s="45"/>
      <c r="AN12" s="45"/>
      <c r="AO12" s="54"/>
    </row>
    <row r="13" spans="1:41" s="13" customFormat="1" ht="15.95" customHeight="1" x14ac:dyDescent="0.25">
      <c r="A13" s="45">
        <v>577</v>
      </c>
      <c r="B13" s="45" t="s">
        <v>34</v>
      </c>
      <c r="C13" s="45" t="s">
        <v>75</v>
      </c>
      <c r="D13" s="45" t="s">
        <v>333</v>
      </c>
      <c r="E13" s="36" t="s">
        <v>36</v>
      </c>
      <c r="F13" s="45" t="s">
        <v>908</v>
      </c>
      <c r="G13" s="45">
        <v>2023</v>
      </c>
      <c r="H13" s="45" t="s">
        <v>334</v>
      </c>
      <c r="I13" s="206"/>
      <c r="J13" s="206"/>
      <c r="K13" s="206" t="s">
        <v>411</v>
      </c>
      <c r="L13" s="217"/>
      <c r="M13" s="206"/>
      <c r="N13" s="206" t="s">
        <v>913</v>
      </c>
      <c r="O13" s="47">
        <v>24.6</v>
      </c>
      <c r="P13" s="48">
        <v>12.8</v>
      </c>
      <c r="Q13" s="49">
        <v>7</v>
      </c>
      <c r="R13" s="50">
        <v>1311</v>
      </c>
      <c r="S13" s="48">
        <v>278</v>
      </c>
      <c r="T13" s="50" t="s">
        <v>911</v>
      </c>
      <c r="U13" s="47">
        <v>54.3</v>
      </c>
      <c r="V13" s="50">
        <v>8.9</v>
      </c>
      <c r="W13" s="49">
        <v>7</v>
      </c>
      <c r="X13" s="45">
        <v>7</v>
      </c>
      <c r="Y13" s="45"/>
      <c r="Z13" s="45"/>
      <c r="AA13" s="45">
        <v>-1</v>
      </c>
      <c r="AB13" s="52">
        <v>-2.69</v>
      </c>
      <c r="AC13" s="45"/>
      <c r="AD13" s="45">
        <v>0</v>
      </c>
      <c r="AE13" s="53"/>
      <c r="AF13" s="45" t="s">
        <v>58</v>
      </c>
      <c r="AG13" s="45"/>
      <c r="AH13" s="45"/>
      <c r="AI13" s="45"/>
      <c r="AJ13" s="45" t="s">
        <v>914</v>
      </c>
      <c r="AK13" s="45"/>
      <c r="AL13" s="45"/>
      <c r="AM13" s="45"/>
      <c r="AN13" s="45"/>
      <c r="AO13" s="54"/>
    </row>
    <row r="14" spans="1:41" s="13" customFormat="1" ht="15.95" customHeight="1" x14ac:dyDescent="0.25">
      <c r="A14" s="45">
        <v>578</v>
      </c>
      <c r="B14" s="45" t="s">
        <v>34</v>
      </c>
      <c r="C14" s="45" t="s">
        <v>75</v>
      </c>
      <c r="D14" s="45" t="s">
        <v>333</v>
      </c>
      <c r="E14" s="36" t="s">
        <v>36</v>
      </c>
      <c r="F14" s="45" t="s">
        <v>908</v>
      </c>
      <c r="G14" s="45">
        <v>2023</v>
      </c>
      <c r="H14" s="45" t="s">
        <v>620</v>
      </c>
      <c r="I14" s="206"/>
      <c r="J14" s="206"/>
      <c r="K14" s="206" t="s">
        <v>848</v>
      </c>
      <c r="L14" s="217" t="s">
        <v>849</v>
      </c>
      <c r="M14" s="206"/>
      <c r="N14" s="206"/>
      <c r="O14" s="47">
        <v>42.6</v>
      </c>
      <c r="P14" s="48">
        <v>16.100000000000001</v>
      </c>
      <c r="Q14" s="49">
        <v>7</v>
      </c>
      <c r="R14" s="50">
        <v>1311</v>
      </c>
      <c r="S14" s="48">
        <v>278</v>
      </c>
      <c r="T14" s="50" t="s">
        <v>911</v>
      </c>
      <c r="U14" s="47">
        <v>51.4</v>
      </c>
      <c r="V14" s="50">
        <v>6.8</v>
      </c>
      <c r="W14" s="49">
        <v>7</v>
      </c>
      <c r="X14" s="45" t="s">
        <v>58</v>
      </c>
      <c r="Y14" s="45"/>
      <c r="Z14" s="45"/>
      <c r="AA14" s="45">
        <v>-1</v>
      </c>
      <c r="AB14" s="52">
        <v>-1.21</v>
      </c>
      <c r="AC14" s="45"/>
      <c r="AD14" s="45">
        <v>0</v>
      </c>
      <c r="AE14" s="53"/>
      <c r="AF14" s="45" t="s">
        <v>58</v>
      </c>
      <c r="AG14" s="45"/>
      <c r="AH14" s="45"/>
      <c r="AI14" s="45"/>
      <c r="AJ14" s="45" t="s">
        <v>915</v>
      </c>
      <c r="AK14" s="45"/>
      <c r="AL14" s="45"/>
      <c r="AM14" s="45"/>
      <c r="AN14" s="45"/>
      <c r="AO14" s="54"/>
    </row>
    <row r="15" spans="1:41" s="13" customFormat="1" ht="15.95" customHeight="1" x14ac:dyDescent="0.25">
      <c r="A15" s="54">
        <v>2</v>
      </c>
      <c r="B15" s="45" t="s">
        <v>43</v>
      </c>
      <c r="C15" s="45" t="s">
        <v>75</v>
      </c>
      <c r="D15" s="45" t="s">
        <v>76</v>
      </c>
      <c r="E15" s="36" t="s">
        <v>81</v>
      </c>
      <c r="F15" s="45" t="s">
        <v>519</v>
      </c>
      <c r="G15" s="45">
        <v>2004</v>
      </c>
      <c r="H15" s="45" t="s">
        <v>337</v>
      </c>
      <c r="I15" s="206"/>
      <c r="J15" s="206"/>
      <c r="K15" s="206" t="s">
        <v>780</v>
      </c>
      <c r="L15" s="217"/>
      <c r="M15" s="217"/>
      <c r="N15" s="206"/>
      <c r="O15" s="47">
        <v>76.42</v>
      </c>
      <c r="P15" s="48">
        <v>10.63</v>
      </c>
      <c r="Q15" s="49">
        <v>14</v>
      </c>
      <c r="R15" s="130">
        <v>491</v>
      </c>
      <c r="S15" s="131">
        <v>149.19999999999999</v>
      </c>
      <c r="T15" s="50"/>
      <c r="U15" s="47">
        <v>76.53</v>
      </c>
      <c r="V15" s="48">
        <v>14.87</v>
      </c>
      <c r="W15" s="49">
        <v>14</v>
      </c>
      <c r="X15" s="45"/>
      <c r="Y15" s="45"/>
      <c r="Z15" s="45"/>
      <c r="AA15" s="45">
        <v>-1</v>
      </c>
      <c r="AB15" s="75">
        <f>((U15-O15)/V15)*AA15* (1-(3/(4*(Q15+W15-2)-1)))</f>
        <v>-7.1819849700641442E-3</v>
      </c>
      <c r="AC15" s="81"/>
      <c r="AD15" s="53">
        <v>0</v>
      </c>
      <c r="AE15" s="53"/>
      <c r="AF15" s="132">
        <v>10.8</v>
      </c>
      <c r="AG15" s="132">
        <f>(13-8)/4</f>
        <v>1.25</v>
      </c>
      <c r="AH15" s="132"/>
      <c r="AI15" s="133">
        <v>10.9</v>
      </c>
      <c r="AJ15" s="134">
        <f>(13-8)/4</f>
        <v>1.25</v>
      </c>
      <c r="AK15" s="45"/>
      <c r="AL15" s="45"/>
      <c r="AM15" s="45"/>
      <c r="AN15" s="45"/>
      <c r="AO15" s="54"/>
    </row>
    <row r="16" spans="1:41" s="13" customFormat="1" ht="15.95" customHeight="1" x14ac:dyDescent="0.25">
      <c r="A16" s="54">
        <v>3</v>
      </c>
      <c r="B16" s="45" t="s">
        <v>43</v>
      </c>
      <c r="C16" s="45" t="s">
        <v>75</v>
      </c>
      <c r="D16" s="45" t="s">
        <v>76</v>
      </c>
      <c r="E16" s="36" t="s">
        <v>81</v>
      </c>
      <c r="F16" s="45" t="s">
        <v>519</v>
      </c>
      <c r="G16" s="45">
        <v>2004</v>
      </c>
      <c r="H16" s="45" t="s">
        <v>337</v>
      </c>
      <c r="I16" s="206"/>
      <c r="J16" s="206"/>
      <c r="K16" s="206" t="s">
        <v>48</v>
      </c>
      <c r="L16" s="217"/>
      <c r="M16" s="217"/>
      <c r="N16" s="206"/>
      <c r="O16" s="47">
        <v>31.71</v>
      </c>
      <c r="P16" s="48">
        <v>19.29</v>
      </c>
      <c r="Q16" s="49">
        <v>14</v>
      </c>
      <c r="R16" s="130">
        <v>491</v>
      </c>
      <c r="S16" s="131">
        <v>149.19999999999999</v>
      </c>
      <c r="T16" s="50"/>
      <c r="U16" s="47">
        <v>17.149999999999999</v>
      </c>
      <c r="V16" s="48">
        <v>6.64</v>
      </c>
      <c r="W16" s="49">
        <v>14</v>
      </c>
      <c r="X16" s="45"/>
      <c r="Y16" s="45"/>
      <c r="Z16" s="45"/>
      <c r="AA16" s="45">
        <v>1</v>
      </c>
      <c r="AB16" s="75">
        <f>((U16-O16)/V16)*AA16* (1-(3/(4*(Q16+W16-2)-1)))</f>
        <v>-2.1289039653760682</v>
      </c>
      <c r="AC16" s="81"/>
      <c r="AD16" s="53">
        <v>0</v>
      </c>
      <c r="AE16" s="53"/>
      <c r="AF16" s="132">
        <v>10.8</v>
      </c>
      <c r="AG16" s="132">
        <f>(13-8)/4</f>
        <v>1.25</v>
      </c>
      <c r="AH16" s="132"/>
      <c r="AI16" s="133">
        <v>10.9</v>
      </c>
      <c r="AJ16" s="134">
        <f>(13-8)/4</f>
        <v>1.25</v>
      </c>
      <c r="AK16" s="45"/>
      <c r="AL16" s="45"/>
      <c r="AM16" s="45"/>
      <c r="AN16" s="45"/>
      <c r="AO16" s="54"/>
    </row>
    <row r="17" spans="1:41" s="11" customFormat="1" ht="15.95" customHeight="1" x14ac:dyDescent="0.25">
      <c r="A17" s="54">
        <v>4</v>
      </c>
      <c r="B17" s="45" t="s">
        <v>43</v>
      </c>
      <c r="C17" s="45" t="s">
        <v>75</v>
      </c>
      <c r="D17" s="45" t="s">
        <v>76</v>
      </c>
      <c r="E17" s="36" t="s">
        <v>81</v>
      </c>
      <c r="F17" s="45" t="s">
        <v>519</v>
      </c>
      <c r="G17" s="45">
        <v>2004</v>
      </c>
      <c r="H17" s="45" t="s">
        <v>337</v>
      </c>
      <c r="I17" s="206"/>
      <c r="J17" s="206"/>
      <c r="K17" s="206" t="s">
        <v>781</v>
      </c>
      <c r="L17" s="217"/>
      <c r="M17" s="217"/>
      <c r="N17" s="206"/>
      <c r="O17" s="47">
        <v>20.92</v>
      </c>
      <c r="P17" s="48">
        <v>14.22</v>
      </c>
      <c r="Q17" s="49">
        <v>14</v>
      </c>
      <c r="R17" s="130">
        <v>491</v>
      </c>
      <c r="S17" s="131">
        <v>149.19999999999999</v>
      </c>
      <c r="T17" s="50"/>
      <c r="U17" s="47">
        <v>9.3000000000000007</v>
      </c>
      <c r="V17" s="48">
        <v>3.42</v>
      </c>
      <c r="W17" s="49">
        <v>14</v>
      </c>
      <c r="X17" s="45"/>
      <c r="Y17" s="45"/>
      <c r="Z17" s="45"/>
      <c r="AA17" s="45">
        <v>1</v>
      </c>
      <c r="AB17" s="75">
        <f>((U17-O17)/V17)*AA17* (1-(3/(4*(Q17+W17-2)-1)))</f>
        <v>-3.2986998239936414</v>
      </c>
      <c r="AC17" s="81"/>
      <c r="AD17" s="53">
        <v>0</v>
      </c>
      <c r="AE17" s="53"/>
      <c r="AF17" s="132">
        <v>10.8</v>
      </c>
      <c r="AG17" s="132">
        <f>(13-8)/4</f>
        <v>1.25</v>
      </c>
      <c r="AH17" s="132"/>
      <c r="AI17" s="133">
        <v>10.9</v>
      </c>
      <c r="AJ17" s="134">
        <f>(13-8)/4</f>
        <v>1.25</v>
      </c>
      <c r="AK17" s="45"/>
      <c r="AL17" s="45"/>
      <c r="AM17" s="45"/>
      <c r="AN17" s="45"/>
      <c r="AO17" s="54"/>
    </row>
    <row r="18" spans="1:41" s="13" customFormat="1" ht="15.95" customHeight="1" x14ac:dyDescent="0.25">
      <c r="A18" s="54">
        <v>5</v>
      </c>
      <c r="B18" s="45" t="s">
        <v>43</v>
      </c>
      <c r="C18" s="45" t="s">
        <v>75</v>
      </c>
      <c r="D18" s="45" t="s">
        <v>76</v>
      </c>
      <c r="E18" s="36" t="s">
        <v>81</v>
      </c>
      <c r="F18" s="45" t="s">
        <v>519</v>
      </c>
      <c r="G18" s="45">
        <v>2004</v>
      </c>
      <c r="H18" s="45" t="s">
        <v>337</v>
      </c>
      <c r="I18" s="206"/>
      <c r="J18" s="206"/>
      <c r="K18" s="206" t="s">
        <v>782</v>
      </c>
      <c r="L18" s="217"/>
      <c r="M18" s="217"/>
      <c r="N18" s="206"/>
      <c r="O18" s="47">
        <v>14</v>
      </c>
      <c r="P18" s="48">
        <v>11.74</v>
      </c>
      <c r="Q18" s="49">
        <v>14</v>
      </c>
      <c r="R18" s="130">
        <v>491</v>
      </c>
      <c r="S18" s="131">
        <v>149.19999999999999</v>
      </c>
      <c r="T18" s="50"/>
      <c r="U18" s="47">
        <v>9.4600000000000009</v>
      </c>
      <c r="V18" s="48">
        <v>5.91</v>
      </c>
      <c r="W18" s="49">
        <v>14</v>
      </c>
      <c r="X18" s="45"/>
      <c r="Y18" s="45"/>
      <c r="Z18" s="45"/>
      <c r="AA18" s="45">
        <v>1</v>
      </c>
      <c r="AB18" s="75">
        <f>((U18-O18)/V18)*AA18* (1-(3/(4*(Q18+W18-2)-1)))</f>
        <v>-0.74581505757889355</v>
      </c>
      <c r="AC18" s="81"/>
      <c r="AD18" s="53">
        <v>0</v>
      </c>
      <c r="AE18" s="53"/>
      <c r="AF18" s="132">
        <v>10.8</v>
      </c>
      <c r="AG18" s="132">
        <f>(13-8)/4</f>
        <v>1.25</v>
      </c>
      <c r="AH18" s="132"/>
      <c r="AI18" s="133">
        <v>10.9</v>
      </c>
      <c r="AJ18" s="134">
        <f>(13-8)/4</f>
        <v>1.25</v>
      </c>
      <c r="AK18" s="45"/>
      <c r="AL18" s="45"/>
      <c r="AM18" s="45"/>
      <c r="AN18" s="45"/>
      <c r="AO18" s="54"/>
    </row>
    <row r="19" spans="1:41" s="13" customFormat="1" ht="15.95" customHeight="1" x14ac:dyDescent="0.25">
      <c r="A19" s="54">
        <v>6</v>
      </c>
      <c r="B19" s="45" t="s">
        <v>43</v>
      </c>
      <c r="C19" s="45" t="s">
        <v>75</v>
      </c>
      <c r="D19" s="45" t="s">
        <v>76</v>
      </c>
      <c r="E19" s="36" t="s">
        <v>81</v>
      </c>
      <c r="F19" s="45" t="s">
        <v>519</v>
      </c>
      <c r="G19" s="45">
        <v>2004</v>
      </c>
      <c r="H19" s="45" t="s">
        <v>337</v>
      </c>
      <c r="I19" s="206"/>
      <c r="J19" s="206"/>
      <c r="K19" s="206" t="s">
        <v>783</v>
      </c>
      <c r="L19" s="217"/>
      <c r="M19" s="217"/>
      <c r="N19" s="206"/>
      <c r="O19" s="47">
        <v>64.349999999999994</v>
      </c>
      <c r="P19" s="48">
        <v>16.809999999999999</v>
      </c>
      <c r="Q19" s="49">
        <v>14</v>
      </c>
      <c r="R19" s="130">
        <v>491</v>
      </c>
      <c r="S19" s="131">
        <v>149.19999999999999</v>
      </c>
      <c r="T19" s="50"/>
      <c r="U19" s="47">
        <v>76.3</v>
      </c>
      <c r="V19" s="48">
        <v>7.11</v>
      </c>
      <c r="W19" s="49">
        <v>14</v>
      </c>
      <c r="X19" s="45"/>
      <c r="Y19" s="45"/>
      <c r="Z19" s="45"/>
      <c r="AA19" s="45">
        <v>-1</v>
      </c>
      <c r="AB19" s="75">
        <f>((U19-O19)/V19)*AA19* (1-(3/(4*(Q19+W19-2)-1)))</f>
        <v>-1.6317780235686101</v>
      </c>
      <c r="AC19" s="81"/>
      <c r="AD19" s="53">
        <v>0</v>
      </c>
      <c r="AE19" s="53"/>
      <c r="AF19" s="132">
        <v>10.8</v>
      </c>
      <c r="AG19" s="132">
        <f>(13-8)/4</f>
        <v>1.25</v>
      </c>
      <c r="AH19" s="132"/>
      <c r="AI19" s="133">
        <v>10.9</v>
      </c>
      <c r="AJ19" s="134">
        <f>(13-8)/4</f>
        <v>1.25</v>
      </c>
      <c r="AK19" s="45"/>
      <c r="AL19" s="45"/>
      <c r="AM19" s="45"/>
      <c r="AN19" s="45"/>
      <c r="AO19" s="54"/>
    </row>
    <row r="20" spans="1:41" s="13" customFormat="1" ht="15.95" customHeight="1" x14ac:dyDescent="0.25">
      <c r="A20" s="54">
        <v>7</v>
      </c>
      <c r="B20" s="45" t="s">
        <v>43</v>
      </c>
      <c r="C20" s="45" t="s">
        <v>75</v>
      </c>
      <c r="D20" s="45" t="s">
        <v>76</v>
      </c>
      <c r="E20" s="36" t="s">
        <v>81</v>
      </c>
      <c r="F20" s="45" t="s">
        <v>519</v>
      </c>
      <c r="G20" s="45">
        <v>2004</v>
      </c>
      <c r="H20" s="45" t="s">
        <v>337</v>
      </c>
      <c r="I20" s="206"/>
      <c r="J20" s="206"/>
      <c r="K20" s="206" t="s">
        <v>784</v>
      </c>
      <c r="L20" s="217"/>
      <c r="M20" s="217"/>
      <c r="N20" s="206"/>
      <c r="O20" s="47">
        <v>16.71</v>
      </c>
      <c r="P20" s="48">
        <v>9.7200000000000006</v>
      </c>
      <c r="Q20" s="49">
        <v>14</v>
      </c>
      <c r="R20" s="130">
        <v>491</v>
      </c>
      <c r="S20" s="131">
        <v>149.19999999999999</v>
      </c>
      <c r="T20" s="50"/>
      <c r="U20" s="47">
        <v>11.38</v>
      </c>
      <c r="V20" s="48">
        <v>2.1</v>
      </c>
      <c r="W20" s="49">
        <v>14</v>
      </c>
      <c r="X20" s="45"/>
      <c r="Y20" s="45"/>
      <c r="Z20" s="45"/>
      <c r="AA20" s="45">
        <v>1</v>
      </c>
      <c r="AB20" s="75">
        <f>((U20-O20)/V20)*AA20* (1-(3/(4*(Q20+W20-2)-1)))</f>
        <v>-2.4641701340730466</v>
      </c>
      <c r="AC20" s="81"/>
      <c r="AD20" s="53">
        <v>0</v>
      </c>
      <c r="AE20" s="53"/>
      <c r="AF20" s="132">
        <v>10.8</v>
      </c>
      <c r="AG20" s="132">
        <f>(13-8)/4</f>
        <v>1.25</v>
      </c>
      <c r="AH20" s="132"/>
      <c r="AI20" s="133">
        <v>10.9</v>
      </c>
      <c r="AJ20" s="134">
        <f>(13-8)/4</f>
        <v>1.25</v>
      </c>
      <c r="AK20" s="45"/>
      <c r="AL20" s="45"/>
      <c r="AM20" s="45"/>
      <c r="AN20" s="45"/>
      <c r="AO20" s="54"/>
    </row>
    <row r="21" spans="1:41" s="13" customFormat="1" ht="15.95" customHeight="1" x14ac:dyDescent="0.25">
      <c r="A21" s="54">
        <v>8</v>
      </c>
      <c r="B21" s="45" t="s">
        <v>43</v>
      </c>
      <c r="C21" s="45" t="s">
        <v>75</v>
      </c>
      <c r="D21" s="45" t="s">
        <v>76</v>
      </c>
      <c r="E21" s="36" t="s">
        <v>81</v>
      </c>
      <c r="F21" s="45" t="s">
        <v>519</v>
      </c>
      <c r="G21" s="45">
        <v>2004</v>
      </c>
      <c r="H21" s="45" t="s">
        <v>337</v>
      </c>
      <c r="I21" s="206"/>
      <c r="J21" s="206"/>
      <c r="K21" s="206" t="s">
        <v>785</v>
      </c>
      <c r="L21" s="217"/>
      <c r="M21" s="217"/>
      <c r="N21" s="206"/>
      <c r="O21" s="47">
        <v>1.5</v>
      </c>
      <c r="P21" s="48">
        <v>1.87</v>
      </c>
      <c r="Q21" s="49">
        <v>14</v>
      </c>
      <c r="R21" s="130">
        <v>491</v>
      </c>
      <c r="S21" s="131">
        <v>149.19999999999999</v>
      </c>
      <c r="T21" s="50"/>
      <c r="U21" s="47">
        <v>0.61</v>
      </c>
      <c r="V21" s="48">
        <v>1.04</v>
      </c>
      <c r="W21" s="49">
        <v>14</v>
      </c>
      <c r="X21" s="45"/>
      <c r="Y21" s="45"/>
      <c r="Z21" s="45"/>
      <c r="AA21" s="45">
        <v>1</v>
      </c>
      <c r="AB21" s="75">
        <f>((U21-O21)/V21)*AA21* (1-(3/(4*(Q21+W21-2)-1)))</f>
        <v>-0.83084391336818519</v>
      </c>
      <c r="AC21" s="81"/>
      <c r="AD21" s="53">
        <v>0</v>
      </c>
      <c r="AE21" s="53"/>
      <c r="AF21" s="132">
        <v>10.8</v>
      </c>
      <c r="AG21" s="132">
        <f>(13-8)/4</f>
        <v>1.25</v>
      </c>
      <c r="AH21" s="132"/>
      <c r="AI21" s="133">
        <v>10.9</v>
      </c>
      <c r="AJ21" s="134">
        <f>(13-8)/4</f>
        <v>1.25</v>
      </c>
      <c r="AK21" s="45"/>
      <c r="AL21" s="45"/>
      <c r="AM21" s="45"/>
      <c r="AN21" s="45"/>
      <c r="AO21" s="54"/>
    </row>
    <row r="22" spans="1:41" s="13" customFormat="1" ht="15.95" customHeight="1" x14ac:dyDescent="0.25">
      <c r="A22" s="54">
        <v>9</v>
      </c>
      <c r="B22" s="45" t="s">
        <v>43</v>
      </c>
      <c r="C22" s="45" t="s">
        <v>75</v>
      </c>
      <c r="D22" s="45" t="s">
        <v>76</v>
      </c>
      <c r="E22" s="36" t="s">
        <v>81</v>
      </c>
      <c r="F22" s="45" t="s">
        <v>519</v>
      </c>
      <c r="G22" s="45">
        <v>2004</v>
      </c>
      <c r="H22" s="45" t="s">
        <v>337</v>
      </c>
      <c r="I22" s="206"/>
      <c r="J22" s="206"/>
      <c r="K22" s="206" t="s">
        <v>786</v>
      </c>
      <c r="L22" s="217"/>
      <c r="M22" s="217"/>
      <c r="N22" s="206"/>
      <c r="O22" s="47">
        <v>3.46</v>
      </c>
      <c r="P22" s="48">
        <v>20.12</v>
      </c>
      <c r="Q22" s="49">
        <v>14</v>
      </c>
      <c r="R22" s="130">
        <v>491</v>
      </c>
      <c r="S22" s="131">
        <v>149.19999999999999</v>
      </c>
      <c r="T22" s="50"/>
      <c r="U22" s="47">
        <v>2.99</v>
      </c>
      <c r="V22" s="48">
        <v>13.57</v>
      </c>
      <c r="W22" s="49">
        <v>14</v>
      </c>
      <c r="X22" s="45"/>
      <c r="Y22" s="45"/>
      <c r="Z22" s="45"/>
      <c r="AA22" s="45">
        <v>1</v>
      </c>
      <c r="AB22" s="75">
        <f>((U22-O22)/V22)*AA22* (1-(3/(4*(Q22+W22-2)-1)))</f>
        <v>-3.3626431806311731E-2</v>
      </c>
      <c r="AC22" s="81"/>
      <c r="AD22" s="53">
        <v>0</v>
      </c>
      <c r="AE22" s="53"/>
      <c r="AF22" s="132">
        <v>10.8</v>
      </c>
      <c r="AG22" s="132">
        <f>(13-8)/4</f>
        <v>1.25</v>
      </c>
      <c r="AH22" s="132"/>
      <c r="AI22" s="133">
        <v>10.9</v>
      </c>
      <c r="AJ22" s="134">
        <f>(13-8)/4</f>
        <v>1.25</v>
      </c>
      <c r="AK22" s="45"/>
      <c r="AL22" s="45"/>
      <c r="AM22" s="45"/>
      <c r="AN22" s="45"/>
      <c r="AO22" s="54"/>
    </row>
    <row r="23" spans="1:41" s="13" customFormat="1" ht="15.95" customHeight="1" x14ac:dyDescent="0.25">
      <c r="A23" s="54">
        <v>10</v>
      </c>
      <c r="B23" s="45" t="s">
        <v>43</v>
      </c>
      <c r="C23" s="45" t="s">
        <v>75</v>
      </c>
      <c r="D23" s="45" t="s">
        <v>76</v>
      </c>
      <c r="E23" s="36" t="s">
        <v>81</v>
      </c>
      <c r="F23" s="45" t="s">
        <v>519</v>
      </c>
      <c r="G23" s="45">
        <v>2004</v>
      </c>
      <c r="H23" s="45" t="s">
        <v>337</v>
      </c>
      <c r="I23" s="206"/>
      <c r="J23" s="206"/>
      <c r="K23" s="206" t="s">
        <v>787</v>
      </c>
      <c r="L23" s="217"/>
      <c r="M23" s="217"/>
      <c r="N23" s="206"/>
      <c r="O23" s="47">
        <v>108.14</v>
      </c>
      <c r="P23" s="48">
        <v>20.47</v>
      </c>
      <c r="Q23" s="49">
        <v>14</v>
      </c>
      <c r="R23" s="130">
        <v>491</v>
      </c>
      <c r="S23" s="131">
        <v>149.19999999999999</v>
      </c>
      <c r="T23" s="50"/>
      <c r="U23" s="47">
        <v>93.69</v>
      </c>
      <c r="V23" s="48">
        <v>19.37</v>
      </c>
      <c r="W23" s="49">
        <v>14</v>
      </c>
      <c r="X23" s="45"/>
      <c r="Y23" s="45"/>
      <c r="Z23" s="45"/>
      <c r="AA23" s="45">
        <v>-1</v>
      </c>
      <c r="AB23" s="75">
        <f>((U23-O23)/V23)*AA23* (1-(3/(4*(Q23+W23-2)-1)))</f>
        <v>0.72427084220920168</v>
      </c>
      <c r="AC23" s="81"/>
      <c r="AD23" s="53">
        <v>0</v>
      </c>
      <c r="AE23" s="53"/>
      <c r="AF23" s="132">
        <v>10.8</v>
      </c>
      <c r="AG23" s="132">
        <f>(13-8)/4</f>
        <v>1.25</v>
      </c>
      <c r="AH23" s="132"/>
      <c r="AI23" s="133">
        <v>10.9</v>
      </c>
      <c r="AJ23" s="134">
        <f>(13-8)/4</f>
        <v>1.25</v>
      </c>
      <c r="AK23" s="45"/>
      <c r="AL23" s="45"/>
      <c r="AM23" s="45"/>
      <c r="AN23" s="45"/>
      <c r="AO23" s="54"/>
    </row>
    <row r="24" spans="1:41" s="13" customFormat="1" ht="15.95" customHeight="1" x14ac:dyDescent="0.25">
      <c r="A24" s="54">
        <v>49</v>
      </c>
      <c r="B24" s="45" t="s">
        <v>43</v>
      </c>
      <c r="C24" s="45" t="s">
        <v>75</v>
      </c>
      <c r="D24" s="45" t="s">
        <v>76</v>
      </c>
      <c r="E24" s="36" t="s">
        <v>81</v>
      </c>
      <c r="F24" s="45" t="s">
        <v>267</v>
      </c>
      <c r="G24" s="45">
        <v>2003</v>
      </c>
      <c r="H24" s="135" t="s">
        <v>331</v>
      </c>
      <c r="I24" s="213"/>
      <c r="J24" s="213"/>
      <c r="K24" s="206" t="s">
        <v>48</v>
      </c>
      <c r="L24" s="217"/>
      <c r="M24" s="217" t="s">
        <v>368</v>
      </c>
      <c r="N24" s="206"/>
      <c r="O24" s="47">
        <v>0.2</v>
      </c>
      <c r="P24" s="48">
        <v>0.1</v>
      </c>
      <c r="Q24" s="49">
        <v>46</v>
      </c>
      <c r="R24" s="130">
        <f>8.1*60.5364</f>
        <v>490.34483999999998</v>
      </c>
      <c r="S24" s="131">
        <f>6.2*60.5364</f>
        <v>375.32568000000003</v>
      </c>
      <c r="T24" s="50"/>
      <c r="U24" s="47">
        <v>0.1</v>
      </c>
      <c r="V24" s="48">
        <v>0.1</v>
      </c>
      <c r="W24" s="49">
        <v>18</v>
      </c>
      <c r="X24" s="45"/>
      <c r="Y24" s="80">
        <f>(U24-O24)/SQRT((V24^2+P24^2)/2)</f>
        <v>-1</v>
      </c>
      <c r="Z24" s="45"/>
      <c r="AA24" s="45">
        <v>1</v>
      </c>
      <c r="AB24" s="75">
        <f>((U24-O24)/V24)*AA24* (1-(3/(4*(Q24+W24-2)-1)))</f>
        <v>-0.98785425101214575</v>
      </c>
      <c r="AC24" s="81"/>
      <c r="AD24" s="53">
        <v>0</v>
      </c>
      <c r="AE24" s="53"/>
      <c r="AF24" s="132">
        <f>129/12</f>
        <v>10.75</v>
      </c>
      <c r="AG24" s="136">
        <v>2.1</v>
      </c>
      <c r="AH24" s="132"/>
      <c r="AI24" s="133">
        <v>13.1</v>
      </c>
      <c r="AJ24" s="133">
        <v>3.2</v>
      </c>
      <c r="AK24" s="45"/>
      <c r="AL24" s="45"/>
      <c r="AM24" s="45"/>
      <c r="AN24" s="45"/>
      <c r="AO24" s="54"/>
    </row>
    <row r="25" spans="1:41" s="13" customFormat="1" ht="15.95" customHeight="1" x14ac:dyDescent="0.25">
      <c r="A25" s="54">
        <v>79</v>
      </c>
      <c r="B25" s="45" t="s">
        <v>43</v>
      </c>
      <c r="C25" s="45" t="s">
        <v>75</v>
      </c>
      <c r="D25" s="45" t="s">
        <v>333</v>
      </c>
      <c r="E25" s="36" t="s">
        <v>81</v>
      </c>
      <c r="F25" s="132" t="s">
        <v>380</v>
      </c>
      <c r="G25" s="45">
        <v>2011</v>
      </c>
      <c r="H25" s="45" t="s">
        <v>334</v>
      </c>
      <c r="I25" s="206"/>
      <c r="J25" s="206"/>
      <c r="K25" s="206" t="s">
        <v>798</v>
      </c>
      <c r="L25" s="217"/>
      <c r="M25" s="217"/>
      <c r="N25" s="206"/>
      <c r="O25" s="47">
        <v>1.9</v>
      </c>
      <c r="P25" s="48">
        <v>1.2</v>
      </c>
      <c r="Q25" s="49">
        <v>36</v>
      </c>
      <c r="R25" s="130">
        <f>8.4*60.5364</f>
        <v>508.50576000000001</v>
      </c>
      <c r="S25" s="131">
        <f>4.7*60.5364</f>
        <v>284.52108000000004</v>
      </c>
      <c r="T25" s="50"/>
      <c r="U25" s="47">
        <v>2.2000000000000002</v>
      </c>
      <c r="V25" s="48">
        <v>1.4</v>
      </c>
      <c r="W25" s="49">
        <v>41</v>
      </c>
      <c r="X25" s="45"/>
      <c r="Y25" s="45"/>
      <c r="Z25" s="45"/>
      <c r="AA25" s="45">
        <v>-1</v>
      </c>
      <c r="AB25" s="75">
        <f>((U25-O25)/V25)*AA25* (1-(3/(4*(Q25+W25-2)-1)))</f>
        <v>-0.21213569039656016</v>
      </c>
      <c r="AC25" s="81"/>
      <c r="AD25" s="53">
        <v>0</v>
      </c>
      <c r="AE25" s="53"/>
      <c r="AF25" s="132">
        <v>12.2</v>
      </c>
      <c r="AG25" s="132">
        <v>3.9</v>
      </c>
      <c r="AH25" s="132"/>
      <c r="AI25" s="133">
        <v>13.1</v>
      </c>
      <c r="AJ25" s="133">
        <v>3.2</v>
      </c>
      <c r="AK25" s="45"/>
      <c r="AL25" s="45"/>
      <c r="AM25" s="45"/>
      <c r="AN25" s="45"/>
      <c r="AO25" s="84"/>
    </row>
    <row r="26" spans="1:41" s="13" customFormat="1" ht="15.95" customHeight="1" x14ac:dyDescent="0.25">
      <c r="A26" s="54">
        <v>80</v>
      </c>
      <c r="B26" s="45" t="s">
        <v>43</v>
      </c>
      <c r="C26" s="45" t="s">
        <v>75</v>
      </c>
      <c r="D26" s="45" t="s">
        <v>333</v>
      </c>
      <c r="E26" s="36" t="s">
        <v>81</v>
      </c>
      <c r="F26" s="132" t="s">
        <v>380</v>
      </c>
      <c r="G26" s="45">
        <v>2011</v>
      </c>
      <c r="H26" s="45" t="s">
        <v>334</v>
      </c>
      <c r="I26" s="206"/>
      <c r="J26" s="206"/>
      <c r="K26" s="206" t="s">
        <v>799</v>
      </c>
      <c r="L26" s="217"/>
      <c r="M26" s="217"/>
      <c r="N26" s="206"/>
      <c r="O26" s="47">
        <v>5.2</v>
      </c>
      <c r="P26" s="48">
        <v>2.5</v>
      </c>
      <c r="Q26" s="49">
        <v>36</v>
      </c>
      <c r="R26" s="130">
        <f>8.4*60.5364</f>
        <v>508.50576000000001</v>
      </c>
      <c r="S26" s="131">
        <f>4.7*60.5364</f>
        <v>284.52108000000004</v>
      </c>
      <c r="T26" s="50"/>
      <c r="U26" s="47">
        <v>7</v>
      </c>
      <c r="V26" s="48">
        <v>2.6</v>
      </c>
      <c r="W26" s="49">
        <v>41</v>
      </c>
      <c r="X26" s="45"/>
      <c r="Y26" s="45"/>
      <c r="Z26" s="45"/>
      <c r="AA26" s="45">
        <v>-1</v>
      </c>
      <c r="AB26" s="75">
        <f>((U26-O26)/V26)*AA26* (1-(3/(4*(Q26+W26-2)-1)))</f>
        <v>-0.68536146128119357</v>
      </c>
      <c r="AC26" s="81"/>
      <c r="AD26" s="53">
        <v>0</v>
      </c>
      <c r="AE26" s="53"/>
      <c r="AF26" s="132">
        <v>12.2</v>
      </c>
      <c r="AG26" s="132">
        <v>3.9</v>
      </c>
      <c r="AH26" s="132"/>
      <c r="AI26" s="133">
        <v>13.1</v>
      </c>
      <c r="AJ26" s="133">
        <v>3.2</v>
      </c>
      <c r="AK26" s="45"/>
      <c r="AL26" s="45"/>
      <c r="AM26" s="45"/>
      <c r="AN26" s="45"/>
      <c r="AO26" s="54"/>
    </row>
    <row r="27" spans="1:41" s="11" customFormat="1" ht="15.95" customHeight="1" x14ac:dyDescent="0.25">
      <c r="A27" s="54">
        <v>81</v>
      </c>
      <c r="B27" s="45" t="s">
        <v>43</v>
      </c>
      <c r="C27" s="45" t="s">
        <v>75</v>
      </c>
      <c r="D27" s="45" t="s">
        <v>333</v>
      </c>
      <c r="E27" s="36" t="s">
        <v>81</v>
      </c>
      <c r="F27" s="132" t="s">
        <v>380</v>
      </c>
      <c r="G27" s="45">
        <v>2011</v>
      </c>
      <c r="H27" s="45" t="s">
        <v>334</v>
      </c>
      <c r="I27" s="206"/>
      <c r="J27" s="206"/>
      <c r="K27" s="206" t="s">
        <v>800</v>
      </c>
      <c r="L27" s="217"/>
      <c r="M27" s="217"/>
      <c r="N27" s="206"/>
      <c r="O27" s="47">
        <v>3.9</v>
      </c>
      <c r="P27" s="48">
        <v>2.5</v>
      </c>
      <c r="Q27" s="49">
        <v>36</v>
      </c>
      <c r="R27" s="130">
        <f>8.4*60.5364</f>
        <v>508.50576000000001</v>
      </c>
      <c r="S27" s="131">
        <f>4.7*60.5364</f>
        <v>284.52108000000004</v>
      </c>
      <c r="T27" s="50"/>
      <c r="U27" s="47">
        <v>4.5999999999999996</v>
      </c>
      <c r="V27" s="48">
        <v>2.7</v>
      </c>
      <c r="W27" s="49">
        <v>41</v>
      </c>
      <c r="X27" s="45"/>
      <c r="Y27" s="45"/>
      <c r="Z27" s="45"/>
      <c r="AA27" s="45">
        <v>-1</v>
      </c>
      <c r="AB27" s="75">
        <f>((U27-O27)/V27)*AA27* (1-(3/(4*(Q27+W27-2)-1)))</f>
        <v>-0.25665799578843046</v>
      </c>
      <c r="AC27" s="81"/>
      <c r="AD27" s="53">
        <v>0</v>
      </c>
      <c r="AE27" s="53"/>
      <c r="AF27" s="132">
        <v>12.2</v>
      </c>
      <c r="AG27" s="132">
        <v>3.9</v>
      </c>
      <c r="AH27" s="132"/>
      <c r="AI27" s="133">
        <v>13.1</v>
      </c>
      <c r="AJ27" s="133">
        <v>3.2</v>
      </c>
      <c r="AK27" s="45"/>
      <c r="AL27" s="45"/>
      <c r="AM27" s="45"/>
      <c r="AN27" s="45"/>
      <c r="AO27" s="54"/>
    </row>
    <row r="28" spans="1:41" s="13" customFormat="1" ht="15.95" customHeight="1" x14ac:dyDescent="0.25">
      <c r="A28" s="54">
        <v>94</v>
      </c>
      <c r="B28" s="45" t="s">
        <v>43</v>
      </c>
      <c r="C28" s="45" t="s">
        <v>75</v>
      </c>
      <c r="D28" s="45" t="s">
        <v>333</v>
      </c>
      <c r="E28" s="36" t="s">
        <v>81</v>
      </c>
      <c r="F28" s="132" t="s">
        <v>380</v>
      </c>
      <c r="G28" s="45">
        <v>2011</v>
      </c>
      <c r="H28" s="45" t="s">
        <v>336</v>
      </c>
      <c r="I28" s="206"/>
      <c r="J28" s="206"/>
      <c r="K28" s="206" t="s">
        <v>798</v>
      </c>
      <c r="L28" s="217"/>
      <c r="M28" s="217"/>
      <c r="N28" s="206"/>
      <c r="O28" s="47">
        <v>4.0999999999999996</v>
      </c>
      <c r="P28" s="48">
        <v>1.85</v>
      </c>
      <c r="Q28" s="49">
        <v>36</v>
      </c>
      <c r="R28" s="130">
        <f>8.4*60.5364</f>
        <v>508.50576000000001</v>
      </c>
      <c r="S28" s="131">
        <f>4.7*60.5364</f>
        <v>284.52108000000004</v>
      </c>
      <c r="T28" s="50"/>
      <c r="U28" s="47">
        <v>4.4499999999999993</v>
      </c>
      <c r="V28" s="48">
        <v>1.85</v>
      </c>
      <c r="W28" s="49">
        <v>41</v>
      </c>
      <c r="X28" s="45"/>
      <c r="Y28" s="45"/>
      <c r="Z28" s="45"/>
      <c r="AA28" s="45">
        <v>-1</v>
      </c>
      <c r="AB28" s="75">
        <f>((U28-O28)/V28)*AA28* (1-(3/(4*(Q28+W28-2)-1)))</f>
        <v>-0.18729096989966534</v>
      </c>
      <c r="AC28" s="81"/>
      <c r="AD28" s="53">
        <v>0</v>
      </c>
      <c r="AE28" s="53"/>
      <c r="AF28" s="132">
        <v>12.2</v>
      </c>
      <c r="AG28" s="132">
        <v>3.9</v>
      </c>
      <c r="AH28" s="132"/>
      <c r="AI28" s="133">
        <v>13.1</v>
      </c>
      <c r="AJ28" s="133">
        <v>3.2</v>
      </c>
      <c r="AK28" s="45"/>
      <c r="AL28" s="45"/>
      <c r="AM28" s="45"/>
      <c r="AN28" s="45"/>
      <c r="AO28" s="54"/>
    </row>
    <row r="29" spans="1:41" s="13" customFormat="1" ht="15.95" customHeight="1" x14ac:dyDescent="0.25">
      <c r="A29" s="54">
        <v>95</v>
      </c>
      <c r="B29" s="45" t="s">
        <v>43</v>
      </c>
      <c r="C29" s="45" t="s">
        <v>75</v>
      </c>
      <c r="D29" s="45" t="s">
        <v>333</v>
      </c>
      <c r="E29" s="36" t="s">
        <v>81</v>
      </c>
      <c r="F29" s="132" t="s">
        <v>380</v>
      </c>
      <c r="G29" s="45">
        <v>2011</v>
      </c>
      <c r="H29" s="45" t="s">
        <v>336</v>
      </c>
      <c r="I29" s="206"/>
      <c r="J29" s="206"/>
      <c r="K29" s="206" t="s">
        <v>799</v>
      </c>
      <c r="L29" s="217"/>
      <c r="M29" s="217"/>
      <c r="N29" s="206"/>
      <c r="O29" s="47">
        <v>7.85</v>
      </c>
      <c r="P29" s="48">
        <v>2.65</v>
      </c>
      <c r="Q29" s="49">
        <v>36</v>
      </c>
      <c r="R29" s="130">
        <f>8.4*60.5364</f>
        <v>508.50576000000001</v>
      </c>
      <c r="S29" s="131">
        <f>4.7*60.5364</f>
        <v>284.52108000000004</v>
      </c>
      <c r="T29" s="50"/>
      <c r="U29" s="47">
        <v>8.9</v>
      </c>
      <c r="V29" s="48">
        <v>2.9</v>
      </c>
      <c r="W29" s="49">
        <v>41</v>
      </c>
      <c r="X29" s="45"/>
      <c r="Y29" s="45"/>
      <c r="Z29" s="45"/>
      <c r="AA29" s="45">
        <v>-1</v>
      </c>
      <c r="AB29" s="75">
        <f>((U29-O29)/V29)*AA29* (1-(3/(4*(Q29+W29-2)-1)))</f>
        <v>-0.35843616653211885</v>
      </c>
      <c r="AC29" s="81"/>
      <c r="AD29" s="53">
        <v>0</v>
      </c>
      <c r="AE29" s="53"/>
      <c r="AF29" s="132">
        <v>12.2</v>
      </c>
      <c r="AG29" s="132">
        <v>3.9</v>
      </c>
      <c r="AH29" s="132"/>
      <c r="AI29" s="133">
        <v>13.1</v>
      </c>
      <c r="AJ29" s="133">
        <v>3.2</v>
      </c>
      <c r="AK29" s="45"/>
      <c r="AL29" s="45"/>
      <c r="AM29" s="45"/>
      <c r="AN29" s="45"/>
      <c r="AO29" s="54"/>
    </row>
    <row r="30" spans="1:41" s="13" customFormat="1" ht="15.95" customHeight="1" x14ac:dyDescent="0.25">
      <c r="A30" s="54">
        <v>96</v>
      </c>
      <c r="B30" s="45" t="s">
        <v>43</v>
      </c>
      <c r="C30" s="45" t="s">
        <v>75</v>
      </c>
      <c r="D30" s="45" t="s">
        <v>333</v>
      </c>
      <c r="E30" s="36" t="s">
        <v>81</v>
      </c>
      <c r="F30" s="132" t="s">
        <v>380</v>
      </c>
      <c r="G30" s="45">
        <v>2011</v>
      </c>
      <c r="H30" s="45" t="s">
        <v>336</v>
      </c>
      <c r="I30" s="206"/>
      <c r="J30" s="206"/>
      <c r="K30" s="206" t="s">
        <v>800</v>
      </c>
      <c r="L30" s="217"/>
      <c r="M30" s="217"/>
      <c r="N30" s="206"/>
      <c r="O30" s="47">
        <v>11.95</v>
      </c>
      <c r="P30" s="48">
        <v>5.85</v>
      </c>
      <c r="Q30" s="49">
        <v>36</v>
      </c>
      <c r="R30" s="130">
        <f>8.4*60.5364</f>
        <v>508.50576000000001</v>
      </c>
      <c r="S30" s="131">
        <f>4.7*60.5364</f>
        <v>284.52108000000004</v>
      </c>
      <c r="T30" s="50"/>
      <c r="U30" s="47">
        <v>12.5</v>
      </c>
      <c r="V30" s="48">
        <v>5.8</v>
      </c>
      <c r="W30" s="49">
        <v>41</v>
      </c>
      <c r="X30" s="45"/>
      <c r="Y30" s="45"/>
      <c r="Z30" s="45"/>
      <c r="AA30" s="45">
        <v>-1</v>
      </c>
      <c r="AB30" s="75">
        <f>((U30-O30)/V30)*AA30* (1-(3/(4*(Q30+W30-2)-1)))</f>
        <v>-9.3876138853650218E-2</v>
      </c>
      <c r="AC30" s="81"/>
      <c r="AD30" s="53">
        <v>0</v>
      </c>
      <c r="AE30" s="53"/>
      <c r="AF30" s="132">
        <v>12.2</v>
      </c>
      <c r="AG30" s="132">
        <v>3.9</v>
      </c>
      <c r="AH30" s="132"/>
      <c r="AI30" s="133">
        <v>13.1</v>
      </c>
      <c r="AJ30" s="133">
        <v>3.2</v>
      </c>
      <c r="AK30" s="45"/>
      <c r="AL30" s="45"/>
      <c r="AM30" s="45"/>
      <c r="AN30" s="45"/>
      <c r="AO30" s="54"/>
    </row>
    <row r="31" spans="1:41" s="13" customFormat="1" ht="15.95" customHeight="1" x14ac:dyDescent="0.25">
      <c r="A31" s="45">
        <v>564</v>
      </c>
      <c r="B31" s="45" t="s">
        <v>43</v>
      </c>
      <c r="C31" s="45" t="s">
        <v>75</v>
      </c>
      <c r="D31" s="45" t="s">
        <v>333</v>
      </c>
      <c r="E31" s="36" t="s">
        <v>81</v>
      </c>
      <c r="F31" s="45" t="s">
        <v>810</v>
      </c>
      <c r="G31" s="45">
        <v>2023</v>
      </c>
      <c r="H31" s="45" t="s">
        <v>336</v>
      </c>
      <c r="I31" s="206"/>
      <c r="J31" s="206"/>
      <c r="K31" s="206" t="s">
        <v>891</v>
      </c>
      <c r="L31" s="217" t="s">
        <v>892</v>
      </c>
      <c r="M31" s="206" t="s">
        <v>813</v>
      </c>
      <c r="N31" s="206" t="s">
        <v>814</v>
      </c>
      <c r="O31" s="47">
        <v>14.4</v>
      </c>
      <c r="P31" s="48">
        <v>3.14</v>
      </c>
      <c r="Q31" s="49">
        <v>27</v>
      </c>
      <c r="R31" s="50"/>
      <c r="S31" s="48"/>
      <c r="T31" s="50"/>
      <c r="U31" s="47">
        <v>14.7</v>
      </c>
      <c r="V31" s="50">
        <v>3.14</v>
      </c>
      <c r="W31" s="49">
        <v>28</v>
      </c>
      <c r="X31" s="45"/>
      <c r="Y31" s="45"/>
      <c r="Z31" s="45"/>
      <c r="AA31" s="45">
        <v>-1</v>
      </c>
      <c r="AB31" s="52"/>
      <c r="AC31" s="45"/>
      <c r="AD31" s="53">
        <v>0</v>
      </c>
      <c r="AE31" s="53"/>
      <c r="AF31" s="45">
        <v>11.1</v>
      </c>
      <c r="AG31" s="45">
        <v>2.98</v>
      </c>
      <c r="AH31" s="45"/>
      <c r="AI31" s="45">
        <v>9.82</v>
      </c>
      <c r="AJ31" s="45">
        <v>2.13</v>
      </c>
      <c r="AK31" s="45"/>
      <c r="AL31" s="45"/>
      <c r="AM31" s="45"/>
      <c r="AN31" s="45"/>
      <c r="AO31" s="54"/>
    </row>
    <row r="32" spans="1:41" s="13" customFormat="1" ht="15.95" customHeight="1" x14ac:dyDescent="0.25">
      <c r="A32" s="45">
        <v>565</v>
      </c>
      <c r="B32" s="45" t="s">
        <v>43</v>
      </c>
      <c r="C32" s="45" t="s">
        <v>75</v>
      </c>
      <c r="D32" s="45" t="s">
        <v>333</v>
      </c>
      <c r="E32" s="36" t="s">
        <v>81</v>
      </c>
      <c r="F32" s="45" t="s">
        <v>810</v>
      </c>
      <c r="G32" s="45">
        <v>2023</v>
      </c>
      <c r="H32" s="45" t="s">
        <v>336</v>
      </c>
      <c r="I32" s="206"/>
      <c r="J32" s="206"/>
      <c r="K32" s="206" t="s">
        <v>891</v>
      </c>
      <c r="L32" s="217" t="s">
        <v>892</v>
      </c>
      <c r="M32" s="206" t="s">
        <v>813</v>
      </c>
      <c r="N32" s="206" t="s">
        <v>814</v>
      </c>
      <c r="O32" s="47">
        <v>14.4</v>
      </c>
      <c r="P32" s="48">
        <v>3.14</v>
      </c>
      <c r="Q32" s="49">
        <v>27</v>
      </c>
      <c r="R32" s="50"/>
      <c r="S32" s="48"/>
      <c r="T32" s="50"/>
      <c r="U32" s="47">
        <v>14.7</v>
      </c>
      <c r="V32" s="50">
        <v>3.14</v>
      </c>
      <c r="W32" s="49">
        <v>28</v>
      </c>
      <c r="X32" s="45">
        <v>28</v>
      </c>
      <c r="Y32" s="45"/>
      <c r="Z32" s="45"/>
      <c r="AA32" s="45">
        <v>-1</v>
      </c>
      <c r="AB32" s="52">
        <v>-0.09</v>
      </c>
      <c r="AC32" s="45"/>
      <c r="AD32" s="53">
        <v>0</v>
      </c>
      <c r="AE32" s="53"/>
      <c r="AF32" s="45">
        <v>11.1</v>
      </c>
      <c r="AG32" s="45">
        <v>2.98</v>
      </c>
      <c r="AH32" s="45"/>
      <c r="AI32" s="45">
        <v>9.82</v>
      </c>
      <c r="AJ32" s="45">
        <v>2.13</v>
      </c>
      <c r="AK32" s="45"/>
      <c r="AL32" s="45"/>
      <c r="AM32" s="45"/>
      <c r="AN32" s="45"/>
      <c r="AO32" s="54"/>
    </row>
    <row r="33" spans="1:41" s="13" customFormat="1" ht="15.95" customHeight="1" x14ac:dyDescent="0.25">
      <c r="A33" s="45">
        <v>566</v>
      </c>
      <c r="B33" s="45" t="s">
        <v>43</v>
      </c>
      <c r="C33" s="45" t="s">
        <v>75</v>
      </c>
      <c r="D33" s="45" t="s">
        <v>333</v>
      </c>
      <c r="E33" s="36" t="s">
        <v>81</v>
      </c>
      <c r="F33" s="45" t="s">
        <v>810</v>
      </c>
      <c r="G33" s="45">
        <v>2023</v>
      </c>
      <c r="H33" s="45" t="s">
        <v>334</v>
      </c>
      <c r="I33" s="206"/>
      <c r="J33" s="206"/>
      <c r="K33" s="206" t="s">
        <v>893</v>
      </c>
      <c r="L33" s="217" t="s">
        <v>894</v>
      </c>
      <c r="M33" s="206" t="s">
        <v>813</v>
      </c>
      <c r="N33" s="206" t="s">
        <v>814</v>
      </c>
      <c r="O33" s="47">
        <v>21.7</v>
      </c>
      <c r="P33" s="48">
        <v>10.7</v>
      </c>
      <c r="Q33" s="49">
        <v>27</v>
      </c>
      <c r="R33" s="50"/>
      <c r="S33" s="48"/>
      <c r="T33" s="50"/>
      <c r="U33" s="47">
        <v>24.2</v>
      </c>
      <c r="V33" s="50">
        <v>8.4600000000000009</v>
      </c>
      <c r="W33" s="49">
        <v>28</v>
      </c>
      <c r="X33" s="45"/>
      <c r="Y33" s="45"/>
      <c r="Z33" s="45"/>
      <c r="AA33" s="45">
        <v>-1</v>
      </c>
      <c r="AB33" s="52">
        <v>-0.28999999999999998</v>
      </c>
      <c r="AC33" s="45">
        <v>-0.31</v>
      </c>
      <c r="AD33" s="53">
        <v>0</v>
      </c>
      <c r="AE33" s="53"/>
      <c r="AF33" s="45">
        <v>11.1</v>
      </c>
      <c r="AG33" s="45">
        <v>2.98</v>
      </c>
      <c r="AH33" s="45"/>
      <c r="AI33" s="45">
        <v>9.82</v>
      </c>
      <c r="AJ33" s="45">
        <v>2.13</v>
      </c>
      <c r="AK33" s="45"/>
      <c r="AL33" s="45"/>
      <c r="AM33" s="45"/>
      <c r="AN33" s="45"/>
      <c r="AO33" s="84"/>
    </row>
    <row r="34" spans="1:41" s="13" customFormat="1" ht="15.95" customHeight="1" x14ac:dyDescent="0.25">
      <c r="A34" s="54">
        <v>11</v>
      </c>
      <c r="B34" s="45" t="s">
        <v>54</v>
      </c>
      <c r="C34" s="45" t="s">
        <v>75</v>
      </c>
      <c r="D34" s="45" t="s">
        <v>76</v>
      </c>
      <c r="E34" s="36"/>
      <c r="F34" s="45" t="s">
        <v>137</v>
      </c>
      <c r="G34" s="45">
        <v>2001</v>
      </c>
      <c r="H34" s="45" t="s">
        <v>337</v>
      </c>
      <c r="I34" s="206"/>
      <c r="J34" s="206"/>
      <c r="K34" s="206" t="s">
        <v>788</v>
      </c>
      <c r="L34" s="217"/>
      <c r="M34" s="217" t="s">
        <v>546</v>
      </c>
      <c r="N34" s="206"/>
      <c r="O34" s="47">
        <v>8.1</v>
      </c>
      <c r="P34" s="48">
        <v>2</v>
      </c>
      <c r="Q34" s="49">
        <v>18</v>
      </c>
      <c r="R34" s="164" t="s">
        <v>58</v>
      </c>
      <c r="S34" s="165"/>
      <c r="T34" s="50"/>
      <c r="U34" s="47">
        <v>8</v>
      </c>
      <c r="V34" s="48">
        <v>2.5</v>
      </c>
      <c r="W34" s="49">
        <v>16</v>
      </c>
      <c r="X34" s="45"/>
      <c r="Y34" s="45"/>
      <c r="Z34" s="45"/>
      <c r="AA34" s="45">
        <v>-1</v>
      </c>
      <c r="AB34" s="75">
        <f>((U34-O34)/V34)*AA34* (1-(3/(4*(Q34+W34-2)-1)))</f>
        <v>3.9055118110236084E-2</v>
      </c>
      <c r="AC34" s="81">
        <f>((P34^2/(V34^2 * Q34)) + (1/W34)) +( (AB34^2)/(2 * (W34-1)))</f>
        <v>9.8106398963909047E-2</v>
      </c>
      <c r="AD34" s="53">
        <v>0</v>
      </c>
      <c r="AE34" s="53"/>
      <c r="AF34" s="136">
        <v>17.88</v>
      </c>
      <c r="AG34" s="136">
        <v>2.74</v>
      </c>
      <c r="AH34" s="45"/>
      <c r="AI34" s="166">
        <v>16.32</v>
      </c>
      <c r="AJ34" s="166">
        <v>2.92</v>
      </c>
      <c r="AK34" s="45"/>
      <c r="AL34" s="45"/>
      <c r="AM34" s="45"/>
      <c r="AN34" s="45"/>
      <c r="AO34" s="45"/>
    </row>
    <row r="35" spans="1:41" s="13" customFormat="1" ht="15.95" customHeight="1" x14ac:dyDescent="0.25">
      <c r="A35" s="54">
        <v>12</v>
      </c>
      <c r="B35" s="45" t="s">
        <v>54</v>
      </c>
      <c r="C35" s="45" t="s">
        <v>75</v>
      </c>
      <c r="D35" s="45" t="s">
        <v>76</v>
      </c>
      <c r="E35" s="36"/>
      <c r="F35" s="45" t="s">
        <v>137</v>
      </c>
      <c r="G35" s="45">
        <v>2001</v>
      </c>
      <c r="H35" s="45" t="s">
        <v>337</v>
      </c>
      <c r="I35" s="206"/>
      <c r="J35" s="206"/>
      <c r="K35" s="206" t="s">
        <v>789</v>
      </c>
      <c r="L35" s="217" t="s">
        <v>790</v>
      </c>
      <c r="M35" s="217" t="s">
        <v>546</v>
      </c>
      <c r="N35" s="206"/>
      <c r="O35" s="47">
        <v>4.4000000000000004</v>
      </c>
      <c r="P35" s="48">
        <v>7.9</v>
      </c>
      <c r="Q35" s="49">
        <v>18</v>
      </c>
      <c r="R35" s="164" t="s">
        <v>58</v>
      </c>
      <c r="S35" s="165"/>
      <c r="T35" s="50"/>
      <c r="U35" s="47">
        <v>0.5</v>
      </c>
      <c r="V35" s="48">
        <v>0.8</v>
      </c>
      <c r="W35" s="49">
        <v>16</v>
      </c>
      <c r="X35" s="45"/>
      <c r="Y35" s="45"/>
      <c r="Z35" s="45"/>
      <c r="AA35" s="45">
        <v>1</v>
      </c>
      <c r="AB35" s="75">
        <f>((U35-O35)/V35)*AA35* (1-(3/(4*(Q35+W35-2)-1)))</f>
        <v>-4.7598425196850398</v>
      </c>
      <c r="AC35" s="81"/>
      <c r="AD35" s="53">
        <v>0</v>
      </c>
      <c r="AE35" s="53"/>
      <c r="AF35" s="136">
        <v>17.88</v>
      </c>
      <c r="AG35" s="136">
        <v>2.74</v>
      </c>
      <c r="AH35" s="45"/>
      <c r="AI35" s="166">
        <v>16.32</v>
      </c>
      <c r="AJ35" s="166">
        <v>2.92</v>
      </c>
      <c r="AK35" s="45"/>
      <c r="AL35" s="45"/>
      <c r="AM35" s="45"/>
      <c r="AN35" s="45"/>
      <c r="AO35" s="54"/>
    </row>
    <row r="36" spans="1:41" s="13" customFormat="1" ht="15.95" customHeight="1" x14ac:dyDescent="0.25">
      <c r="A36" s="54">
        <v>13</v>
      </c>
      <c r="B36" s="45" t="s">
        <v>54</v>
      </c>
      <c r="C36" s="45" t="s">
        <v>75</v>
      </c>
      <c r="D36" s="45" t="s">
        <v>76</v>
      </c>
      <c r="E36" s="36"/>
      <c r="F36" s="45" t="s">
        <v>137</v>
      </c>
      <c r="G36" s="45">
        <v>2001</v>
      </c>
      <c r="H36" s="45" t="s">
        <v>337</v>
      </c>
      <c r="I36" s="206"/>
      <c r="J36" s="206"/>
      <c r="K36" s="206" t="s">
        <v>791</v>
      </c>
      <c r="L36" s="217" t="s">
        <v>790</v>
      </c>
      <c r="M36" s="217" t="s">
        <v>546</v>
      </c>
      <c r="N36" s="206"/>
      <c r="O36" s="47">
        <v>10.5</v>
      </c>
      <c r="P36" s="48">
        <v>7.6</v>
      </c>
      <c r="Q36" s="49">
        <v>18</v>
      </c>
      <c r="R36" s="164" t="s">
        <v>58</v>
      </c>
      <c r="S36" s="165"/>
      <c r="T36" s="50"/>
      <c r="U36" s="47">
        <v>7.3</v>
      </c>
      <c r="V36" s="48">
        <v>2.1</v>
      </c>
      <c r="W36" s="49">
        <v>16</v>
      </c>
      <c r="X36" s="45"/>
      <c r="Y36" s="45"/>
      <c r="Z36" s="45"/>
      <c r="AA36" s="45">
        <v>1</v>
      </c>
      <c r="AB36" s="75">
        <f>((U36-O36)/V36)*AA36* (1-(3/(4*(Q36+W36-2)-1)))</f>
        <v>-1.487814023247094</v>
      </c>
      <c r="AC36" s="81">
        <f>((P36^2/(V36^2 * Q36)) + (1/W36)) +( (AB36^2)/(2 * (W36-1)))</f>
        <v>0.86392555608870358</v>
      </c>
      <c r="AD36" s="53">
        <v>0</v>
      </c>
      <c r="AE36" s="53"/>
      <c r="AF36" s="136">
        <v>17.88</v>
      </c>
      <c r="AG36" s="136">
        <v>2.74</v>
      </c>
      <c r="AH36" s="45"/>
      <c r="AI36" s="166">
        <v>16.32</v>
      </c>
      <c r="AJ36" s="166">
        <v>2.92</v>
      </c>
      <c r="AK36" s="45"/>
      <c r="AL36" s="45"/>
      <c r="AM36" s="45"/>
      <c r="AN36" s="45"/>
      <c r="AO36" s="54"/>
    </row>
    <row r="37" spans="1:41" s="13" customFormat="1" ht="15.95" customHeight="1" x14ac:dyDescent="0.25">
      <c r="A37" s="54">
        <v>14</v>
      </c>
      <c r="B37" s="45" t="s">
        <v>54</v>
      </c>
      <c r="C37" s="45" t="s">
        <v>75</v>
      </c>
      <c r="D37" s="45" t="s">
        <v>76</v>
      </c>
      <c r="E37" s="36"/>
      <c r="F37" s="45" t="s">
        <v>137</v>
      </c>
      <c r="G37" s="45">
        <v>2001</v>
      </c>
      <c r="H37" s="45" t="s">
        <v>337</v>
      </c>
      <c r="I37" s="206"/>
      <c r="J37" s="206"/>
      <c r="K37" s="206" t="s">
        <v>792</v>
      </c>
      <c r="L37" s="217" t="s">
        <v>793</v>
      </c>
      <c r="M37" s="217" t="s">
        <v>546</v>
      </c>
      <c r="N37" s="206"/>
      <c r="O37" s="47">
        <v>5.5</v>
      </c>
      <c r="P37" s="48">
        <v>7.9</v>
      </c>
      <c r="Q37" s="49">
        <v>18</v>
      </c>
      <c r="R37" s="164" t="s">
        <v>58</v>
      </c>
      <c r="S37" s="165"/>
      <c r="T37" s="50"/>
      <c r="U37" s="47">
        <v>7.2</v>
      </c>
      <c r="V37" s="48">
        <v>9.6</v>
      </c>
      <c r="W37" s="49">
        <v>16</v>
      </c>
      <c r="X37" s="45"/>
      <c r="Y37" s="45"/>
      <c r="Z37" s="45"/>
      <c r="AA37" s="45">
        <v>1</v>
      </c>
      <c r="AB37" s="75">
        <f>((U37-O37)/V37)*AA37* (1-(3/(4*(Q37+W37-2)-1)))</f>
        <v>0.17290026246719165</v>
      </c>
      <c r="AC37" s="81">
        <f>((P37^2/(V37^2 * Q37)) + (1/W37)) +( (AB37^2)/(2 * (W37-1)))</f>
        <v>0.10111825226302845</v>
      </c>
      <c r="AD37" s="53">
        <v>0</v>
      </c>
      <c r="AE37" s="53"/>
      <c r="AF37" s="136">
        <v>17.88</v>
      </c>
      <c r="AG37" s="136">
        <v>2.74</v>
      </c>
      <c r="AH37" s="45"/>
      <c r="AI37" s="166">
        <v>16.32</v>
      </c>
      <c r="AJ37" s="166">
        <v>2.92</v>
      </c>
      <c r="AK37" s="45"/>
      <c r="AL37" s="45"/>
      <c r="AM37" s="45"/>
      <c r="AN37" s="45"/>
      <c r="AO37" s="54"/>
    </row>
    <row r="38" spans="1:41" s="13" customFormat="1" ht="15.95" customHeight="1" x14ac:dyDescent="0.25">
      <c r="A38" s="54">
        <v>15</v>
      </c>
      <c r="B38" s="45" t="s">
        <v>54</v>
      </c>
      <c r="C38" s="45" t="s">
        <v>75</v>
      </c>
      <c r="D38" s="45" t="s">
        <v>76</v>
      </c>
      <c r="E38" s="36"/>
      <c r="F38" s="45" t="s">
        <v>137</v>
      </c>
      <c r="G38" s="45">
        <v>2001</v>
      </c>
      <c r="H38" s="45" t="s">
        <v>337</v>
      </c>
      <c r="I38" s="206"/>
      <c r="J38" s="206"/>
      <c r="K38" s="206" t="s">
        <v>794</v>
      </c>
      <c r="L38" s="217" t="s">
        <v>793</v>
      </c>
      <c r="M38" s="217" t="s">
        <v>546</v>
      </c>
      <c r="N38" s="206"/>
      <c r="O38" s="47">
        <v>13.3</v>
      </c>
      <c r="P38" s="48">
        <v>10.6</v>
      </c>
      <c r="Q38" s="49">
        <v>18</v>
      </c>
      <c r="R38" s="164" t="s">
        <v>58</v>
      </c>
      <c r="S38" s="165"/>
      <c r="T38" s="50"/>
      <c r="U38" s="47">
        <v>11.7</v>
      </c>
      <c r="V38" s="48">
        <v>6.5</v>
      </c>
      <c r="W38" s="49">
        <v>16</v>
      </c>
      <c r="X38" s="45"/>
      <c r="Y38" s="45"/>
      <c r="Z38" s="45"/>
      <c r="AA38" s="45">
        <v>1</v>
      </c>
      <c r="AB38" s="75">
        <f>((U38-O38)/V38)*AA38* (1-(3/(4*(Q38+W38-2)-1)))</f>
        <v>-0.24033918837068466</v>
      </c>
      <c r="AC38" s="81">
        <f>((P38^2/(V38^2 * Q38)) + (1/W38)) +( (AB38^2)/(2 * (W38-1)))</f>
        <v>0.21217033551687092</v>
      </c>
      <c r="AD38" s="53">
        <v>0</v>
      </c>
      <c r="AE38" s="53"/>
      <c r="AF38" s="136">
        <v>17.88</v>
      </c>
      <c r="AG38" s="136">
        <v>2.74</v>
      </c>
      <c r="AH38" s="45"/>
      <c r="AI38" s="166">
        <v>16.32</v>
      </c>
      <c r="AJ38" s="166">
        <v>2.92</v>
      </c>
      <c r="AK38" s="45"/>
      <c r="AL38" s="45"/>
      <c r="AM38" s="45"/>
      <c r="AN38" s="45"/>
      <c r="AO38" s="54"/>
    </row>
    <row r="39" spans="1:41" s="13" customFormat="1" ht="15.95" customHeight="1" x14ac:dyDescent="0.25">
      <c r="A39" s="54">
        <v>16</v>
      </c>
      <c r="B39" s="45" t="s">
        <v>54</v>
      </c>
      <c r="C39" s="45" t="s">
        <v>75</v>
      </c>
      <c r="D39" s="45" t="s">
        <v>76</v>
      </c>
      <c r="E39" s="36"/>
      <c r="F39" s="45" t="s">
        <v>137</v>
      </c>
      <c r="G39" s="45">
        <v>2001</v>
      </c>
      <c r="H39" s="45" t="s">
        <v>337</v>
      </c>
      <c r="I39" s="206"/>
      <c r="J39" s="206"/>
      <c r="K39" s="206" t="s">
        <v>795</v>
      </c>
      <c r="L39" s="217"/>
      <c r="M39" s="217" t="s">
        <v>546</v>
      </c>
      <c r="N39" s="206"/>
      <c r="O39" s="47">
        <v>5.75</v>
      </c>
      <c r="P39" s="48">
        <v>2.8</v>
      </c>
      <c r="Q39" s="49">
        <v>18</v>
      </c>
      <c r="R39" s="164" t="s">
        <v>58</v>
      </c>
      <c r="S39" s="165"/>
      <c r="T39" s="50"/>
      <c r="U39" s="47">
        <v>8.1999999999999993</v>
      </c>
      <c r="V39" s="48">
        <v>7.9</v>
      </c>
      <c r="W39" s="49">
        <v>16</v>
      </c>
      <c r="X39" s="45"/>
      <c r="Y39" s="45"/>
      <c r="Z39" s="45"/>
      <c r="AA39" s="45">
        <v>1</v>
      </c>
      <c r="AB39" s="75">
        <f>((U39-O39)/V39)*AA39* (1-(3/(4*(Q39+W39-2)-1)))</f>
        <v>0.3028007575002491</v>
      </c>
      <c r="AC39" s="81">
        <f>((P39^2/(V39^2 * Q39)) + (1/W39)) +( (AB39^2)/(2 * (W39-1)))</f>
        <v>7.2535215185173377E-2</v>
      </c>
      <c r="AD39" s="53">
        <v>0</v>
      </c>
      <c r="AE39" s="53"/>
      <c r="AF39" s="136">
        <v>17.88</v>
      </c>
      <c r="AG39" s="136">
        <v>2.74</v>
      </c>
      <c r="AH39" s="45"/>
      <c r="AI39" s="166">
        <v>16.32</v>
      </c>
      <c r="AJ39" s="166">
        <v>2.92</v>
      </c>
      <c r="AK39" s="45"/>
      <c r="AL39" s="45"/>
      <c r="AM39" s="45"/>
      <c r="AN39" s="45"/>
      <c r="AO39" s="54"/>
    </row>
    <row r="40" spans="1:41" s="11" customFormat="1" ht="15.95" customHeight="1" x14ac:dyDescent="0.25">
      <c r="A40" s="54">
        <v>91</v>
      </c>
      <c r="B40" s="45" t="s">
        <v>54</v>
      </c>
      <c r="C40" s="45" t="s">
        <v>75</v>
      </c>
      <c r="D40" s="45" t="s">
        <v>333</v>
      </c>
      <c r="E40" s="36"/>
      <c r="F40" s="45" t="s">
        <v>251</v>
      </c>
      <c r="G40" s="45">
        <v>2007</v>
      </c>
      <c r="H40" s="45" t="s">
        <v>336</v>
      </c>
      <c r="I40" s="206"/>
      <c r="J40" s="206"/>
      <c r="K40" s="206" t="s">
        <v>872</v>
      </c>
      <c r="L40" s="217"/>
      <c r="M40" s="217" t="s">
        <v>254</v>
      </c>
      <c r="N40" s="206"/>
      <c r="O40" s="47">
        <v>9.4</v>
      </c>
      <c r="P40" s="48">
        <v>3.66</v>
      </c>
      <c r="Q40" s="49">
        <v>15</v>
      </c>
      <c r="R40" s="130">
        <v>660</v>
      </c>
      <c r="S40" s="48">
        <v>337</v>
      </c>
      <c r="T40" s="50"/>
      <c r="U40" s="47">
        <v>10</v>
      </c>
      <c r="V40" s="48">
        <v>3</v>
      </c>
      <c r="W40" s="49">
        <v>20</v>
      </c>
      <c r="X40" s="45"/>
      <c r="Y40" s="45"/>
      <c r="Z40" s="45"/>
      <c r="AA40" s="45">
        <v>-1</v>
      </c>
      <c r="AB40" s="75">
        <f>((U40-O40)/V40)*AA40* (1-(3/(4*(Q40+W40-2)-1)))</f>
        <v>-0.19541984732824413</v>
      </c>
      <c r="AC40" s="81"/>
      <c r="AD40" s="53">
        <v>0</v>
      </c>
      <c r="AE40" s="53"/>
      <c r="AF40" s="132">
        <v>14.8</v>
      </c>
      <c r="AG40" s="45">
        <f>(20-8)/4</f>
        <v>3</v>
      </c>
      <c r="AH40" s="45"/>
      <c r="AI40" s="82"/>
      <c r="AJ40" s="82"/>
      <c r="AK40" s="45"/>
      <c r="AL40" s="45"/>
      <c r="AM40" s="45"/>
      <c r="AN40" s="45"/>
      <c r="AO40" s="54"/>
    </row>
    <row r="41" spans="1:41" s="13" customFormat="1" ht="15.95" customHeight="1" x14ac:dyDescent="0.25">
      <c r="A41" s="54">
        <v>92</v>
      </c>
      <c r="B41" s="45" t="s">
        <v>54</v>
      </c>
      <c r="C41" s="45" t="s">
        <v>75</v>
      </c>
      <c r="D41" s="45" t="s">
        <v>333</v>
      </c>
      <c r="E41" s="36"/>
      <c r="F41" s="45" t="s">
        <v>251</v>
      </c>
      <c r="G41" s="45">
        <v>2007</v>
      </c>
      <c r="H41" s="45" t="s">
        <v>336</v>
      </c>
      <c r="I41" s="206"/>
      <c r="J41" s="206"/>
      <c r="K41" s="206" t="s">
        <v>873</v>
      </c>
      <c r="L41" s="217"/>
      <c r="M41" s="217" t="s">
        <v>254</v>
      </c>
      <c r="N41" s="206"/>
      <c r="O41" s="47">
        <v>8.93</v>
      </c>
      <c r="P41" s="48">
        <v>4</v>
      </c>
      <c r="Q41" s="49">
        <v>15</v>
      </c>
      <c r="R41" s="130">
        <v>660</v>
      </c>
      <c r="S41" s="48">
        <v>337</v>
      </c>
      <c r="T41" s="50"/>
      <c r="U41" s="47">
        <v>10</v>
      </c>
      <c r="V41" s="48">
        <v>3</v>
      </c>
      <c r="W41" s="49">
        <v>20</v>
      </c>
      <c r="X41" s="45"/>
      <c r="Y41" s="45"/>
      <c r="Z41" s="45"/>
      <c r="AA41" s="45">
        <v>-1</v>
      </c>
      <c r="AB41" s="75">
        <f>((U41-O41)/V41)*AA41* (1-(3/(4*(Q41+W41-2)-1)))</f>
        <v>-0.348498727735369</v>
      </c>
      <c r="AC41" s="81"/>
      <c r="AD41" s="53">
        <v>0</v>
      </c>
      <c r="AE41" s="53"/>
      <c r="AF41" s="132">
        <v>14.8</v>
      </c>
      <c r="AG41" s="45">
        <f>(20-8)/4</f>
        <v>3</v>
      </c>
      <c r="AH41" s="45"/>
      <c r="AI41" s="82"/>
      <c r="AJ41" s="82"/>
      <c r="AK41" s="45"/>
      <c r="AL41" s="45"/>
      <c r="AM41" s="45"/>
      <c r="AN41" s="45"/>
      <c r="AO41" s="54"/>
    </row>
    <row r="42" spans="1:41" s="13" customFormat="1" ht="15.95" customHeight="1" x14ac:dyDescent="0.25">
      <c r="A42" s="54">
        <v>181</v>
      </c>
      <c r="B42" s="45" t="s">
        <v>34</v>
      </c>
      <c r="C42" s="46" t="s">
        <v>44</v>
      </c>
      <c r="D42" s="46" t="s">
        <v>44</v>
      </c>
      <c r="E42" s="36" t="s">
        <v>36</v>
      </c>
      <c r="F42" s="45" t="s">
        <v>829</v>
      </c>
      <c r="G42" s="45">
        <v>2023</v>
      </c>
      <c r="H42" s="45" t="s">
        <v>851</v>
      </c>
      <c r="I42" s="206"/>
      <c r="J42" s="206"/>
      <c r="K42" s="206" t="s">
        <v>852</v>
      </c>
      <c r="L42" s="217" t="s">
        <v>853</v>
      </c>
      <c r="M42" s="206" t="s">
        <v>854</v>
      </c>
      <c r="N42" s="206" t="s">
        <v>855</v>
      </c>
      <c r="O42" s="47">
        <v>5.01</v>
      </c>
      <c r="P42" s="48">
        <v>10.8</v>
      </c>
      <c r="Q42" s="49">
        <v>20</v>
      </c>
      <c r="R42" s="50">
        <v>585.75</v>
      </c>
      <c r="S42" s="48">
        <v>419.73</v>
      </c>
      <c r="T42" s="50"/>
      <c r="U42" s="47">
        <v>11.28</v>
      </c>
      <c r="V42" s="50">
        <v>8.8000000000000007</v>
      </c>
      <c r="W42" s="49">
        <v>20</v>
      </c>
      <c r="X42" s="45" t="s">
        <v>58</v>
      </c>
      <c r="Y42" s="45">
        <v>0.3</v>
      </c>
      <c r="Z42" s="45"/>
      <c r="AA42" s="45">
        <v>-1</v>
      </c>
      <c r="AB42" s="52">
        <v>-0.7</v>
      </c>
      <c r="AC42" s="45"/>
      <c r="AD42" s="53">
        <v>0</v>
      </c>
      <c r="AE42" s="53" t="s">
        <v>832</v>
      </c>
      <c r="AF42" s="45">
        <v>11.2</v>
      </c>
      <c r="AG42" s="45">
        <v>3.1</v>
      </c>
      <c r="AH42" s="45"/>
      <c r="AI42" s="45">
        <v>11.3</v>
      </c>
      <c r="AJ42" s="45">
        <v>3.4</v>
      </c>
      <c r="AK42" s="45"/>
      <c r="AL42" s="45"/>
      <c r="AM42" s="45"/>
      <c r="AN42" s="45"/>
      <c r="AO42" s="45"/>
    </row>
    <row r="43" spans="1:41" s="13" customFormat="1" ht="15.95" customHeight="1" x14ac:dyDescent="0.25">
      <c r="A43" s="54">
        <v>182</v>
      </c>
      <c r="B43" s="45" t="s">
        <v>34</v>
      </c>
      <c r="C43" s="46" t="s">
        <v>44</v>
      </c>
      <c r="D43" s="46" t="s">
        <v>44</v>
      </c>
      <c r="E43" s="36" t="s">
        <v>36</v>
      </c>
      <c r="F43" s="45" t="s">
        <v>829</v>
      </c>
      <c r="G43" s="45">
        <v>2023</v>
      </c>
      <c r="H43" s="45" t="s">
        <v>851</v>
      </c>
      <c r="I43" s="206"/>
      <c r="J43" s="206"/>
      <c r="K43" s="206" t="s">
        <v>856</v>
      </c>
      <c r="L43" s="217" t="s">
        <v>853</v>
      </c>
      <c r="M43" s="206" t="s">
        <v>854</v>
      </c>
      <c r="N43" s="206" t="s">
        <v>857</v>
      </c>
      <c r="O43" s="47">
        <v>43.1</v>
      </c>
      <c r="P43" s="48">
        <v>11.11</v>
      </c>
      <c r="Q43" s="49">
        <v>20</v>
      </c>
      <c r="R43" s="50">
        <v>585.75</v>
      </c>
      <c r="S43" s="48">
        <v>419.73</v>
      </c>
      <c r="T43" s="50"/>
      <c r="U43" s="47">
        <v>52</v>
      </c>
      <c r="V43" s="50">
        <v>11.89</v>
      </c>
      <c r="W43" s="49">
        <v>20</v>
      </c>
      <c r="X43" s="45" t="s">
        <v>58</v>
      </c>
      <c r="Y43" s="45">
        <v>0.36</v>
      </c>
      <c r="Z43" s="45"/>
      <c r="AA43" s="45">
        <v>-1</v>
      </c>
      <c r="AB43" s="52">
        <v>-0.73</v>
      </c>
      <c r="AC43" s="45"/>
      <c r="AD43" s="53">
        <v>0</v>
      </c>
      <c r="AE43" s="53" t="s">
        <v>832</v>
      </c>
      <c r="AF43" s="45">
        <v>11.2</v>
      </c>
      <c r="AG43" s="45">
        <v>3.1</v>
      </c>
      <c r="AH43" s="45"/>
      <c r="AI43" s="45">
        <v>11.3</v>
      </c>
      <c r="AJ43" s="45">
        <v>3.4</v>
      </c>
      <c r="AK43" s="45"/>
      <c r="AL43" s="45"/>
      <c r="AM43" s="45"/>
      <c r="AN43" s="45"/>
      <c r="AO43" s="45"/>
    </row>
    <row r="44" spans="1:41" s="13" customFormat="1" ht="15.95" customHeight="1" x14ac:dyDescent="0.25">
      <c r="A44" s="54">
        <v>186</v>
      </c>
      <c r="B44" s="45" t="s">
        <v>34</v>
      </c>
      <c r="C44" s="46" t="s">
        <v>44</v>
      </c>
      <c r="D44" s="46" t="s">
        <v>44</v>
      </c>
      <c r="E44" s="36" t="s">
        <v>36</v>
      </c>
      <c r="F44" s="45" t="s">
        <v>301</v>
      </c>
      <c r="G44" s="45">
        <v>2022</v>
      </c>
      <c r="H44" s="45" t="s">
        <v>308</v>
      </c>
      <c r="I44" s="206"/>
      <c r="J44" s="206"/>
      <c r="K44" s="206" t="s">
        <v>779</v>
      </c>
      <c r="L44" s="217"/>
      <c r="M44" s="206" t="s">
        <v>862</v>
      </c>
      <c r="N44" s="206" t="s">
        <v>311</v>
      </c>
      <c r="O44" s="47">
        <v>0.1</v>
      </c>
      <c r="P44" s="48">
        <v>13.7</v>
      </c>
      <c r="Q44" s="49">
        <v>30</v>
      </c>
      <c r="R44" s="50">
        <v>741</v>
      </c>
      <c r="S44" s="48">
        <f>358/1.35</f>
        <v>265.18518518518516</v>
      </c>
      <c r="T44" s="48" t="s">
        <v>307</v>
      </c>
      <c r="U44" s="47">
        <v>-0.7</v>
      </c>
      <c r="V44" s="50">
        <v>11.5</v>
      </c>
      <c r="W44" s="49">
        <v>54</v>
      </c>
      <c r="X44" s="45">
        <v>54</v>
      </c>
      <c r="Y44" s="45">
        <v>-0.15</v>
      </c>
      <c r="Z44" s="45"/>
      <c r="AA44" s="45">
        <v>1</v>
      </c>
      <c r="AB44" s="52">
        <v>-7.0000000000000007E-2</v>
      </c>
      <c r="AC44" s="45"/>
      <c r="AD44" s="53">
        <v>0</v>
      </c>
      <c r="AE44" s="53"/>
      <c r="AF44" s="45">
        <v>10.75</v>
      </c>
      <c r="AG44" s="45">
        <v>7.1</v>
      </c>
      <c r="AH44" s="45"/>
      <c r="AI44" s="45">
        <v>13.1</v>
      </c>
      <c r="AJ44" s="45">
        <v>3.2</v>
      </c>
      <c r="AK44" s="45"/>
      <c r="AL44" s="45"/>
      <c r="AM44" s="45"/>
      <c r="AN44" s="45"/>
      <c r="AO44" s="54"/>
    </row>
    <row r="45" spans="1:41" s="13" customFormat="1" ht="15.95" customHeight="1" x14ac:dyDescent="0.25">
      <c r="A45" s="54">
        <v>187</v>
      </c>
      <c r="B45" s="45" t="s">
        <v>34</v>
      </c>
      <c r="C45" s="46" t="s">
        <v>44</v>
      </c>
      <c r="D45" s="46" t="s">
        <v>44</v>
      </c>
      <c r="E45" s="36" t="s">
        <v>36</v>
      </c>
      <c r="F45" s="45" t="s">
        <v>301</v>
      </c>
      <c r="G45" s="45">
        <v>2022</v>
      </c>
      <c r="H45" s="45" t="s">
        <v>312</v>
      </c>
      <c r="I45" s="206"/>
      <c r="J45" s="206"/>
      <c r="K45" s="206" t="s">
        <v>779</v>
      </c>
      <c r="L45" s="217"/>
      <c r="M45" s="206" t="s">
        <v>862</v>
      </c>
      <c r="N45" s="206" t="s">
        <v>311</v>
      </c>
      <c r="O45" s="47">
        <v>6.4</v>
      </c>
      <c r="P45" s="48">
        <v>10.199999999999999</v>
      </c>
      <c r="Q45" s="49">
        <v>30</v>
      </c>
      <c r="R45" s="50">
        <v>741</v>
      </c>
      <c r="S45" s="48">
        <f>358/1.35</f>
        <v>265.18518518518516</v>
      </c>
      <c r="T45" s="48" t="s">
        <v>307</v>
      </c>
      <c r="U45" s="47">
        <v>-2.2999999999999998</v>
      </c>
      <c r="V45" s="50">
        <v>11.8</v>
      </c>
      <c r="W45" s="49">
        <v>54</v>
      </c>
      <c r="X45" s="45">
        <v>54</v>
      </c>
      <c r="Y45" s="45">
        <v>-0.45</v>
      </c>
      <c r="Z45" s="45"/>
      <c r="AA45" s="45">
        <v>1</v>
      </c>
      <c r="AB45" s="52">
        <v>-0.73</v>
      </c>
      <c r="AC45" s="45"/>
      <c r="AD45" s="53">
        <v>0</v>
      </c>
      <c r="AE45" s="53"/>
      <c r="AF45" s="45" t="s">
        <v>58</v>
      </c>
      <c r="AG45" s="45"/>
      <c r="AH45" s="45"/>
      <c r="AI45" s="45"/>
      <c r="AJ45" s="45" t="s">
        <v>863</v>
      </c>
      <c r="AK45" s="45"/>
      <c r="AL45" s="45"/>
      <c r="AM45" s="45"/>
      <c r="AN45" s="45"/>
      <c r="AO45" s="54"/>
    </row>
    <row r="46" spans="1:41" s="13" customFormat="1" ht="15.95" customHeight="1" x14ac:dyDescent="0.25">
      <c r="A46" s="54">
        <v>193</v>
      </c>
      <c r="B46" s="54" t="s">
        <v>34</v>
      </c>
      <c r="C46" s="46" t="s">
        <v>44</v>
      </c>
      <c r="D46" s="46" t="s">
        <v>44</v>
      </c>
      <c r="E46" s="36" t="s">
        <v>36</v>
      </c>
      <c r="F46" s="45" t="s">
        <v>148</v>
      </c>
      <c r="G46" s="54">
        <v>2017</v>
      </c>
      <c r="H46" s="45" t="s">
        <v>257</v>
      </c>
      <c r="I46" s="206" t="s">
        <v>39</v>
      </c>
      <c r="J46" s="206" t="s">
        <v>39</v>
      </c>
      <c r="K46" s="225" t="s">
        <v>864</v>
      </c>
      <c r="L46" s="226" t="s">
        <v>865</v>
      </c>
      <c r="M46" s="226"/>
      <c r="N46" s="226"/>
      <c r="O46" s="76">
        <v>0.63</v>
      </c>
      <c r="P46" s="77">
        <v>1.07</v>
      </c>
      <c r="Q46" s="49">
        <v>37</v>
      </c>
      <c r="R46" s="78">
        <v>720</v>
      </c>
      <c r="S46" s="79"/>
      <c r="T46" s="78"/>
      <c r="U46" s="76">
        <v>0.8</v>
      </c>
      <c r="V46" s="48">
        <v>1</v>
      </c>
      <c r="W46" s="49">
        <v>30</v>
      </c>
      <c r="X46" s="54"/>
      <c r="Y46" s="80" t="e">
        <f>(#REF!-O46)/SQRT((#REF!^2+P46^2)/2)</f>
        <v>#REF!</v>
      </c>
      <c r="Z46" s="80"/>
      <c r="AA46" s="46">
        <v>1</v>
      </c>
      <c r="AB46" s="75">
        <f>((O46-U46)/P46)*AA46 * (1-(3/(4*(Q46+W46-2)-1)))</f>
        <v>-0.1570382131129795</v>
      </c>
      <c r="AC46" s="81"/>
      <c r="AD46" s="53">
        <v>0</v>
      </c>
      <c r="AE46" s="53" t="s">
        <v>866</v>
      </c>
      <c r="AF46" s="45"/>
      <c r="AG46" s="45"/>
      <c r="AH46" s="45"/>
      <c r="AI46" s="82"/>
      <c r="AJ46" s="82"/>
      <c r="AK46" s="46">
        <v>1</v>
      </c>
      <c r="AL46" s="46" t="s">
        <v>116</v>
      </c>
      <c r="AM46" s="54" t="s">
        <v>69</v>
      </c>
      <c r="AN46" s="46" t="s">
        <v>118</v>
      </c>
      <c r="AO46" s="54"/>
    </row>
    <row r="47" spans="1:41" s="13" customFormat="1" ht="15.95" customHeight="1" x14ac:dyDescent="0.25">
      <c r="A47" s="54">
        <v>194</v>
      </c>
      <c r="B47" s="54" t="s">
        <v>34</v>
      </c>
      <c r="C47" s="46" t="s">
        <v>44</v>
      </c>
      <c r="D47" s="46" t="s">
        <v>44</v>
      </c>
      <c r="E47" s="36" t="s">
        <v>36</v>
      </c>
      <c r="F47" s="45" t="s">
        <v>148</v>
      </c>
      <c r="G47" s="54">
        <v>2017</v>
      </c>
      <c r="H47" s="45" t="s">
        <v>257</v>
      </c>
      <c r="I47" s="206" t="s">
        <v>41</v>
      </c>
      <c r="J47" s="206" t="s">
        <v>41</v>
      </c>
      <c r="K47" s="225" t="s">
        <v>867</v>
      </c>
      <c r="L47" s="226" t="s">
        <v>865</v>
      </c>
      <c r="M47" s="226"/>
      <c r="N47" s="226"/>
      <c r="O47" s="76">
        <v>876.73</v>
      </c>
      <c r="P47" s="77">
        <v>206.05</v>
      </c>
      <c r="Q47" s="49">
        <v>37</v>
      </c>
      <c r="R47" s="78">
        <v>720</v>
      </c>
      <c r="S47" s="79"/>
      <c r="T47" s="78"/>
      <c r="U47" s="76">
        <v>730.02</v>
      </c>
      <c r="V47" s="48">
        <v>130.33000000000001</v>
      </c>
      <c r="W47" s="49">
        <v>30</v>
      </c>
      <c r="X47" s="54"/>
      <c r="Y47" s="80">
        <f>(U47-O47)/SQRT((V47^2+P47^2)/2)</f>
        <v>-0.85099329847460004</v>
      </c>
      <c r="Z47" s="80"/>
      <c r="AA47" s="46">
        <v>1</v>
      </c>
      <c r="AB47" s="75">
        <f>((O47-U47)/P47)*AA47 * (1-(3/(4*(Q47+W47-2)-1)))</f>
        <v>0.70376440849626987</v>
      </c>
      <c r="AC47" s="81"/>
      <c r="AD47" s="53">
        <v>0</v>
      </c>
      <c r="AE47" s="53" t="s">
        <v>866</v>
      </c>
      <c r="AF47" s="46"/>
      <c r="AG47" s="46"/>
      <c r="AH47" s="54"/>
      <c r="AI47" s="83"/>
      <c r="AJ47" s="83"/>
      <c r="AK47" s="46">
        <v>1</v>
      </c>
      <c r="AL47" s="46" t="s">
        <v>116</v>
      </c>
      <c r="AM47" s="54" t="s">
        <v>69</v>
      </c>
      <c r="AN47" s="46" t="s">
        <v>118</v>
      </c>
      <c r="AO47" s="54"/>
    </row>
    <row r="48" spans="1:41" s="13" customFormat="1" ht="15.95" customHeight="1" x14ac:dyDescent="0.25">
      <c r="A48" s="54">
        <v>195</v>
      </c>
      <c r="B48" s="54" t="s">
        <v>34</v>
      </c>
      <c r="C48" s="46" t="s">
        <v>44</v>
      </c>
      <c r="D48" s="46" t="s">
        <v>44</v>
      </c>
      <c r="E48" s="36" t="s">
        <v>36</v>
      </c>
      <c r="F48" s="46" t="s">
        <v>235</v>
      </c>
      <c r="G48" s="54">
        <v>2011</v>
      </c>
      <c r="H48" s="45" t="s">
        <v>243</v>
      </c>
      <c r="I48" s="206" t="s">
        <v>39</v>
      </c>
      <c r="J48" s="206" t="s">
        <v>39</v>
      </c>
      <c r="K48" s="225" t="s">
        <v>869</v>
      </c>
      <c r="L48" s="226" t="s">
        <v>238</v>
      </c>
      <c r="M48" s="206"/>
      <c r="N48" s="226"/>
      <c r="O48" s="76">
        <v>2</v>
      </c>
      <c r="P48" s="77"/>
      <c r="Q48" s="49">
        <v>9</v>
      </c>
      <c r="R48" s="78">
        <v>1140</v>
      </c>
      <c r="S48" s="79">
        <v>310</v>
      </c>
      <c r="T48" s="78"/>
      <c r="U48" s="76">
        <v>0</v>
      </c>
      <c r="V48" s="48"/>
      <c r="W48" s="49">
        <v>15</v>
      </c>
      <c r="X48" s="54"/>
      <c r="Y48" s="80" t="e">
        <f>(U48-O48)/SQRT((V48^2+P48^2)/2)</f>
        <v>#DIV/0!</v>
      </c>
      <c r="Z48" s="80"/>
      <c r="AA48" s="46">
        <v>1</v>
      </c>
      <c r="AB48" s="75"/>
      <c r="AC48" s="81"/>
      <c r="AD48" s="53">
        <v>0</v>
      </c>
      <c r="AE48" s="53"/>
      <c r="AF48" s="45"/>
      <c r="AG48" s="45"/>
      <c r="AH48" s="45"/>
      <c r="AI48" s="82"/>
      <c r="AJ48" s="82"/>
      <c r="AK48" s="46">
        <v>1</v>
      </c>
      <c r="AL48" s="46" t="s">
        <v>116</v>
      </c>
      <c r="AM48" s="46" t="s">
        <v>239</v>
      </c>
      <c r="AN48" s="46" t="s">
        <v>118</v>
      </c>
      <c r="AO48" s="54"/>
    </row>
    <row r="49" spans="1:41" s="13" customFormat="1" ht="15.95" customHeight="1" x14ac:dyDescent="0.25">
      <c r="A49" s="54">
        <v>202</v>
      </c>
      <c r="B49" s="54" t="s">
        <v>34</v>
      </c>
      <c r="C49" s="46" t="s">
        <v>44</v>
      </c>
      <c r="D49" s="46" t="s">
        <v>44</v>
      </c>
      <c r="E49" s="36" t="s">
        <v>36</v>
      </c>
      <c r="F49" s="46" t="s">
        <v>870</v>
      </c>
      <c r="G49" s="54">
        <v>2011</v>
      </c>
      <c r="H49" s="45" t="s">
        <v>257</v>
      </c>
      <c r="I49" s="206" t="s">
        <v>41</v>
      </c>
      <c r="J49" s="206"/>
      <c r="K49" s="225" t="s">
        <v>871</v>
      </c>
      <c r="L49" s="226" t="s">
        <v>238</v>
      </c>
      <c r="M49" s="206"/>
      <c r="N49" s="226"/>
      <c r="O49" s="76">
        <v>1045</v>
      </c>
      <c r="P49" s="77">
        <v>137.9</v>
      </c>
      <c r="Q49" s="49">
        <v>9</v>
      </c>
      <c r="R49" s="78">
        <v>1210</v>
      </c>
      <c r="S49" s="79">
        <v>320</v>
      </c>
      <c r="T49" s="78"/>
      <c r="U49" s="76">
        <v>1046.2</v>
      </c>
      <c r="V49" s="48">
        <v>213.9</v>
      </c>
      <c r="W49" s="49">
        <v>15</v>
      </c>
      <c r="X49" s="54"/>
      <c r="Y49" s="80">
        <f>(U49-O49)/SQRT((V49^2+P49^2)/2)</f>
        <v>6.6682299735806019E-3</v>
      </c>
      <c r="Z49" s="80"/>
      <c r="AA49" s="46">
        <v>1</v>
      </c>
      <c r="AB49" s="75">
        <f>((U49-O49)/V49)*AA49 * (1-(3/(4*(Q49+W49-2)-1)))</f>
        <v>5.4166465154521564E-3</v>
      </c>
      <c r="AC49" s="81"/>
      <c r="AD49" s="45">
        <v>0</v>
      </c>
      <c r="AE49" s="45"/>
      <c r="AF49" s="45"/>
      <c r="AG49" s="45"/>
      <c r="AH49" s="45"/>
      <c r="AI49" s="82"/>
      <c r="AJ49" s="82"/>
      <c r="AK49" s="46"/>
      <c r="AL49" s="46"/>
      <c r="AM49" s="46"/>
      <c r="AN49" s="46"/>
      <c r="AO49" s="84"/>
    </row>
    <row r="50" spans="1:41" s="13" customFormat="1" ht="15.95" customHeight="1" x14ac:dyDescent="0.25">
      <c r="A50" s="54">
        <v>203</v>
      </c>
      <c r="B50" s="54" t="s">
        <v>34</v>
      </c>
      <c r="C50" s="46" t="s">
        <v>44</v>
      </c>
      <c r="D50" s="46" t="s">
        <v>44</v>
      </c>
      <c r="E50" s="36" t="s">
        <v>36</v>
      </c>
      <c r="F50" s="46" t="s">
        <v>870</v>
      </c>
      <c r="G50" s="54">
        <v>2011</v>
      </c>
      <c r="H50" s="45" t="s">
        <v>257</v>
      </c>
      <c r="I50" s="206" t="s">
        <v>41</v>
      </c>
      <c r="J50" s="206"/>
      <c r="K50" s="225" t="s">
        <v>871</v>
      </c>
      <c r="L50" s="226" t="s">
        <v>238</v>
      </c>
      <c r="M50" s="206"/>
      <c r="N50" s="226"/>
      <c r="O50" s="76">
        <v>984.8</v>
      </c>
      <c r="P50" s="77">
        <v>210.4</v>
      </c>
      <c r="Q50" s="49">
        <v>9</v>
      </c>
      <c r="R50" s="78">
        <v>1210</v>
      </c>
      <c r="S50" s="79">
        <v>320</v>
      </c>
      <c r="T50" s="78"/>
      <c r="U50" s="76">
        <v>962.2</v>
      </c>
      <c r="V50" s="48">
        <v>194.2</v>
      </c>
      <c r="W50" s="49">
        <v>15</v>
      </c>
      <c r="X50" s="54"/>
      <c r="Y50" s="80">
        <f>(U50-O50)/SQRT((V50^2+P50^2)/2)</f>
        <v>-0.11162583285371372</v>
      </c>
      <c r="Z50" s="80"/>
      <c r="AA50" s="46">
        <v>1</v>
      </c>
      <c r="AB50" s="75">
        <f>((U50-O50)/V50)*AA50 * (1-(3/(4*(Q50+W50-2)-1)))</f>
        <v>-0.11236194467133022</v>
      </c>
      <c r="AC50" s="81"/>
      <c r="AD50" s="45">
        <v>0</v>
      </c>
      <c r="AE50" s="45"/>
      <c r="AF50" s="45"/>
      <c r="AG50" s="45"/>
      <c r="AH50" s="45"/>
      <c r="AI50" s="82"/>
      <c r="AJ50" s="82"/>
      <c r="AK50" s="46"/>
      <c r="AL50" s="46"/>
      <c r="AM50" s="46"/>
      <c r="AN50" s="46"/>
      <c r="AO50" s="54"/>
    </row>
    <row r="51" spans="1:41" s="13" customFormat="1" ht="15.95" customHeight="1" x14ac:dyDescent="0.25">
      <c r="A51" s="45">
        <v>579</v>
      </c>
      <c r="B51" s="45" t="s">
        <v>34</v>
      </c>
      <c r="C51" s="45" t="s">
        <v>44</v>
      </c>
      <c r="D51" s="45" t="s">
        <v>44</v>
      </c>
      <c r="E51" s="36" t="s">
        <v>36</v>
      </c>
      <c r="F51" s="45" t="s">
        <v>908</v>
      </c>
      <c r="G51" s="45">
        <v>2023</v>
      </c>
      <c r="H51" s="45" t="s">
        <v>916</v>
      </c>
      <c r="I51" s="206"/>
      <c r="J51" s="206"/>
      <c r="K51" s="206" t="s">
        <v>917</v>
      </c>
      <c r="L51" s="217"/>
      <c r="M51" s="206"/>
      <c r="N51" s="206"/>
      <c r="O51" s="47">
        <v>8.9</v>
      </c>
      <c r="P51" s="48">
        <v>2</v>
      </c>
      <c r="Q51" s="49">
        <v>7</v>
      </c>
      <c r="R51" s="50">
        <v>1311</v>
      </c>
      <c r="S51" s="48">
        <v>278</v>
      </c>
      <c r="T51" s="50" t="s">
        <v>911</v>
      </c>
      <c r="U51" s="47">
        <v>10</v>
      </c>
      <c r="V51" s="50">
        <v>1.8</v>
      </c>
      <c r="W51" s="49">
        <v>7</v>
      </c>
      <c r="X51" s="45" t="s">
        <v>918</v>
      </c>
      <c r="Y51" s="45"/>
      <c r="Z51" s="45"/>
      <c r="AA51" s="45">
        <v>-1</v>
      </c>
      <c r="AB51" s="75">
        <f>((U51-O51)/V51)*AA51* (1-(3/(4*(Q51+W51-2)-1)))</f>
        <v>-0.57210401891252938</v>
      </c>
      <c r="AC51" s="45"/>
      <c r="AD51" s="45">
        <v>0</v>
      </c>
      <c r="AE51" s="53"/>
      <c r="AF51" s="45">
        <v>11.18</v>
      </c>
      <c r="AG51" s="45">
        <v>3.4</v>
      </c>
      <c r="AH51" s="45"/>
      <c r="AI51" s="45">
        <v>10.29</v>
      </c>
      <c r="AJ51" s="45">
        <v>3.1</v>
      </c>
      <c r="AK51" s="45"/>
      <c r="AL51" s="45"/>
      <c r="AM51" s="45"/>
      <c r="AN51" s="45"/>
      <c r="AO51" s="54"/>
    </row>
    <row r="52" spans="1:41" s="13" customFormat="1" ht="15.95" customHeight="1" x14ac:dyDescent="0.25">
      <c r="A52" s="45">
        <v>569</v>
      </c>
      <c r="B52" s="45" t="s">
        <v>43</v>
      </c>
      <c r="C52" s="45" t="s">
        <v>44</v>
      </c>
      <c r="D52" s="45" t="s">
        <v>44</v>
      </c>
      <c r="E52" s="36" t="s">
        <v>45</v>
      </c>
      <c r="F52" s="45" t="s">
        <v>810</v>
      </c>
      <c r="G52" s="45">
        <v>2023</v>
      </c>
      <c r="H52" s="45" t="s">
        <v>898</v>
      </c>
      <c r="I52" s="206"/>
      <c r="J52" s="206"/>
      <c r="K52" s="206" t="s">
        <v>899</v>
      </c>
      <c r="L52" s="217" t="s">
        <v>900</v>
      </c>
      <c r="M52" s="206" t="s">
        <v>813</v>
      </c>
      <c r="N52" s="234" t="s">
        <v>814</v>
      </c>
      <c r="O52" s="47">
        <v>1.04</v>
      </c>
      <c r="P52" s="48">
        <v>0.29799999999999999</v>
      </c>
      <c r="Q52" s="49">
        <v>27</v>
      </c>
      <c r="R52" s="50"/>
      <c r="S52" s="48"/>
      <c r="T52" s="50"/>
      <c r="U52" s="47">
        <v>1.04</v>
      </c>
      <c r="V52" s="50">
        <v>0.47</v>
      </c>
      <c r="W52" s="49">
        <v>28</v>
      </c>
      <c r="X52" s="45" t="s">
        <v>58</v>
      </c>
      <c r="Y52" s="45"/>
      <c r="Z52" s="45"/>
      <c r="AA52" s="45">
        <v>-1</v>
      </c>
      <c r="AB52" s="75">
        <f>((U52-O52)/V52)*AA52* (1-(3/(4*(Q52+W52-2)-1)))</f>
        <v>0</v>
      </c>
      <c r="AC52" s="45"/>
      <c r="AD52" s="53">
        <v>0</v>
      </c>
      <c r="AE52" s="53"/>
      <c r="AF52" s="45">
        <v>11.1</v>
      </c>
      <c r="AG52" s="45">
        <v>2.98</v>
      </c>
      <c r="AH52" s="45"/>
      <c r="AI52" s="45">
        <v>9.82</v>
      </c>
      <c r="AJ52" s="45">
        <v>2.13</v>
      </c>
      <c r="AK52" s="45"/>
      <c r="AL52" s="45"/>
      <c r="AM52" s="45"/>
      <c r="AN52" s="45"/>
      <c r="AO52" s="54"/>
    </row>
    <row r="53" spans="1:41" s="13" customFormat="1" ht="15.95" customHeight="1" x14ac:dyDescent="0.25">
      <c r="A53" s="45">
        <v>570</v>
      </c>
      <c r="B53" s="45" t="s">
        <v>43</v>
      </c>
      <c r="C53" s="45" t="s">
        <v>44</v>
      </c>
      <c r="D53" s="45" t="s">
        <v>44</v>
      </c>
      <c r="E53" s="36" t="s">
        <v>45</v>
      </c>
      <c r="F53" s="45" t="s">
        <v>810</v>
      </c>
      <c r="G53" s="45">
        <v>2023</v>
      </c>
      <c r="H53" s="45" t="s">
        <v>901</v>
      </c>
      <c r="I53" s="206"/>
      <c r="J53" s="206"/>
      <c r="K53" s="206" t="s">
        <v>902</v>
      </c>
      <c r="L53" s="217" t="s">
        <v>900</v>
      </c>
      <c r="M53" s="206" t="s">
        <v>813</v>
      </c>
      <c r="N53" s="206" t="s">
        <v>903</v>
      </c>
      <c r="O53" s="47">
        <v>2.44</v>
      </c>
      <c r="P53" s="48">
        <v>4.88</v>
      </c>
      <c r="Q53" s="49">
        <v>27</v>
      </c>
      <c r="R53" s="50"/>
      <c r="S53" s="48"/>
      <c r="T53" s="50"/>
      <c r="U53" s="47">
        <v>1.04</v>
      </c>
      <c r="V53" s="50">
        <v>0.19</v>
      </c>
      <c r="W53" s="49">
        <v>28</v>
      </c>
      <c r="X53" s="45" t="s">
        <v>58</v>
      </c>
      <c r="Y53" s="45"/>
      <c r="Z53" s="45"/>
      <c r="AA53" s="45">
        <v>-1</v>
      </c>
      <c r="AB53" s="75">
        <f>((U53-O53)/V53)*AA53* (1-(3/(4*(Q53+W53-2)-1)))</f>
        <v>7.2636567722624088</v>
      </c>
      <c r="AC53" s="45"/>
      <c r="AD53" s="53">
        <v>0</v>
      </c>
      <c r="AE53" s="53"/>
      <c r="AF53" s="45">
        <v>11.1</v>
      </c>
      <c r="AG53" s="45">
        <v>2.98</v>
      </c>
      <c r="AH53" s="45"/>
      <c r="AI53" s="45">
        <v>9.82</v>
      </c>
      <c r="AJ53" s="45">
        <v>2.13</v>
      </c>
      <c r="AK53" s="45"/>
      <c r="AL53" s="45"/>
      <c r="AM53" s="45"/>
      <c r="AN53" s="45"/>
      <c r="AO53" s="54"/>
    </row>
    <row r="54" spans="1:41" s="13" customFormat="1" ht="15.95" customHeight="1" x14ac:dyDescent="0.25">
      <c r="A54" s="45">
        <v>571</v>
      </c>
      <c r="B54" s="45" t="s">
        <v>43</v>
      </c>
      <c r="C54" s="45" t="s">
        <v>44</v>
      </c>
      <c r="D54" s="45" t="s">
        <v>44</v>
      </c>
      <c r="E54" s="36" t="s">
        <v>45</v>
      </c>
      <c r="F54" s="45" t="s">
        <v>810</v>
      </c>
      <c r="G54" s="45">
        <v>2023</v>
      </c>
      <c r="H54" s="45" t="s">
        <v>904</v>
      </c>
      <c r="I54" s="206"/>
      <c r="J54" s="206"/>
      <c r="K54" s="206" t="s">
        <v>905</v>
      </c>
      <c r="L54" s="217" t="s">
        <v>900</v>
      </c>
      <c r="M54" s="206" t="s">
        <v>813</v>
      </c>
      <c r="N54" s="234" t="s">
        <v>814</v>
      </c>
      <c r="O54" s="47">
        <v>0.61</v>
      </c>
      <c r="P54" s="48">
        <v>0.186</v>
      </c>
      <c r="Q54" s="49">
        <v>27</v>
      </c>
      <c r="R54" s="50"/>
      <c r="S54" s="48"/>
      <c r="T54" s="50"/>
      <c r="U54" s="47">
        <v>0.65</v>
      </c>
      <c r="V54" s="50">
        <v>0.19</v>
      </c>
      <c r="W54" s="49">
        <v>28</v>
      </c>
      <c r="X54" s="45" t="s">
        <v>58</v>
      </c>
      <c r="Y54" s="45"/>
      <c r="Z54" s="45"/>
      <c r="AA54" s="45">
        <v>-1</v>
      </c>
      <c r="AB54" s="75">
        <f>((U54-O54)/V54)*AA54* (1-(3/(4*(Q54+W54-2)-1)))</f>
        <v>-0.20753305063606903</v>
      </c>
      <c r="AC54" s="45"/>
      <c r="AD54" s="53">
        <v>0</v>
      </c>
      <c r="AE54" s="53"/>
      <c r="AF54" s="45">
        <v>11.1</v>
      </c>
      <c r="AG54" s="45">
        <v>2.98</v>
      </c>
      <c r="AH54" s="45"/>
      <c r="AI54" s="45">
        <v>9.82</v>
      </c>
      <c r="AJ54" s="45">
        <v>2.13</v>
      </c>
      <c r="AK54" s="45"/>
      <c r="AL54" s="45"/>
      <c r="AM54" s="45"/>
      <c r="AN54" s="45"/>
      <c r="AO54" s="54"/>
    </row>
    <row r="55" spans="1:41" s="13" customFormat="1" ht="15.95" customHeight="1" x14ac:dyDescent="0.25">
      <c r="A55" s="45">
        <v>235</v>
      </c>
      <c r="B55" s="45" t="s">
        <v>34</v>
      </c>
      <c r="C55" s="45" t="s">
        <v>64</v>
      </c>
      <c r="D55" s="45" t="s">
        <v>64</v>
      </c>
      <c r="E55" s="36" t="s">
        <v>36</v>
      </c>
      <c r="F55" s="45" t="s">
        <v>235</v>
      </c>
      <c r="G55" s="45">
        <v>2011</v>
      </c>
      <c r="H55" s="45" t="s">
        <v>236</v>
      </c>
      <c r="I55" s="206" t="s">
        <v>39</v>
      </c>
      <c r="J55" s="206" t="s">
        <v>39</v>
      </c>
      <c r="K55" s="206" t="s">
        <v>868</v>
      </c>
      <c r="L55" s="217" t="s">
        <v>238</v>
      </c>
      <c r="M55" s="206"/>
      <c r="N55" s="206"/>
      <c r="O55" s="50">
        <v>2</v>
      </c>
      <c r="P55" s="50"/>
      <c r="Q55" s="50">
        <v>9</v>
      </c>
      <c r="R55" s="50">
        <v>1140</v>
      </c>
      <c r="S55" s="50">
        <v>310</v>
      </c>
      <c r="T55" s="50"/>
      <c r="U55" s="47">
        <v>0</v>
      </c>
      <c r="V55" s="50"/>
      <c r="W55" s="50">
        <v>15</v>
      </c>
      <c r="X55" s="45"/>
      <c r="Y55" s="45" t="e">
        <v>#DIV/0!</v>
      </c>
      <c r="Z55" s="45"/>
      <c r="AA55" s="45">
        <v>1</v>
      </c>
      <c r="AB55" s="45"/>
      <c r="AC55" s="45"/>
      <c r="AD55" s="45">
        <v>0</v>
      </c>
      <c r="AE55" s="45"/>
      <c r="AF55" s="45"/>
      <c r="AG55" s="45"/>
      <c r="AH55" s="45"/>
      <c r="AI55" s="45"/>
      <c r="AJ55" s="45"/>
      <c r="AK55" s="45">
        <v>1</v>
      </c>
      <c r="AL55" s="45" t="s">
        <v>116</v>
      </c>
      <c r="AM55" s="45" t="s">
        <v>239</v>
      </c>
      <c r="AN55" s="45" t="s">
        <v>118</v>
      </c>
      <c r="AO55" s="45"/>
    </row>
    <row r="56" spans="1:41" s="13" customFormat="1" ht="15.95" customHeight="1" x14ac:dyDescent="0.25">
      <c r="A56" s="45">
        <v>252</v>
      </c>
      <c r="B56" s="45" t="s">
        <v>43</v>
      </c>
      <c r="C56" s="45" t="s">
        <v>190</v>
      </c>
      <c r="D56" s="45" t="s">
        <v>190</v>
      </c>
      <c r="E56" s="36" t="s">
        <v>81</v>
      </c>
      <c r="F56" s="45" t="s">
        <v>95</v>
      </c>
      <c r="G56" s="45">
        <v>2006</v>
      </c>
      <c r="H56" s="45" t="s">
        <v>219</v>
      </c>
      <c r="I56" s="206" t="s">
        <v>39</v>
      </c>
      <c r="J56" s="206" t="s">
        <v>39</v>
      </c>
      <c r="K56" s="206" t="s">
        <v>48</v>
      </c>
      <c r="L56" s="217"/>
      <c r="M56" s="206"/>
      <c r="N56" s="206"/>
      <c r="O56" s="47">
        <v>1.1000000000000001</v>
      </c>
      <c r="P56" s="48">
        <v>2</v>
      </c>
      <c r="Q56" s="49">
        <v>26</v>
      </c>
      <c r="R56" s="50">
        <v>423.8</v>
      </c>
      <c r="S56" s="48">
        <v>339</v>
      </c>
      <c r="T56" s="50"/>
      <c r="U56" s="47">
        <v>1</v>
      </c>
      <c r="V56" s="48">
        <v>1.6</v>
      </c>
      <c r="W56" s="49">
        <v>25</v>
      </c>
      <c r="X56" s="54"/>
      <c r="Y56" s="45"/>
      <c r="Z56" s="45"/>
      <c r="AA56" s="45">
        <v>1</v>
      </c>
      <c r="AB56" s="75">
        <f>((U56-O56)/V56)*AA56* (1-(3/(4*(Q56+W56-2)-1)))</f>
        <v>-6.1538461538461597E-2</v>
      </c>
      <c r="AC56" s="81"/>
      <c r="AD56" s="53">
        <v>0</v>
      </c>
      <c r="AE56" s="53"/>
      <c r="AF56" s="45"/>
      <c r="AG56" s="45"/>
      <c r="AH56" s="45"/>
      <c r="AI56" s="82"/>
      <c r="AJ56" s="82"/>
      <c r="AK56" s="45"/>
      <c r="AL56" s="45"/>
      <c r="AM56" s="45"/>
      <c r="AN56" s="45"/>
      <c r="AO56" s="84"/>
    </row>
    <row r="57" spans="1:41" s="13" customFormat="1" ht="15.95" customHeight="1" x14ac:dyDescent="0.25">
      <c r="A57" s="45">
        <v>251</v>
      </c>
      <c r="B57" s="45" t="s">
        <v>43</v>
      </c>
      <c r="C57" s="45" t="s">
        <v>193</v>
      </c>
      <c r="D57" s="45" t="s">
        <v>193</v>
      </c>
      <c r="E57" s="36" t="s">
        <v>45</v>
      </c>
      <c r="F57" s="45" t="s">
        <v>95</v>
      </c>
      <c r="G57" s="45">
        <v>2006</v>
      </c>
      <c r="H57" s="45" t="s">
        <v>222</v>
      </c>
      <c r="I57" s="206" t="s">
        <v>41</v>
      </c>
      <c r="J57" s="206" t="s">
        <v>41</v>
      </c>
      <c r="K57" s="206" t="s">
        <v>809</v>
      </c>
      <c r="L57" s="217"/>
      <c r="M57" s="206"/>
      <c r="N57" s="206"/>
      <c r="O57" s="47">
        <v>811</v>
      </c>
      <c r="P57" s="48">
        <v>173</v>
      </c>
      <c r="Q57" s="49">
        <v>26</v>
      </c>
      <c r="R57" s="50">
        <v>423.8</v>
      </c>
      <c r="S57" s="48">
        <v>339</v>
      </c>
      <c r="T57" s="50"/>
      <c r="U57" s="47">
        <v>817</v>
      </c>
      <c r="V57" s="48">
        <v>207</v>
      </c>
      <c r="W57" s="49">
        <v>25</v>
      </c>
      <c r="X57" s="54"/>
      <c r="Y57" s="45"/>
      <c r="Z57" s="45"/>
      <c r="AA57" s="45">
        <v>1</v>
      </c>
      <c r="AB57" s="75">
        <f>((U57-O57)/V57)*AA57* (1-(3/(4*(Q57+W57-2)-1)))</f>
        <v>2.8539576365663323E-2</v>
      </c>
      <c r="AC57" s="81"/>
      <c r="AD57" s="53">
        <v>0</v>
      </c>
      <c r="AE57" s="53"/>
      <c r="AF57" s="45"/>
      <c r="AG57" s="45"/>
      <c r="AH57" s="45"/>
      <c r="AI57" s="82"/>
      <c r="AJ57" s="82"/>
      <c r="AK57" s="45"/>
      <c r="AL57" s="45"/>
      <c r="AM57" s="45"/>
      <c r="AN57" s="45"/>
      <c r="AO57" s="54"/>
    </row>
    <row r="58" spans="1:41" s="13" customFormat="1" ht="15.95" customHeight="1" x14ac:dyDescent="0.25">
      <c r="A58" s="45">
        <v>253</v>
      </c>
      <c r="B58" s="45" t="s">
        <v>43</v>
      </c>
      <c r="C58" s="45" t="s">
        <v>193</v>
      </c>
      <c r="D58" s="45" t="s">
        <v>193</v>
      </c>
      <c r="E58" s="36" t="s">
        <v>45</v>
      </c>
      <c r="F58" s="45" t="s">
        <v>287</v>
      </c>
      <c r="G58" s="45">
        <v>2005</v>
      </c>
      <c r="H58" s="45" t="s">
        <v>222</v>
      </c>
      <c r="I58" s="206" t="s">
        <v>41</v>
      </c>
      <c r="J58" s="206"/>
      <c r="K58" s="206" t="s">
        <v>291</v>
      </c>
      <c r="L58" s="217"/>
      <c r="M58" s="217"/>
      <c r="N58" s="206"/>
      <c r="O58" s="47">
        <v>45</v>
      </c>
      <c r="P58" s="48">
        <v>8</v>
      </c>
      <c r="Q58" s="49">
        <v>26</v>
      </c>
      <c r="R58" s="130">
        <f>(449+529)/2</f>
        <v>489</v>
      </c>
      <c r="S58" s="131">
        <f>(220+142)/2</f>
        <v>181</v>
      </c>
      <c r="T58" s="50"/>
      <c r="U58" s="47">
        <v>50</v>
      </c>
      <c r="V58" s="48">
        <v>6</v>
      </c>
      <c r="W58" s="49">
        <v>21</v>
      </c>
      <c r="X58" s="54"/>
      <c r="Y58" s="45"/>
      <c r="Z58" s="45"/>
      <c r="AA58" s="45">
        <v>-1</v>
      </c>
      <c r="AB58" s="75">
        <f>((U58-O58)/V58)*AA58* (1-(3/(4*(Q58+W58-2)-1)))</f>
        <v>-0.81936685288640598</v>
      </c>
      <c r="AC58" s="81"/>
      <c r="AD58" s="53">
        <v>0</v>
      </c>
      <c r="AE58" s="53"/>
      <c r="AF58" s="132">
        <v>12.3</v>
      </c>
      <c r="AG58" s="132">
        <v>3.7</v>
      </c>
      <c r="AH58" s="132"/>
      <c r="AI58" s="133">
        <v>11.8</v>
      </c>
      <c r="AJ58" s="133">
        <v>3.6</v>
      </c>
      <c r="AK58" s="45"/>
      <c r="AL58" s="45"/>
      <c r="AM58" s="45"/>
      <c r="AN58" s="45"/>
      <c r="AO58" s="54"/>
    </row>
    <row r="59" spans="1:41" s="13" customFormat="1" ht="15.95" customHeight="1" x14ac:dyDescent="0.25">
      <c r="A59" s="45">
        <v>254</v>
      </c>
      <c r="B59" s="45" t="s">
        <v>43</v>
      </c>
      <c r="C59" s="45" t="s">
        <v>193</v>
      </c>
      <c r="D59" s="45" t="s">
        <v>193</v>
      </c>
      <c r="E59" s="36" t="s">
        <v>45</v>
      </c>
      <c r="F59" s="45" t="s">
        <v>287</v>
      </c>
      <c r="G59" s="45">
        <v>2005</v>
      </c>
      <c r="H59" s="45" t="s">
        <v>222</v>
      </c>
      <c r="I59" s="206" t="s">
        <v>41</v>
      </c>
      <c r="J59" s="206"/>
      <c r="K59" s="206" t="s">
        <v>289</v>
      </c>
      <c r="L59" s="217"/>
      <c r="M59" s="217"/>
      <c r="N59" s="206"/>
      <c r="O59" s="47">
        <v>40</v>
      </c>
      <c r="P59" s="48">
        <v>9</v>
      </c>
      <c r="Q59" s="49">
        <v>26</v>
      </c>
      <c r="R59" s="130">
        <f>(449+529)/2</f>
        <v>489</v>
      </c>
      <c r="S59" s="131">
        <f>(220+142)/2</f>
        <v>181</v>
      </c>
      <c r="T59" s="50"/>
      <c r="U59" s="47">
        <v>45</v>
      </c>
      <c r="V59" s="50">
        <v>6</v>
      </c>
      <c r="W59" s="49">
        <v>21</v>
      </c>
      <c r="X59" s="54"/>
      <c r="Y59" s="45"/>
      <c r="Z59" s="45"/>
      <c r="AA59" s="45">
        <v>-1</v>
      </c>
      <c r="AB59" s="75">
        <f>((U59-O59)/V59)*AA59 * (1-(3/(4*(Q59+W59-2)-1)))</f>
        <v>-0.81936685288640598</v>
      </c>
      <c r="AC59" s="81"/>
      <c r="AD59" s="53">
        <v>0</v>
      </c>
      <c r="AE59" s="53"/>
      <c r="AF59" s="132">
        <v>12.3</v>
      </c>
      <c r="AG59" s="132">
        <v>3.7</v>
      </c>
      <c r="AH59" s="132"/>
      <c r="AI59" s="133">
        <v>11.8</v>
      </c>
      <c r="AJ59" s="133">
        <v>3.6</v>
      </c>
      <c r="AK59" s="45"/>
      <c r="AL59" s="45"/>
      <c r="AM59" s="45"/>
      <c r="AN59" s="45"/>
      <c r="AO59" s="54"/>
    </row>
    <row r="60" spans="1:41" s="13" customFormat="1" ht="15.95" customHeight="1" x14ac:dyDescent="0.25">
      <c r="A60" s="45">
        <v>249</v>
      </c>
      <c r="B60" s="45" t="s">
        <v>43</v>
      </c>
      <c r="C60" s="45" t="s">
        <v>193</v>
      </c>
      <c r="D60" s="45" t="s">
        <v>193</v>
      </c>
      <c r="E60" s="36" t="s">
        <v>45</v>
      </c>
      <c r="F60" s="45" t="s">
        <v>260</v>
      </c>
      <c r="G60" s="45">
        <v>1996</v>
      </c>
      <c r="H60" s="45" t="s">
        <v>222</v>
      </c>
      <c r="I60" s="206" t="s">
        <v>41</v>
      </c>
      <c r="J60" s="206"/>
      <c r="K60" s="206" t="s">
        <v>316</v>
      </c>
      <c r="L60" s="217"/>
      <c r="M60" s="217"/>
      <c r="N60" s="206"/>
      <c r="O60" s="47">
        <v>83.5</v>
      </c>
      <c r="P60" s="141">
        <v>16.7</v>
      </c>
      <c r="Q60" s="142">
        <v>20</v>
      </c>
      <c r="R60" s="50">
        <v>582</v>
      </c>
      <c r="S60" s="48">
        <v>372</v>
      </c>
      <c r="T60" s="50"/>
      <c r="U60" s="47">
        <v>62.1</v>
      </c>
      <c r="V60" s="48">
        <v>12.1</v>
      </c>
      <c r="W60" s="49">
        <v>20</v>
      </c>
      <c r="X60" s="45"/>
      <c r="Y60" s="45"/>
      <c r="Z60" s="45"/>
      <c r="AA60" s="45">
        <v>1</v>
      </c>
      <c r="AB60" s="75">
        <f>((U60-P60)/V60)*AA60* (1-(3/(4*(Q60+W60-2)-1)))</f>
        <v>3.6775217557878608</v>
      </c>
      <c r="AC60" s="81"/>
      <c r="AD60" s="53">
        <v>0</v>
      </c>
      <c r="AE60" s="53"/>
      <c r="AF60" s="82"/>
      <c r="AG60" s="82"/>
      <c r="AH60" s="82"/>
      <c r="AI60" s="82"/>
      <c r="AJ60" s="82"/>
      <c r="AK60" s="45"/>
      <c r="AL60" s="45"/>
      <c r="AM60" s="45"/>
      <c r="AN60" s="45"/>
      <c r="AO60" s="54"/>
    </row>
    <row r="61" spans="1:41" s="13" customFormat="1" ht="15.95" customHeight="1" x14ac:dyDescent="0.25">
      <c r="A61" s="45">
        <v>250</v>
      </c>
      <c r="B61" s="45" t="s">
        <v>43</v>
      </c>
      <c r="C61" s="45" t="s">
        <v>193</v>
      </c>
      <c r="D61" s="45" t="s">
        <v>193</v>
      </c>
      <c r="E61" s="36" t="s">
        <v>45</v>
      </c>
      <c r="F61" s="45" t="s">
        <v>260</v>
      </c>
      <c r="G61" s="45">
        <v>1999</v>
      </c>
      <c r="H61" s="45" t="s">
        <v>222</v>
      </c>
      <c r="I61" s="206" t="s">
        <v>41</v>
      </c>
      <c r="J61" s="206"/>
      <c r="K61" s="206" t="s">
        <v>319</v>
      </c>
      <c r="L61" s="217" t="s">
        <v>874</v>
      </c>
      <c r="M61" s="217"/>
      <c r="N61" s="206"/>
      <c r="O61" s="47">
        <v>67.400000000000006</v>
      </c>
      <c r="P61" s="48">
        <v>11.2</v>
      </c>
      <c r="Q61" s="142">
        <v>20</v>
      </c>
      <c r="R61" s="50">
        <v>744</v>
      </c>
      <c r="S61" s="48">
        <v>456</v>
      </c>
      <c r="T61" s="50" t="s">
        <v>875</v>
      </c>
      <c r="U61" s="47">
        <v>56.6</v>
      </c>
      <c r="V61" s="48">
        <v>8.1999999999999993</v>
      </c>
      <c r="W61" s="49">
        <v>20</v>
      </c>
      <c r="X61" s="45"/>
      <c r="Y61" s="45"/>
      <c r="Z61" s="45"/>
      <c r="AA61" s="45">
        <v>1</v>
      </c>
      <c r="AB61" s="75">
        <f>((U61-O61)/V61)*AA61* (1-(3/(4*(Q61+W61-2)-1)))</f>
        <v>-1.2909061540946543</v>
      </c>
      <c r="AC61" s="81"/>
      <c r="AD61" s="53">
        <v>0</v>
      </c>
      <c r="AE61" s="53"/>
      <c r="AF61" s="82"/>
      <c r="AG61" s="82"/>
      <c r="AH61" s="82"/>
      <c r="AI61" s="82"/>
      <c r="AJ61" s="82"/>
      <c r="AK61" s="45"/>
      <c r="AL61" s="45"/>
      <c r="AM61" s="45"/>
      <c r="AN61" s="45"/>
      <c r="AO61" s="84"/>
    </row>
    <row r="62" spans="1:41" s="13" customFormat="1" ht="15.95" customHeight="1" x14ac:dyDescent="0.25">
      <c r="A62" s="54">
        <v>105</v>
      </c>
      <c r="B62" s="54" t="s">
        <v>34</v>
      </c>
      <c r="C62" s="45" t="s">
        <v>50</v>
      </c>
      <c r="D62" s="45" t="s">
        <v>50</v>
      </c>
      <c r="E62" s="36" t="s">
        <v>45</v>
      </c>
      <c r="F62" s="46" t="s">
        <v>82</v>
      </c>
      <c r="G62" s="54">
        <v>2005</v>
      </c>
      <c r="H62" s="45" t="s">
        <v>83</v>
      </c>
      <c r="I62" s="206" t="s">
        <v>39</v>
      </c>
      <c r="J62" s="206" t="s">
        <v>39</v>
      </c>
      <c r="K62" s="231" t="s">
        <v>804</v>
      </c>
      <c r="L62" s="232" t="s">
        <v>85</v>
      </c>
      <c r="M62" s="226"/>
      <c r="N62" s="226"/>
      <c r="O62" s="93">
        <v>97.4</v>
      </c>
      <c r="P62" s="79">
        <v>3.85</v>
      </c>
      <c r="Q62" s="94">
        <v>25</v>
      </c>
      <c r="R62" s="78">
        <v>758.79</v>
      </c>
      <c r="S62" s="79"/>
      <c r="T62" s="78"/>
      <c r="U62" s="93">
        <v>98.8</v>
      </c>
      <c r="V62" s="95">
        <v>2.1800000000000002</v>
      </c>
      <c r="W62" s="94">
        <v>25</v>
      </c>
      <c r="X62" s="46"/>
      <c r="Y62" s="80">
        <f>(U62-O62)/SQRT((V62^2+P62^2)/2)</f>
        <v>0.44750022442798021</v>
      </c>
      <c r="Z62" s="80"/>
      <c r="AA62" s="46">
        <v>-1</v>
      </c>
      <c r="AB62" s="75">
        <f>((U62-O62)/V62)*AA62 * (1-(3/(4*(Q62+W62-2)-1)))</f>
        <v>-0.63211489504778906</v>
      </c>
      <c r="AC62" s="81"/>
      <c r="AD62" s="53">
        <v>0</v>
      </c>
      <c r="AE62" s="53"/>
      <c r="AF62" s="46" t="s">
        <v>805</v>
      </c>
      <c r="AG62" s="46"/>
      <c r="AH62" s="54"/>
      <c r="AI62" s="83"/>
      <c r="AJ62" s="83"/>
      <c r="AK62" s="46">
        <v>2</v>
      </c>
      <c r="AL62" s="46" t="s">
        <v>68</v>
      </c>
      <c r="AM62" s="54" t="s">
        <v>69</v>
      </c>
      <c r="AN62" s="46" t="s">
        <v>68</v>
      </c>
      <c r="AO62" s="54"/>
    </row>
    <row r="63" spans="1:41" s="13" customFormat="1" ht="15.95" customHeight="1" x14ac:dyDescent="0.25">
      <c r="A63" s="54">
        <v>106</v>
      </c>
      <c r="B63" s="54" t="s">
        <v>34</v>
      </c>
      <c r="C63" s="45" t="s">
        <v>50</v>
      </c>
      <c r="D63" s="45" t="s">
        <v>50</v>
      </c>
      <c r="E63" s="36" t="s">
        <v>45</v>
      </c>
      <c r="F63" s="46" t="s">
        <v>82</v>
      </c>
      <c r="G63" s="54">
        <v>2005</v>
      </c>
      <c r="H63" s="45" t="s">
        <v>83</v>
      </c>
      <c r="I63" s="206" t="s">
        <v>41</v>
      </c>
      <c r="J63" s="206" t="s">
        <v>41</v>
      </c>
      <c r="K63" s="231" t="s">
        <v>806</v>
      </c>
      <c r="L63" s="232" t="s">
        <v>85</v>
      </c>
      <c r="M63" s="226"/>
      <c r="N63" s="226"/>
      <c r="O63" s="93">
        <v>1.1299999999999999</v>
      </c>
      <c r="P63" s="79">
        <v>0.34</v>
      </c>
      <c r="Q63" s="94">
        <v>25</v>
      </c>
      <c r="R63" s="78">
        <v>758.79</v>
      </c>
      <c r="S63" s="79"/>
      <c r="T63" s="78"/>
      <c r="U63" s="93">
        <v>1.02</v>
      </c>
      <c r="V63" s="95">
        <v>0.33</v>
      </c>
      <c r="W63" s="94">
        <v>25</v>
      </c>
      <c r="X63" s="46"/>
      <c r="Y63" s="80">
        <f>(U63-O63)/SQRT((V63^2+P63^2)/2)</f>
        <v>-0.32832164141694481</v>
      </c>
      <c r="Z63" s="80"/>
      <c r="AA63" s="46">
        <v>1</v>
      </c>
      <c r="AB63" s="75">
        <f>((U63-O63)/V63)*AA63 * (1-(3/(4*(Q63+W63-2)-1)))</f>
        <v>-0.32809773123909208</v>
      </c>
      <c r="AC63" s="81"/>
      <c r="AD63" s="53">
        <v>0</v>
      </c>
      <c r="AE63" s="53"/>
      <c r="AF63" s="46" t="s">
        <v>805</v>
      </c>
      <c r="AG63" s="46"/>
      <c r="AH63" s="54"/>
      <c r="AI63" s="83"/>
      <c r="AJ63" s="83"/>
      <c r="AK63" s="46">
        <v>2</v>
      </c>
      <c r="AL63" s="46" t="s">
        <v>68</v>
      </c>
      <c r="AM63" s="54" t="s">
        <v>69</v>
      </c>
      <c r="AN63" s="46" t="s">
        <v>68</v>
      </c>
      <c r="AO63" s="54"/>
    </row>
    <row r="64" spans="1:41" s="193" customFormat="1" ht="15.95" customHeight="1" x14ac:dyDescent="0.25">
      <c r="A64" s="54">
        <v>107</v>
      </c>
      <c r="B64" s="54" t="s">
        <v>34</v>
      </c>
      <c r="C64" s="45" t="s">
        <v>50</v>
      </c>
      <c r="D64" s="45" t="s">
        <v>50</v>
      </c>
      <c r="E64" s="36" t="s">
        <v>45</v>
      </c>
      <c r="F64" s="46" t="s">
        <v>87</v>
      </c>
      <c r="G64" s="54">
        <v>2007</v>
      </c>
      <c r="H64" s="45" t="s">
        <v>83</v>
      </c>
      <c r="I64" s="206" t="s">
        <v>41</v>
      </c>
      <c r="J64" s="206" t="s">
        <v>41</v>
      </c>
      <c r="K64" s="231" t="s">
        <v>807</v>
      </c>
      <c r="L64" s="232" t="s">
        <v>92</v>
      </c>
      <c r="M64" s="226"/>
      <c r="N64" s="226"/>
      <c r="O64" s="93">
        <v>0.98</v>
      </c>
      <c r="P64" s="79">
        <v>0.24</v>
      </c>
      <c r="Q64" s="94">
        <v>25</v>
      </c>
      <c r="R64" s="78">
        <v>1285.68</v>
      </c>
      <c r="S64" s="79"/>
      <c r="T64" s="78"/>
      <c r="U64" s="93">
        <v>1</v>
      </c>
      <c r="V64" s="95">
        <v>32</v>
      </c>
      <c r="W64" s="94">
        <v>45</v>
      </c>
      <c r="X64" s="46"/>
      <c r="Y64" s="80">
        <f>(U64-O64)/SQRT((V64^2+P64^2)/2)</f>
        <v>8.8385861830910829E-4</v>
      </c>
      <c r="Z64" s="80"/>
      <c r="AA64" s="46">
        <v>1</v>
      </c>
      <c r="AB64" s="75">
        <f>((U64-O64)/V64)*AA64 * (1-(3/(4*(Q64+W64-2)-1)))</f>
        <v>6.180811808118087E-4</v>
      </c>
      <c r="AC64" s="81"/>
      <c r="AD64" s="53">
        <v>0</v>
      </c>
      <c r="AE64" s="53"/>
      <c r="AF64" s="46" t="s">
        <v>805</v>
      </c>
      <c r="AG64" s="46"/>
      <c r="AH64" s="54"/>
      <c r="AI64" s="83"/>
      <c r="AJ64" s="83"/>
      <c r="AK64" s="46">
        <v>2</v>
      </c>
      <c r="AL64" s="46" t="s">
        <v>68</v>
      </c>
      <c r="AM64" s="96" t="s">
        <v>93</v>
      </c>
      <c r="AN64" s="46" t="s">
        <v>68</v>
      </c>
      <c r="AO64" s="54"/>
    </row>
    <row r="65" spans="1:41" s="193" customFormat="1" ht="15.95" customHeight="1" x14ac:dyDescent="0.25">
      <c r="A65" s="54">
        <v>108</v>
      </c>
      <c r="B65" s="54" t="s">
        <v>34</v>
      </c>
      <c r="C65" s="45" t="s">
        <v>50</v>
      </c>
      <c r="D65" s="45" t="s">
        <v>50</v>
      </c>
      <c r="E65" s="36" t="s">
        <v>45</v>
      </c>
      <c r="F65" s="46" t="s">
        <v>87</v>
      </c>
      <c r="G65" s="54">
        <v>2007</v>
      </c>
      <c r="H65" s="45" t="s">
        <v>83</v>
      </c>
      <c r="I65" s="206" t="s">
        <v>39</v>
      </c>
      <c r="J65" s="206" t="s">
        <v>39</v>
      </c>
      <c r="K65" s="231" t="s">
        <v>808</v>
      </c>
      <c r="L65" s="232" t="s">
        <v>92</v>
      </c>
      <c r="M65" s="226"/>
      <c r="N65" s="226"/>
      <c r="O65" s="93">
        <v>97</v>
      </c>
      <c r="P65" s="79">
        <v>5.95</v>
      </c>
      <c r="Q65" s="94">
        <v>25</v>
      </c>
      <c r="R65" s="78">
        <v>1285.68</v>
      </c>
      <c r="S65" s="79"/>
      <c r="T65" s="78"/>
      <c r="U65" s="93">
        <v>98</v>
      </c>
      <c r="V65" s="95">
        <v>2.61</v>
      </c>
      <c r="W65" s="94">
        <v>45</v>
      </c>
      <c r="X65" s="46"/>
      <c r="Y65" s="80">
        <f>(U65-O65)/SQRT((V65^2+P65^2)/2)</f>
        <v>0.21766252282644513</v>
      </c>
      <c r="Z65" s="80"/>
      <c r="AA65" s="46">
        <v>-1</v>
      </c>
      <c r="AB65" s="75">
        <f>((U65-O65)/V65)*AA65 * (1-(3/(4*(Q65+W65-2)-1)))</f>
        <v>-0.37890034072754525</v>
      </c>
      <c r="AC65" s="81"/>
      <c r="AD65" s="53">
        <v>0</v>
      </c>
      <c r="AE65" s="53"/>
      <c r="AF65" s="46" t="s">
        <v>805</v>
      </c>
      <c r="AG65" s="46"/>
      <c r="AH65" s="54"/>
      <c r="AI65" s="83"/>
      <c r="AJ65" s="83"/>
      <c r="AK65" s="46">
        <v>2</v>
      </c>
      <c r="AL65" s="46" t="s">
        <v>68</v>
      </c>
      <c r="AM65" s="96" t="s">
        <v>93</v>
      </c>
      <c r="AN65" s="46" t="s">
        <v>68</v>
      </c>
      <c r="AO65" s="54"/>
    </row>
    <row r="66" spans="1:41" s="193" customFormat="1" ht="15.95" customHeight="1" x14ac:dyDescent="0.25">
      <c r="A66" s="54">
        <v>104</v>
      </c>
      <c r="B66" s="45" t="s">
        <v>34</v>
      </c>
      <c r="C66" s="45" t="s">
        <v>50</v>
      </c>
      <c r="D66" s="45" t="s">
        <v>50</v>
      </c>
      <c r="E66" s="36" t="s">
        <v>45</v>
      </c>
      <c r="F66" s="45" t="s">
        <v>829</v>
      </c>
      <c r="G66" s="45">
        <v>2023</v>
      </c>
      <c r="H66" s="45" t="s">
        <v>842</v>
      </c>
      <c r="I66" s="206"/>
      <c r="J66" s="206"/>
      <c r="K66" s="206" t="s">
        <v>833</v>
      </c>
      <c r="L66" s="217"/>
      <c r="M66" s="206" t="s">
        <v>840</v>
      </c>
      <c r="N66" s="206"/>
      <c r="O66" s="47">
        <v>17.399999999999999</v>
      </c>
      <c r="P66" s="48">
        <v>5.82</v>
      </c>
      <c r="Q66" s="49">
        <v>20</v>
      </c>
      <c r="R66" s="50">
        <v>585.75</v>
      </c>
      <c r="S66" s="48">
        <v>419.73</v>
      </c>
      <c r="T66" s="50"/>
      <c r="U66" s="47">
        <v>18.350000000000001</v>
      </c>
      <c r="V66" s="50">
        <v>4.5</v>
      </c>
      <c r="W66" s="49">
        <v>20</v>
      </c>
      <c r="X66" s="45" t="s">
        <v>58</v>
      </c>
      <c r="Y66" s="45"/>
      <c r="Z66" s="45"/>
      <c r="AA66" s="45">
        <v>-1</v>
      </c>
      <c r="AB66" s="52">
        <v>-0.21</v>
      </c>
      <c r="AC66" s="45"/>
      <c r="AD66" s="53">
        <v>0</v>
      </c>
      <c r="AE66" s="53" t="s">
        <v>832</v>
      </c>
      <c r="AF66" s="45" t="s">
        <v>58</v>
      </c>
      <c r="AG66" s="45"/>
      <c r="AH66" s="45"/>
      <c r="AI66" s="45"/>
      <c r="AJ66" s="45"/>
      <c r="AK66" s="45"/>
      <c r="AL66" s="45"/>
      <c r="AM66" s="45"/>
      <c r="AN66" s="45"/>
      <c r="AO66" s="45"/>
    </row>
    <row r="67" spans="1:41" s="193" customFormat="1" ht="15.95" customHeight="1" x14ac:dyDescent="0.25">
      <c r="A67" s="54">
        <v>120</v>
      </c>
      <c r="B67" s="45" t="s">
        <v>43</v>
      </c>
      <c r="C67" s="45" t="s">
        <v>50</v>
      </c>
      <c r="D67" s="45" t="s">
        <v>50</v>
      </c>
      <c r="E67" s="36" t="s">
        <v>45</v>
      </c>
      <c r="F67" s="45" t="s">
        <v>46</v>
      </c>
      <c r="G67" s="45">
        <v>2002</v>
      </c>
      <c r="H67" s="45" t="s">
        <v>51</v>
      </c>
      <c r="I67" s="206"/>
      <c r="J67" s="206"/>
      <c r="K67" s="206" t="s">
        <v>796</v>
      </c>
      <c r="L67" s="217"/>
      <c r="M67" s="217"/>
      <c r="N67" s="206"/>
      <c r="O67" s="47">
        <v>7.84</v>
      </c>
      <c r="P67" s="48">
        <v>3.96</v>
      </c>
      <c r="Q67" s="49">
        <v>36</v>
      </c>
      <c r="R67" s="50"/>
      <c r="S67" s="48"/>
      <c r="T67" s="50"/>
      <c r="U67" s="144">
        <v>7.85</v>
      </c>
      <c r="V67" s="48">
        <v>2.82</v>
      </c>
      <c r="W67" s="49">
        <v>69</v>
      </c>
      <c r="X67" s="45"/>
      <c r="Y67" s="45"/>
      <c r="Z67" s="45"/>
      <c r="AA67" s="45">
        <v>1</v>
      </c>
      <c r="AB67" s="75">
        <f>((U67-O67)/V67)*AA67* (1-(3/(4*(Q67+W67-2)-1)))</f>
        <v>3.5202153543510148E-3</v>
      </c>
      <c r="AC67" s="81"/>
      <c r="AD67" s="53">
        <v>0</v>
      </c>
      <c r="AE67" s="53"/>
      <c r="AF67" s="45"/>
      <c r="AG67" s="82"/>
      <c r="AH67" s="82"/>
      <c r="AI67" s="145"/>
      <c r="AJ67" s="82"/>
      <c r="AK67" s="45"/>
      <c r="AL67" s="45"/>
      <c r="AM67" s="45"/>
      <c r="AN67" s="45"/>
      <c r="AO67" s="54"/>
    </row>
    <row r="68" spans="1:41" s="193" customFormat="1" ht="15.95" customHeight="1" x14ac:dyDescent="0.25">
      <c r="A68" s="45">
        <v>567</v>
      </c>
      <c r="B68" s="45" t="s">
        <v>43</v>
      </c>
      <c r="C68" s="45" t="s">
        <v>50</v>
      </c>
      <c r="D68" s="45" t="s">
        <v>50</v>
      </c>
      <c r="E68" s="36" t="s">
        <v>45</v>
      </c>
      <c r="F68" s="45" t="s">
        <v>810</v>
      </c>
      <c r="G68" s="45">
        <v>2023</v>
      </c>
      <c r="H68" s="45" t="s">
        <v>721</v>
      </c>
      <c r="I68" s="206"/>
      <c r="J68" s="206"/>
      <c r="K68" s="206" t="s">
        <v>579</v>
      </c>
      <c r="L68" s="217" t="s">
        <v>895</v>
      </c>
      <c r="M68" s="206" t="s">
        <v>813</v>
      </c>
      <c r="N68" s="206" t="s">
        <v>814</v>
      </c>
      <c r="O68" s="47">
        <v>4.1100000000000003</v>
      </c>
      <c r="P68" s="48">
        <v>1.8</v>
      </c>
      <c r="Q68" s="49">
        <v>27</v>
      </c>
      <c r="R68" s="50"/>
      <c r="S68" s="48"/>
      <c r="T68" s="50"/>
      <c r="U68" s="47">
        <v>4.07</v>
      </c>
      <c r="V68" s="50">
        <v>1.88</v>
      </c>
      <c r="W68" s="49">
        <v>28</v>
      </c>
      <c r="X68" s="45">
        <v>28</v>
      </c>
      <c r="Y68" s="45"/>
      <c r="Z68" s="45"/>
      <c r="AA68" s="45">
        <v>-1</v>
      </c>
      <c r="AB68" s="52">
        <v>0.02</v>
      </c>
      <c r="AC68" s="45"/>
      <c r="AD68" s="53">
        <v>0</v>
      </c>
      <c r="AE68" s="53"/>
      <c r="AF68" s="45">
        <v>11.1</v>
      </c>
      <c r="AG68" s="45">
        <v>2.98</v>
      </c>
      <c r="AH68" s="45"/>
      <c r="AI68" s="45">
        <v>9.82</v>
      </c>
      <c r="AJ68" s="45">
        <v>2.13</v>
      </c>
      <c r="AK68" s="45"/>
      <c r="AL68" s="45"/>
      <c r="AM68" s="45"/>
      <c r="AN68" s="45"/>
      <c r="AO68" s="54"/>
    </row>
    <row r="69" spans="1:41" s="193" customFormat="1" ht="15.95" customHeight="1" x14ac:dyDescent="0.25">
      <c r="A69" s="54">
        <v>129</v>
      </c>
      <c r="B69" s="45" t="s">
        <v>54</v>
      </c>
      <c r="C69" s="45" t="s">
        <v>50</v>
      </c>
      <c r="D69" s="45" t="s">
        <v>50</v>
      </c>
      <c r="E69" s="36"/>
      <c r="F69" s="45" t="s">
        <v>137</v>
      </c>
      <c r="G69" s="45">
        <v>2001</v>
      </c>
      <c r="H69" s="45" t="s">
        <v>51</v>
      </c>
      <c r="I69" s="206"/>
      <c r="J69" s="206"/>
      <c r="K69" s="206"/>
      <c r="L69" s="217" t="s">
        <v>823</v>
      </c>
      <c r="M69" s="217"/>
      <c r="N69" s="206"/>
      <c r="O69" s="47">
        <v>7.8</v>
      </c>
      <c r="P69" s="48">
        <v>1.8</v>
      </c>
      <c r="Q69" s="49">
        <v>18</v>
      </c>
      <c r="R69" s="164" t="s">
        <v>58</v>
      </c>
      <c r="S69" s="165"/>
      <c r="T69" s="50"/>
      <c r="U69" s="47">
        <v>8.6999999999999993</v>
      </c>
      <c r="V69" s="48">
        <v>1.6</v>
      </c>
      <c r="W69" s="49">
        <v>16</v>
      </c>
      <c r="X69" s="45"/>
      <c r="Y69" s="45"/>
      <c r="Z69" s="45"/>
      <c r="AA69" s="45">
        <v>-1</v>
      </c>
      <c r="AB69" s="75">
        <f>((U69-O69)/V69)*AA69* (1-(3/(4*(Q69+W69-2)-1)))</f>
        <v>-0.54921259842519654</v>
      </c>
      <c r="AC69" s="81">
        <f>((P69^2/(V69^2 * Q69)) + (1/W69)) +( (AB69^2)/(2 * (W69-1)))</f>
        <v>0.14286698260896522</v>
      </c>
      <c r="AD69" s="53">
        <v>0</v>
      </c>
      <c r="AE69" s="53"/>
      <c r="AF69" s="45">
        <v>17.88</v>
      </c>
      <c r="AG69" s="45"/>
      <c r="AH69" s="45"/>
      <c r="AI69" s="133">
        <v>16.32</v>
      </c>
      <c r="AJ69" s="82"/>
      <c r="AK69" s="45"/>
      <c r="AL69" s="45"/>
      <c r="AM69" s="45"/>
      <c r="AN69" s="45"/>
      <c r="AO69" s="54"/>
    </row>
    <row r="70" spans="1:41" s="193" customFormat="1" ht="15.95" customHeight="1" x14ac:dyDescent="0.25">
      <c r="A70" s="54">
        <v>130</v>
      </c>
      <c r="B70" s="45" t="s">
        <v>54</v>
      </c>
      <c r="C70" s="45" t="s">
        <v>50</v>
      </c>
      <c r="D70" s="45" t="s">
        <v>50</v>
      </c>
      <c r="E70" s="36"/>
      <c r="F70" s="45" t="s">
        <v>137</v>
      </c>
      <c r="G70" s="45">
        <v>2001</v>
      </c>
      <c r="H70" s="45" t="s">
        <v>51</v>
      </c>
      <c r="I70" s="206"/>
      <c r="J70" s="206"/>
      <c r="K70" s="206" t="s">
        <v>824</v>
      </c>
      <c r="L70" s="217" t="s">
        <v>825</v>
      </c>
      <c r="M70" s="217"/>
      <c r="N70" s="206"/>
      <c r="O70" s="47">
        <v>3.2</v>
      </c>
      <c r="P70" s="48">
        <v>0.4</v>
      </c>
      <c r="Q70" s="49">
        <v>18</v>
      </c>
      <c r="R70" s="164" t="s">
        <v>58</v>
      </c>
      <c r="S70" s="165"/>
      <c r="T70" s="50"/>
      <c r="U70" s="47">
        <v>3</v>
      </c>
      <c r="V70" s="48">
        <v>0.1</v>
      </c>
      <c r="W70" s="49">
        <v>16</v>
      </c>
      <c r="X70" s="45"/>
      <c r="Y70" s="45"/>
      <c r="Z70" s="45"/>
      <c r="AA70" s="45">
        <v>1</v>
      </c>
      <c r="AB70" s="75">
        <f>((U70-O70)/V70)*AA70* (1-(3/(4*(Q70+W70-2)-1)))</f>
        <v>-1.9527559055118129</v>
      </c>
      <c r="AC70" s="81">
        <f>((P70^2/(V70^2 * Q70)) + (1/W70)) +( (AB70^2)/(2 * (W70-1)))</f>
        <v>1.0784974097725974</v>
      </c>
      <c r="AD70" s="53">
        <v>0</v>
      </c>
      <c r="AE70" s="53"/>
      <c r="AF70" s="45">
        <v>17.88</v>
      </c>
      <c r="AG70" s="45"/>
      <c r="AH70" s="45"/>
      <c r="AI70" s="133">
        <v>16.32</v>
      </c>
      <c r="AJ70" s="82"/>
      <c r="AK70" s="45"/>
      <c r="AL70" s="45"/>
      <c r="AM70" s="45"/>
      <c r="AN70" s="45"/>
      <c r="AO70" s="54"/>
    </row>
    <row r="71" spans="1:41" s="193" customFormat="1" ht="15.95" customHeight="1" x14ac:dyDescent="0.25">
      <c r="A71" s="54">
        <v>131</v>
      </c>
      <c r="B71" s="45" t="s">
        <v>54</v>
      </c>
      <c r="C71" s="45" t="s">
        <v>50</v>
      </c>
      <c r="D71" s="45" t="s">
        <v>50</v>
      </c>
      <c r="E71" s="36"/>
      <c r="F71" s="45" t="s">
        <v>137</v>
      </c>
      <c r="G71" s="45">
        <v>2001</v>
      </c>
      <c r="H71" s="45" t="s">
        <v>51</v>
      </c>
      <c r="I71" s="206"/>
      <c r="J71" s="206"/>
      <c r="K71" s="206" t="s">
        <v>826</v>
      </c>
      <c r="L71" s="217" t="s">
        <v>825</v>
      </c>
      <c r="M71" s="217"/>
      <c r="N71" s="206"/>
      <c r="O71" s="47">
        <v>5.7</v>
      </c>
      <c r="P71" s="48">
        <v>1.2</v>
      </c>
      <c r="Q71" s="49">
        <v>18</v>
      </c>
      <c r="R71" s="164" t="s">
        <v>58</v>
      </c>
      <c r="S71" s="165"/>
      <c r="T71" s="50"/>
      <c r="U71" s="47">
        <v>5.4</v>
      </c>
      <c r="V71" s="48">
        <v>0.9</v>
      </c>
      <c r="W71" s="49">
        <v>16</v>
      </c>
      <c r="X71" s="45"/>
      <c r="Y71" s="45"/>
      <c r="Z71" s="45"/>
      <c r="AA71" s="45">
        <v>1</v>
      </c>
      <c r="AB71" s="75">
        <f>((U71-O71)/V71)*AA71* (1-(3/(4*(Q71+W71-2)-1)))</f>
        <v>-0.32545931758530167</v>
      </c>
      <c r="AC71" s="81">
        <f>((P71^2/(V71^2 * Q71)) + (1/W71)) +( (AB71^2)/(2 * (W71-1)))</f>
        <v>0.16479622434553509</v>
      </c>
      <c r="AD71" s="53">
        <v>0</v>
      </c>
      <c r="AE71" s="53"/>
      <c r="AF71" s="45">
        <v>17.88</v>
      </c>
      <c r="AG71" s="45"/>
      <c r="AH71" s="45"/>
      <c r="AI71" s="133">
        <v>16.32</v>
      </c>
      <c r="AJ71" s="82"/>
      <c r="AK71" s="45"/>
      <c r="AL71" s="45"/>
      <c r="AM71" s="45"/>
      <c r="AN71" s="45"/>
      <c r="AO71" s="54"/>
    </row>
    <row r="72" spans="1:41" s="193" customFormat="1" ht="15.95" customHeight="1" x14ac:dyDescent="0.25">
      <c r="A72" s="54">
        <v>132</v>
      </c>
      <c r="B72" s="45" t="s">
        <v>54</v>
      </c>
      <c r="C72" s="45" t="s">
        <v>50</v>
      </c>
      <c r="D72" s="45" t="s">
        <v>50</v>
      </c>
      <c r="E72" s="36"/>
      <c r="F72" s="45" t="s">
        <v>137</v>
      </c>
      <c r="G72" s="45">
        <v>2001</v>
      </c>
      <c r="H72" s="45" t="s">
        <v>51</v>
      </c>
      <c r="I72" s="206"/>
      <c r="J72" s="206"/>
      <c r="K72" s="206" t="s">
        <v>827</v>
      </c>
      <c r="L72" s="217" t="s">
        <v>825</v>
      </c>
      <c r="M72" s="217"/>
      <c r="N72" s="206"/>
      <c r="O72" s="47">
        <v>7.3</v>
      </c>
      <c r="P72" s="48">
        <v>1.9</v>
      </c>
      <c r="Q72" s="49">
        <v>18</v>
      </c>
      <c r="R72" s="164" t="s">
        <v>58</v>
      </c>
      <c r="S72" s="165"/>
      <c r="T72" s="50"/>
      <c r="U72" s="47">
        <v>6.8</v>
      </c>
      <c r="V72" s="48">
        <v>1.36</v>
      </c>
      <c r="W72" s="49">
        <v>16</v>
      </c>
      <c r="X72" s="45"/>
      <c r="Y72" s="45"/>
      <c r="Z72" s="45"/>
      <c r="AA72" s="45">
        <v>1</v>
      </c>
      <c r="AB72" s="75">
        <f>((U72-O72)/V72)*AA72* (1-(3/(4*(Q72+W72-2)-1)))</f>
        <v>-0.35896248263084762</v>
      </c>
      <c r="AC72" s="81">
        <f>((P72^2/(V72^2 * Q72)) + (1/W72)) +( (AB72^2)/(2 * (W72-1)))</f>
        <v>0.17522698859796024</v>
      </c>
      <c r="AD72" s="53">
        <v>0</v>
      </c>
      <c r="AE72" s="53"/>
      <c r="AF72" s="45">
        <v>17.88</v>
      </c>
      <c r="AG72" s="45"/>
      <c r="AH72" s="45"/>
      <c r="AI72" s="133">
        <v>16.32</v>
      </c>
      <c r="AJ72" s="82"/>
      <c r="AK72" s="45"/>
      <c r="AL72" s="45"/>
      <c r="AM72" s="45"/>
      <c r="AN72" s="45"/>
      <c r="AO72" s="54"/>
    </row>
    <row r="73" spans="1:41" s="193" customFormat="1" ht="15.95" customHeight="1" x14ac:dyDescent="0.25">
      <c r="A73" s="54">
        <v>134</v>
      </c>
      <c r="B73" s="45" t="s">
        <v>54</v>
      </c>
      <c r="C73" s="45" t="s">
        <v>50</v>
      </c>
      <c r="D73" s="45" t="s">
        <v>50</v>
      </c>
      <c r="E73" s="36"/>
      <c r="F73" s="45" t="s">
        <v>137</v>
      </c>
      <c r="G73" s="45">
        <v>2001</v>
      </c>
      <c r="H73" s="45" t="s">
        <v>51</v>
      </c>
      <c r="I73" s="206"/>
      <c r="J73" s="206"/>
      <c r="K73" s="206" t="s">
        <v>824</v>
      </c>
      <c r="L73" s="217" t="s">
        <v>828</v>
      </c>
      <c r="M73" s="217"/>
      <c r="N73" s="206"/>
      <c r="O73" s="47">
        <v>5911.9</v>
      </c>
      <c r="P73" s="48">
        <v>4383</v>
      </c>
      <c r="Q73" s="49">
        <v>18</v>
      </c>
      <c r="R73" s="164" t="s">
        <v>58</v>
      </c>
      <c r="S73" s="165"/>
      <c r="T73" s="50"/>
      <c r="U73" s="47">
        <v>6455.2</v>
      </c>
      <c r="V73" s="48">
        <v>5079.8999999999996</v>
      </c>
      <c r="W73" s="49">
        <v>16</v>
      </c>
      <c r="X73" s="45"/>
      <c r="Y73" s="45"/>
      <c r="Z73" s="45"/>
      <c r="AA73" s="45">
        <v>1</v>
      </c>
      <c r="AB73" s="75">
        <f>((U73-O73)/V73)*AA73* (1-(3/(4*(Q73+W73-2)-1)))</f>
        <v>0.10442452444581266</v>
      </c>
      <c r="AC73" s="81">
        <f>((P73^2/(V73^2 * Q73)) + (1/W73)) +( (AB73^2)/(2 * (W73-1)))</f>
        <v>0.10422153805191438</v>
      </c>
      <c r="AD73" s="53">
        <v>0</v>
      </c>
      <c r="AE73" s="53"/>
      <c r="AF73" s="45">
        <v>17.88</v>
      </c>
      <c r="AG73" s="45"/>
      <c r="AH73" s="45"/>
      <c r="AI73" s="133">
        <v>16.32</v>
      </c>
      <c r="AJ73" s="82"/>
      <c r="AK73" s="45"/>
      <c r="AL73" s="45"/>
      <c r="AM73" s="45"/>
      <c r="AN73" s="45"/>
      <c r="AO73" s="54"/>
    </row>
    <row r="74" spans="1:41" s="193" customFormat="1" ht="15.95" customHeight="1" x14ac:dyDescent="0.25">
      <c r="A74" s="54">
        <v>135</v>
      </c>
      <c r="B74" s="45" t="s">
        <v>54</v>
      </c>
      <c r="C74" s="45" t="s">
        <v>50</v>
      </c>
      <c r="D74" s="45" t="s">
        <v>50</v>
      </c>
      <c r="E74" s="36"/>
      <c r="F74" s="45" t="s">
        <v>137</v>
      </c>
      <c r="G74" s="45">
        <v>2001</v>
      </c>
      <c r="H74" s="45" t="s">
        <v>51</v>
      </c>
      <c r="I74" s="206"/>
      <c r="J74" s="206"/>
      <c r="K74" s="206" t="s">
        <v>826</v>
      </c>
      <c r="L74" s="217" t="s">
        <v>828</v>
      </c>
      <c r="M74" s="217"/>
      <c r="N74" s="206"/>
      <c r="O74" s="47">
        <v>9535.7000000000007</v>
      </c>
      <c r="P74" s="48">
        <v>6772.7</v>
      </c>
      <c r="Q74" s="49">
        <v>18</v>
      </c>
      <c r="R74" s="164" t="s">
        <v>58</v>
      </c>
      <c r="S74" s="165"/>
      <c r="T74" s="50"/>
      <c r="U74" s="47">
        <v>8784.1</v>
      </c>
      <c r="V74" s="48">
        <v>6901.1</v>
      </c>
      <c r="W74" s="49">
        <v>16</v>
      </c>
      <c r="X74" s="45"/>
      <c r="Y74" s="45"/>
      <c r="Z74" s="45"/>
      <c r="AA74" s="45">
        <v>1</v>
      </c>
      <c r="AB74" s="75">
        <f>((U74-O74)/V74)*AA74* (1-(3/(4*(Q74+W74-2)-1)))</f>
        <v>-0.10633749247095954</v>
      </c>
      <c r="AC74" s="81">
        <f>((P74^2/(V74^2 * Q74)) + (1/W74)) +( (AB74^2)/(2 * (W74-1)))</f>
        <v>0.11638440619507044</v>
      </c>
      <c r="AD74" s="53">
        <v>0</v>
      </c>
      <c r="AE74" s="53"/>
      <c r="AF74" s="45">
        <v>17.88</v>
      </c>
      <c r="AG74" s="45"/>
      <c r="AH74" s="45"/>
      <c r="AI74" s="133">
        <v>16.32</v>
      </c>
      <c r="AJ74" s="82"/>
      <c r="AK74" s="45"/>
      <c r="AL74" s="45"/>
      <c r="AM74" s="45"/>
      <c r="AN74" s="45"/>
      <c r="AO74" s="54"/>
    </row>
    <row r="75" spans="1:41" s="193" customFormat="1" ht="15.95" customHeight="1" x14ac:dyDescent="0.25">
      <c r="A75" s="54">
        <v>136</v>
      </c>
      <c r="B75" s="45" t="s">
        <v>54</v>
      </c>
      <c r="C75" s="45" t="s">
        <v>50</v>
      </c>
      <c r="D75" s="45" t="s">
        <v>50</v>
      </c>
      <c r="E75" s="36"/>
      <c r="F75" s="45" t="s">
        <v>137</v>
      </c>
      <c r="G75" s="45">
        <v>2001</v>
      </c>
      <c r="H75" s="45" t="s">
        <v>51</v>
      </c>
      <c r="I75" s="206"/>
      <c r="J75" s="206"/>
      <c r="K75" s="206" t="s">
        <v>827</v>
      </c>
      <c r="L75" s="217" t="s">
        <v>828</v>
      </c>
      <c r="M75" s="217"/>
      <c r="N75" s="206"/>
      <c r="O75" s="47">
        <v>8895</v>
      </c>
      <c r="P75" s="48">
        <v>5755.9</v>
      </c>
      <c r="Q75" s="49">
        <v>18</v>
      </c>
      <c r="R75" s="164" t="s">
        <v>58</v>
      </c>
      <c r="S75" s="165"/>
      <c r="T75" s="50"/>
      <c r="U75" s="47">
        <v>12552.7</v>
      </c>
      <c r="V75" s="48">
        <v>13248.5</v>
      </c>
      <c r="W75" s="49">
        <v>16</v>
      </c>
      <c r="X75" s="45"/>
      <c r="Y75" s="45"/>
      <c r="Z75" s="45"/>
      <c r="AA75" s="45">
        <v>1</v>
      </c>
      <c r="AB75" s="75">
        <f>((U75-O75)/V75)*AA75* (1-(3/(4*(Q75+W75-2)-1)))</f>
        <v>0.26956241369175954</v>
      </c>
      <c r="AC75" s="81">
        <f>((P75^2/(V75^2 * Q75)) + (1/W75)) +( (AB75^2)/(2 * (W75-1)))</f>
        <v>7.5408388221863465E-2</v>
      </c>
      <c r="AD75" s="53">
        <v>0</v>
      </c>
      <c r="AE75" s="53"/>
      <c r="AF75" s="45">
        <v>17.88</v>
      </c>
      <c r="AG75" s="45"/>
      <c r="AH75" s="45"/>
      <c r="AI75" s="133">
        <v>16.32</v>
      </c>
      <c r="AJ75" s="82"/>
      <c r="AK75" s="45"/>
      <c r="AL75" s="45"/>
      <c r="AM75" s="45"/>
      <c r="AN75" s="45"/>
      <c r="AO75" s="54"/>
    </row>
    <row r="76" spans="1:41" s="193" customFormat="1" ht="15.95" customHeight="1" x14ac:dyDescent="0.25">
      <c r="A76" s="54">
        <v>167</v>
      </c>
      <c r="B76" s="45" t="s">
        <v>34</v>
      </c>
      <c r="C76" s="46" t="s">
        <v>61</v>
      </c>
      <c r="D76" s="46" t="s">
        <v>61</v>
      </c>
      <c r="E76" s="36" t="s">
        <v>45</v>
      </c>
      <c r="F76" s="45" t="s">
        <v>301</v>
      </c>
      <c r="G76" s="45">
        <v>2023</v>
      </c>
      <c r="H76" s="45" t="s">
        <v>585</v>
      </c>
      <c r="I76" s="206"/>
      <c r="J76" s="206"/>
      <c r="K76" s="206" t="s">
        <v>303</v>
      </c>
      <c r="L76" s="217" t="s">
        <v>779</v>
      </c>
      <c r="M76" s="206" t="s">
        <v>862</v>
      </c>
      <c r="N76" s="206" t="s">
        <v>584</v>
      </c>
      <c r="O76" s="47">
        <v>28.5</v>
      </c>
      <c r="P76" s="48">
        <v>48.8</v>
      </c>
      <c r="Q76" s="49">
        <v>30</v>
      </c>
      <c r="R76" s="50">
        <v>741</v>
      </c>
      <c r="S76" s="99">
        <f>358/1.35</f>
        <v>265.18518518518516</v>
      </c>
      <c r="T76" s="48" t="s">
        <v>307</v>
      </c>
      <c r="U76" s="47">
        <v>-9.4</v>
      </c>
      <c r="V76" s="50">
        <v>50.4</v>
      </c>
      <c r="W76" s="49">
        <v>54</v>
      </c>
      <c r="X76" s="45" t="s">
        <v>58</v>
      </c>
      <c r="Y76" s="45">
        <v>-0.76</v>
      </c>
      <c r="Z76" s="45"/>
      <c r="AA76" s="45">
        <v>1</v>
      </c>
      <c r="AB76" s="52">
        <v>-0.75</v>
      </c>
      <c r="AC76" s="45"/>
      <c r="AD76" s="53">
        <v>0</v>
      </c>
      <c r="AE76" s="53"/>
      <c r="AF76" s="45" t="s">
        <v>58</v>
      </c>
      <c r="AG76" s="45"/>
      <c r="AH76" s="45"/>
      <c r="AI76" s="45"/>
      <c r="AJ76" s="45"/>
      <c r="AK76" s="45"/>
      <c r="AL76" s="45"/>
      <c r="AM76" s="45"/>
      <c r="AN76" s="45"/>
      <c r="AO76" s="54"/>
    </row>
    <row r="77" spans="1:41" s="193" customFormat="1" ht="15.95" customHeight="1" x14ac:dyDescent="0.25">
      <c r="A77" s="45">
        <v>586</v>
      </c>
      <c r="B77" s="45" t="s">
        <v>34</v>
      </c>
      <c r="C77" s="46" t="s">
        <v>61</v>
      </c>
      <c r="D77" s="46" t="s">
        <v>61</v>
      </c>
      <c r="E77" s="36" t="s">
        <v>45</v>
      </c>
      <c r="F77" s="45" t="s">
        <v>908</v>
      </c>
      <c r="G77" s="45">
        <v>2023</v>
      </c>
      <c r="H77" s="45" t="s">
        <v>930</v>
      </c>
      <c r="I77" s="206" t="s">
        <v>41</v>
      </c>
      <c r="J77" s="206"/>
      <c r="K77" s="206" t="s">
        <v>62</v>
      </c>
      <c r="L77" s="217"/>
      <c r="M77" s="206"/>
      <c r="N77" s="206"/>
      <c r="O77" s="47">
        <v>526.1</v>
      </c>
      <c r="P77" s="48">
        <v>78.400000000000006</v>
      </c>
      <c r="Q77" s="49">
        <v>7</v>
      </c>
      <c r="R77" s="50">
        <v>1311</v>
      </c>
      <c r="S77" s="48">
        <v>278</v>
      </c>
      <c r="T77" s="50" t="s">
        <v>911</v>
      </c>
      <c r="U77" s="47">
        <v>332.7</v>
      </c>
      <c r="V77" s="50">
        <v>22.2</v>
      </c>
      <c r="W77" s="49">
        <v>7</v>
      </c>
      <c r="X77" s="45" t="s">
        <v>58</v>
      </c>
      <c r="Y77" s="45">
        <v>-3.36</v>
      </c>
      <c r="Z77" s="45"/>
      <c r="AA77" s="45">
        <v>1</v>
      </c>
      <c r="AB77" s="52">
        <v>-8.16</v>
      </c>
      <c r="AC77" s="45"/>
      <c r="AD77" s="45">
        <v>0</v>
      </c>
      <c r="AE77" s="53"/>
      <c r="AF77" s="45" t="s">
        <v>58</v>
      </c>
      <c r="AG77" s="45"/>
      <c r="AH77" s="45"/>
      <c r="AI77" s="45"/>
      <c r="AJ77" s="45"/>
      <c r="AK77" s="45"/>
      <c r="AL77" s="45"/>
      <c r="AM77" s="45"/>
      <c r="AN77" s="45"/>
      <c r="AO77" s="84"/>
    </row>
    <row r="78" spans="1:41" s="193" customFormat="1" ht="15.95" customHeight="1" x14ac:dyDescent="0.25">
      <c r="A78" s="45">
        <v>587</v>
      </c>
      <c r="B78" s="45" t="s">
        <v>34</v>
      </c>
      <c r="C78" s="46" t="s">
        <v>61</v>
      </c>
      <c r="D78" s="46" t="s">
        <v>61</v>
      </c>
      <c r="E78" s="36" t="s">
        <v>45</v>
      </c>
      <c r="F78" s="45" t="s">
        <v>908</v>
      </c>
      <c r="G78" s="45">
        <v>2023</v>
      </c>
      <c r="H78" s="45" t="s">
        <v>930</v>
      </c>
      <c r="I78" s="206" t="s">
        <v>39</v>
      </c>
      <c r="J78" s="206"/>
      <c r="K78" s="206" t="s">
        <v>931</v>
      </c>
      <c r="L78" s="217"/>
      <c r="M78" s="206"/>
      <c r="N78" s="206"/>
      <c r="O78" s="47">
        <v>17.399999999999999</v>
      </c>
      <c r="P78" s="48">
        <v>7.3</v>
      </c>
      <c r="Q78" s="49">
        <v>7</v>
      </c>
      <c r="R78" s="50">
        <v>1311</v>
      </c>
      <c r="S78" s="48">
        <v>278</v>
      </c>
      <c r="T78" s="50" t="s">
        <v>911</v>
      </c>
      <c r="U78" s="47">
        <v>6.4</v>
      </c>
      <c r="V78" s="50">
        <v>1.6</v>
      </c>
      <c r="W78" s="49">
        <v>7</v>
      </c>
      <c r="X78" s="45" t="s">
        <v>58</v>
      </c>
      <c r="Y78" s="45">
        <v>-2.08</v>
      </c>
      <c r="Z78" s="45"/>
      <c r="AA78" s="45">
        <v>1</v>
      </c>
      <c r="AB78" s="52">
        <v>-6.44</v>
      </c>
      <c r="AC78" s="45"/>
      <c r="AD78" s="45">
        <v>0</v>
      </c>
      <c r="AE78" s="53"/>
      <c r="AF78" s="45" t="s">
        <v>58</v>
      </c>
      <c r="AG78" s="45"/>
      <c r="AH78" s="45"/>
      <c r="AI78" s="45"/>
      <c r="AJ78" s="45"/>
      <c r="AK78" s="45"/>
      <c r="AL78" s="45"/>
      <c r="AM78" s="45"/>
      <c r="AN78" s="45"/>
      <c r="AO78" s="84"/>
    </row>
    <row r="79" spans="1:41" s="193" customFormat="1" ht="15.95" customHeight="1" x14ac:dyDescent="0.25">
      <c r="A79" s="54">
        <v>144</v>
      </c>
      <c r="B79" s="45" t="s">
        <v>43</v>
      </c>
      <c r="C79" s="46" t="s">
        <v>61</v>
      </c>
      <c r="D79" s="46" t="s">
        <v>61</v>
      </c>
      <c r="E79" s="36" t="s">
        <v>36</v>
      </c>
      <c r="F79" s="45" t="s">
        <v>810</v>
      </c>
      <c r="G79" s="45">
        <v>2023</v>
      </c>
      <c r="H79" s="45" t="s">
        <v>811</v>
      </c>
      <c r="I79" s="206"/>
      <c r="J79" s="206"/>
      <c r="K79" s="206" t="s">
        <v>812</v>
      </c>
      <c r="L79" s="217"/>
      <c r="M79" s="206" t="s">
        <v>813</v>
      </c>
      <c r="N79" s="234" t="s">
        <v>814</v>
      </c>
      <c r="O79" s="47">
        <v>29.3</v>
      </c>
      <c r="P79" s="48">
        <v>1.79</v>
      </c>
      <c r="Q79" s="49">
        <v>27</v>
      </c>
      <c r="R79" s="50"/>
      <c r="S79" s="48"/>
      <c r="T79" s="50"/>
      <c r="U79" s="47">
        <v>30</v>
      </c>
      <c r="V79" s="50">
        <v>0.6</v>
      </c>
      <c r="W79" s="49">
        <v>28</v>
      </c>
      <c r="X79" s="45"/>
      <c r="Y79" s="45"/>
      <c r="Z79" s="45"/>
      <c r="AA79" s="45">
        <v>-1</v>
      </c>
      <c r="AB79" s="52">
        <v>-1.1299999999999999</v>
      </c>
      <c r="AC79" s="45"/>
      <c r="AD79" s="53">
        <v>0</v>
      </c>
      <c r="AE79" s="53"/>
      <c r="AF79" s="45">
        <v>11.1</v>
      </c>
      <c r="AG79" s="45">
        <v>2.98</v>
      </c>
      <c r="AH79" s="45"/>
      <c r="AI79" s="45">
        <v>9.82</v>
      </c>
      <c r="AJ79" s="45">
        <v>2.13</v>
      </c>
      <c r="AK79" s="45"/>
      <c r="AL79" s="45"/>
      <c r="AM79" s="45"/>
      <c r="AN79" s="45"/>
      <c r="AO79" s="54"/>
    </row>
    <row r="80" spans="1:41" s="193" customFormat="1" ht="15.95" customHeight="1" x14ac:dyDescent="0.25">
      <c r="A80" s="54">
        <v>146</v>
      </c>
      <c r="B80" s="45" t="s">
        <v>43</v>
      </c>
      <c r="C80" s="46" t="s">
        <v>61</v>
      </c>
      <c r="D80" s="46" t="s">
        <v>61</v>
      </c>
      <c r="E80" s="36" t="s">
        <v>36</v>
      </c>
      <c r="F80" s="84" t="s">
        <v>287</v>
      </c>
      <c r="G80" s="84">
        <v>2005</v>
      </c>
      <c r="H80" s="45" t="s">
        <v>449</v>
      </c>
      <c r="I80" s="206"/>
      <c r="J80" s="206"/>
      <c r="K80" s="206" t="s">
        <v>815</v>
      </c>
      <c r="L80" s="217"/>
      <c r="M80" s="217" t="s">
        <v>451</v>
      </c>
      <c r="N80" s="206"/>
      <c r="O80" s="47">
        <v>56</v>
      </c>
      <c r="P80" s="48">
        <v>11</v>
      </c>
      <c r="Q80" s="149">
        <v>26</v>
      </c>
      <c r="R80" s="150">
        <f>(449+529)/2</f>
        <v>489</v>
      </c>
      <c r="S80" s="151">
        <f>(220+142)/2</f>
        <v>181</v>
      </c>
      <c r="T80" s="99"/>
      <c r="U80" s="47">
        <v>53</v>
      </c>
      <c r="V80" s="48">
        <v>8</v>
      </c>
      <c r="W80" s="149">
        <v>21</v>
      </c>
      <c r="X80" s="84"/>
      <c r="Y80" s="84"/>
      <c r="Z80" s="84"/>
      <c r="AA80" s="84">
        <v>-1</v>
      </c>
      <c r="AB80" s="152">
        <f>((U80-O80)/V80)*AA80* (1-(3/(4*(Q80+W80-2)-1)))</f>
        <v>0.36871508379888268</v>
      </c>
      <c r="AC80" s="153"/>
      <c r="AD80" s="53">
        <v>0</v>
      </c>
      <c r="AE80" s="53"/>
      <c r="AF80" s="136">
        <v>12.3</v>
      </c>
      <c r="AG80" s="136">
        <v>3.7</v>
      </c>
      <c r="AH80" s="136"/>
      <c r="AI80" s="154">
        <v>11.8</v>
      </c>
      <c r="AJ80" s="154">
        <v>3.6</v>
      </c>
      <c r="AK80" s="84"/>
      <c r="AL80" s="84"/>
      <c r="AM80" s="84"/>
      <c r="AN80" s="84"/>
      <c r="AO80" s="54"/>
    </row>
    <row r="81" spans="1:41" s="193" customFormat="1" ht="15.95" customHeight="1" x14ac:dyDescent="0.25">
      <c r="A81" s="54">
        <v>147</v>
      </c>
      <c r="B81" s="45" t="s">
        <v>43</v>
      </c>
      <c r="C81" s="46" t="s">
        <v>61</v>
      </c>
      <c r="D81" s="46" t="s">
        <v>61</v>
      </c>
      <c r="E81" s="36" t="s">
        <v>36</v>
      </c>
      <c r="F81" s="84" t="s">
        <v>287</v>
      </c>
      <c r="G81" s="84">
        <v>2005</v>
      </c>
      <c r="H81" s="45" t="s">
        <v>449</v>
      </c>
      <c r="I81" s="206"/>
      <c r="J81" s="206"/>
      <c r="K81" s="206" t="s">
        <v>816</v>
      </c>
      <c r="L81" s="217"/>
      <c r="M81" s="217" t="s">
        <v>451</v>
      </c>
      <c r="N81" s="206"/>
      <c r="O81" s="47">
        <v>51</v>
      </c>
      <c r="P81" s="48">
        <v>10</v>
      </c>
      <c r="Q81" s="149">
        <v>26</v>
      </c>
      <c r="R81" s="150">
        <f>(449+529)/2</f>
        <v>489</v>
      </c>
      <c r="S81" s="151">
        <f>(220+142)/2</f>
        <v>181</v>
      </c>
      <c r="T81" s="99"/>
      <c r="U81" s="47">
        <v>43</v>
      </c>
      <c r="V81" s="48">
        <v>9</v>
      </c>
      <c r="W81" s="149">
        <v>21</v>
      </c>
      <c r="X81" s="84"/>
      <c r="Y81" s="84"/>
      <c r="Z81" s="84"/>
      <c r="AA81" s="84">
        <v>1</v>
      </c>
      <c r="AB81" s="152">
        <f>((U81-O81)/V81)*AA81* (1-(3/(4*(Q81+W81-2)-1)))</f>
        <v>-0.87399130974549966</v>
      </c>
      <c r="AC81" s="153"/>
      <c r="AD81" s="53">
        <v>0</v>
      </c>
      <c r="AE81" s="53"/>
      <c r="AF81" s="136">
        <v>12.3</v>
      </c>
      <c r="AG81" s="136">
        <v>3.7</v>
      </c>
      <c r="AH81" s="136"/>
      <c r="AI81" s="154">
        <v>11.8</v>
      </c>
      <c r="AJ81" s="154">
        <v>3.6</v>
      </c>
      <c r="AK81" s="84"/>
      <c r="AL81" s="84"/>
      <c r="AM81" s="84"/>
      <c r="AN81" s="84"/>
      <c r="AO81" s="84"/>
    </row>
    <row r="82" spans="1:41" s="193" customFormat="1" ht="15.95" customHeight="1" x14ac:dyDescent="0.25">
      <c r="A82" s="54">
        <v>148</v>
      </c>
      <c r="B82" s="45" t="s">
        <v>43</v>
      </c>
      <c r="C82" s="46" t="s">
        <v>61</v>
      </c>
      <c r="D82" s="46" t="s">
        <v>61</v>
      </c>
      <c r="E82" s="36" t="s">
        <v>36</v>
      </c>
      <c r="F82" s="84" t="s">
        <v>287</v>
      </c>
      <c r="G82" s="84">
        <v>2005</v>
      </c>
      <c r="H82" s="45" t="s">
        <v>449</v>
      </c>
      <c r="I82" s="206"/>
      <c r="J82" s="206"/>
      <c r="K82" s="206" t="s">
        <v>817</v>
      </c>
      <c r="L82" s="217"/>
      <c r="M82" s="217" t="s">
        <v>451</v>
      </c>
      <c r="N82" s="206"/>
      <c r="O82" s="47">
        <v>56</v>
      </c>
      <c r="P82" s="48">
        <v>11</v>
      </c>
      <c r="Q82" s="149">
        <v>26</v>
      </c>
      <c r="R82" s="150">
        <f>(449+529)/2</f>
        <v>489</v>
      </c>
      <c r="S82" s="151">
        <f>(220+142)/2</f>
        <v>181</v>
      </c>
      <c r="T82" s="99"/>
      <c r="U82" s="47">
        <v>50</v>
      </c>
      <c r="V82" s="48">
        <v>11</v>
      </c>
      <c r="W82" s="149">
        <v>21</v>
      </c>
      <c r="X82" s="84"/>
      <c r="Y82" s="84"/>
      <c r="Z82" s="84"/>
      <c r="AA82" s="84">
        <v>1</v>
      </c>
      <c r="AB82" s="152">
        <f>((U82-O82)/V82)*AA82* (1-(3/(4*(Q82+W82-2)-1)))</f>
        <v>-0.53631284916201116</v>
      </c>
      <c r="AC82" s="153"/>
      <c r="AD82" s="53">
        <v>0</v>
      </c>
      <c r="AE82" s="53"/>
      <c r="AF82" s="136">
        <v>12.3</v>
      </c>
      <c r="AG82" s="136">
        <v>3.7</v>
      </c>
      <c r="AH82" s="136"/>
      <c r="AI82" s="154">
        <v>11.8</v>
      </c>
      <c r="AJ82" s="154">
        <v>3.6</v>
      </c>
      <c r="AK82" s="84"/>
      <c r="AL82" s="84"/>
      <c r="AM82" s="84"/>
      <c r="AN82" s="84"/>
      <c r="AO82" s="54"/>
    </row>
    <row r="83" spans="1:41" s="181" customFormat="1" ht="15.95" customHeight="1" x14ac:dyDescent="0.25">
      <c r="A83" s="54">
        <v>149</v>
      </c>
      <c r="B83" s="45" t="s">
        <v>43</v>
      </c>
      <c r="C83" s="46" t="s">
        <v>61</v>
      </c>
      <c r="D83" s="46" t="s">
        <v>61</v>
      </c>
      <c r="E83" s="36" t="s">
        <v>36</v>
      </c>
      <c r="F83" s="84" t="s">
        <v>287</v>
      </c>
      <c r="G83" s="84">
        <v>2005</v>
      </c>
      <c r="H83" s="45" t="s">
        <v>449</v>
      </c>
      <c r="I83" s="206"/>
      <c r="J83" s="206"/>
      <c r="K83" s="206" t="s">
        <v>818</v>
      </c>
      <c r="L83" s="217" t="s">
        <v>62</v>
      </c>
      <c r="M83" s="217" t="s">
        <v>451</v>
      </c>
      <c r="N83" s="206"/>
      <c r="O83" s="47">
        <v>60</v>
      </c>
      <c r="P83" s="48">
        <v>11</v>
      </c>
      <c r="Q83" s="149">
        <v>26</v>
      </c>
      <c r="R83" s="150">
        <f>(449+529)/2</f>
        <v>489</v>
      </c>
      <c r="S83" s="151">
        <f>(220+142)/2</f>
        <v>181</v>
      </c>
      <c r="T83" s="99"/>
      <c r="U83" s="47">
        <v>54</v>
      </c>
      <c r="V83" s="48">
        <v>12</v>
      </c>
      <c r="W83" s="149">
        <v>21</v>
      </c>
      <c r="X83" s="84"/>
      <c r="Y83" s="84"/>
      <c r="Z83" s="84"/>
      <c r="AA83" s="84">
        <v>1</v>
      </c>
      <c r="AB83" s="152">
        <f>((U83-O83)/V83)*AA83* (1-(3/(4*(Q83+W83-2)-1)))</f>
        <v>-0.49162011173184356</v>
      </c>
      <c r="AC83" s="153"/>
      <c r="AD83" s="53">
        <v>0</v>
      </c>
      <c r="AE83" s="53"/>
      <c r="AF83" s="136">
        <v>12.3</v>
      </c>
      <c r="AG83" s="136">
        <v>3.7</v>
      </c>
      <c r="AH83" s="136"/>
      <c r="AI83" s="154">
        <v>11.8</v>
      </c>
      <c r="AJ83" s="154">
        <v>3.6</v>
      </c>
      <c r="AK83" s="84"/>
      <c r="AL83" s="84"/>
      <c r="AM83" s="84"/>
      <c r="AN83" s="84"/>
      <c r="AO83" s="45"/>
    </row>
    <row r="84" spans="1:41" s="181" customFormat="1" ht="15.95" customHeight="1" x14ac:dyDescent="0.25">
      <c r="A84" s="54">
        <v>150</v>
      </c>
      <c r="B84" s="45" t="s">
        <v>43</v>
      </c>
      <c r="C84" s="46" t="s">
        <v>61</v>
      </c>
      <c r="D84" s="46" t="s">
        <v>61</v>
      </c>
      <c r="E84" s="36" t="s">
        <v>36</v>
      </c>
      <c r="F84" s="84" t="s">
        <v>287</v>
      </c>
      <c r="G84" s="84">
        <v>2005</v>
      </c>
      <c r="H84" s="45" t="s">
        <v>449</v>
      </c>
      <c r="I84" s="206"/>
      <c r="J84" s="206"/>
      <c r="K84" s="206" t="s">
        <v>819</v>
      </c>
      <c r="L84" s="217" t="s">
        <v>62</v>
      </c>
      <c r="M84" s="217" t="s">
        <v>451</v>
      </c>
      <c r="N84" s="206"/>
      <c r="O84" s="47">
        <v>53</v>
      </c>
      <c r="P84" s="48">
        <v>10</v>
      </c>
      <c r="Q84" s="149">
        <v>26</v>
      </c>
      <c r="R84" s="150">
        <f>(449+529)/2</f>
        <v>489</v>
      </c>
      <c r="S84" s="151">
        <f>(220+142)/2</f>
        <v>181</v>
      </c>
      <c r="T84" s="99"/>
      <c r="U84" s="47">
        <v>54</v>
      </c>
      <c r="V84" s="48">
        <v>12</v>
      </c>
      <c r="W84" s="149">
        <v>21</v>
      </c>
      <c r="X84" s="84"/>
      <c r="Y84" s="84"/>
      <c r="Z84" s="84"/>
      <c r="AA84" s="84">
        <v>1</v>
      </c>
      <c r="AB84" s="152">
        <f>((U84-O84)/V84)*AA84* (1-(3/(4*(Q84+W84-2)-1)))</f>
        <v>8.1936685288640593E-2</v>
      </c>
      <c r="AC84" s="153"/>
      <c r="AD84" s="53">
        <v>0</v>
      </c>
      <c r="AE84" s="53"/>
      <c r="AF84" s="136">
        <v>12.3</v>
      </c>
      <c r="AG84" s="136">
        <v>3.7</v>
      </c>
      <c r="AH84" s="136"/>
      <c r="AI84" s="154">
        <v>11.8</v>
      </c>
      <c r="AJ84" s="154">
        <v>3.6</v>
      </c>
      <c r="AK84" s="84"/>
      <c r="AL84" s="84"/>
      <c r="AM84" s="84"/>
      <c r="AN84" s="84"/>
      <c r="AO84" s="54"/>
    </row>
    <row r="85" spans="1:41" s="193" customFormat="1" ht="15.95" customHeight="1" x14ac:dyDescent="0.25">
      <c r="A85" s="54">
        <v>151</v>
      </c>
      <c r="B85" s="45" t="s">
        <v>43</v>
      </c>
      <c r="C85" s="46" t="s">
        <v>61</v>
      </c>
      <c r="D85" s="46" t="s">
        <v>61</v>
      </c>
      <c r="E85" s="36" t="s">
        <v>36</v>
      </c>
      <c r="F85" s="84" t="s">
        <v>287</v>
      </c>
      <c r="G85" s="84">
        <v>2005</v>
      </c>
      <c r="H85" s="45" t="s">
        <v>449</v>
      </c>
      <c r="I85" s="206"/>
      <c r="J85" s="206"/>
      <c r="K85" s="206" t="s">
        <v>819</v>
      </c>
      <c r="L85" s="217" t="s">
        <v>820</v>
      </c>
      <c r="M85" s="217" t="s">
        <v>451</v>
      </c>
      <c r="N85" s="206"/>
      <c r="O85" s="47">
        <v>53</v>
      </c>
      <c r="P85" s="48">
        <v>11</v>
      </c>
      <c r="Q85" s="149">
        <v>26</v>
      </c>
      <c r="R85" s="150">
        <f>(449+529)/2</f>
        <v>489</v>
      </c>
      <c r="S85" s="151">
        <f>(220+142)/2</f>
        <v>181</v>
      </c>
      <c r="T85" s="99"/>
      <c r="U85" s="47">
        <v>49</v>
      </c>
      <c r="V85" s="48">
        <v>9</v>
      </c>
      <c r="W85" s="149">
        <v>21</v>
      </c>
      <c r="X85" s="84"/>
      <c r="Y85" s="84"/>
      <c r="Z85" s="84"/>
      <c r="AA85" s="84">
        <v>1</v>
      </c>
      <c r="AB85" s="152">
        <f>((U85-O85)/V85)*AA85* (1-(3/(4*(Q85+W85-2)-1)))</f>
        <v>-0.43699565487274983</v>
      </c>
      <c r="AC85" s="153"/>
      <c r="AD85" s="53">
        <v>0</v>
      </c>
      <c r="AE85" s="53"/>
      <c r="AF85" s="136">
        <v>12.3</v>
      </c>
      <c r="AG85" s="136">
        <v>3.7</v>
      </c>
      <c r="AH85" s="136"/>
      <c r="AI85" s="154">
        <v>11.8</v>
      </c>
      <c r="AJ85" s="154">
        <v>3.6</v>
      </c>
      <c r="AK85" s="84"/>
      <c r="AL85" s="84"/>
      <c r="AM85" s="84"/>
      <c r="AN85" s="84"/>
      <c r="AO85" s="54"/>
    </row>
    <row r="86" spans="1:41" s="13" customFormat="1" ht="15.95" customHeight="1" x14ac:dyDescent="0.25">
      <c r="A86" s="45">
        <v>573</v>
      </c>
      <c r="B86" s="45" t="s">
        <v>43</v>
      </c>
      <c r="C86" s="46" t="s">
        <v>61</v>
      </c>
      <c r="D86" s="46" t="s">
        <v>61</v>
      </c>
      <c r="E86" s="36" t="s">
        <v>36</v>
      </c>
      <c r="F86" s="45" t="s">
        <v>810</v>
      </c>
      <c r="G86" s="45">
        <v>2023</v>
      </c>
      <c r="H86" s="45" t="s">
        <v>907</v>
      </c>
      <c r="I86" s="206"/>
      <c r="J86" s="206"/>
      <c r="K86" s="206" t="s">
        <v>812</v>
      </c>
      <c r="L86" s="217"/>
      <c r="M86" s="206" t="s">
        <v>813</v>
      </c>
      <c r="N86" s="234" t="s">
        <v>814</v>
      </c>
      <c r="O86" s="47">
        <v>31.3</v>
      </c>
      <c r="P86" s="48">
        <v>6.02</v>
      </c>
      <c r="Q86" s="49">
        <v>27</v>
      </c>
      <c r="R86" s="50"/>
      <c r="S86" s="48"/>
      <c r="T86" s="50"/>
      <c r="U86" s="47">
        <v>34.1</v>
      </c>
      <c r="V86" s="50">
        <v>3.56</v>
      </c>
      <c r="W86" s="49">
        <v>28</v>
      </c>
      <c r="X86" s="45"/>
      <c r="Y86" s="45"/>
      <c r="Z86" s="45"/>
      <c r="AA86" s="45">
        <v>-1</v>
      </c>
      <c r="AB86" s="52">
        <v>-0.76</v>
      </c>
      <c r="AC86" s="45">
        <v>-0.78</v>
      </c>
      <c r="AD86" s="53">
        <v>0</v>
      </c>
      <c r="AE86" s="53"/>
      <c r="AF86" s="45">
        <v>11.1</v>
      </c>
      <c r="AG86" s="45">
        <v>2.98</v>
      </c>
      <c r="AH86" s="45"/>
      <c r="AI86" s="45">
        <v>9.82</v>
      </c>
      <c r="AJ86" s="45">
        <v>2.13</v>
      </c>
      <c r="AK86" s="45"/>
      <c r="AL86" s="45"/>
      <c r="AM86" s="45"/>
      <c r="AN86" s="45"/>
      <c r="AO86" s="54"/>
    </row>
    <row r="87" spans="1:41" s="13" customFormat="1" ht="15.95" customHeight="1" x14ac:dyDescent="0.25">
      <c r="A87" s="45">
        <v>559</v>
      </c>
      <c r="B87" s="45"/>
      <c r="C87" s="171" t="s">
        <v>879</v>
      </c>
      <c r="D87" s="171" t="s">
        <v>879</v>
      </c>
      <c r="E87" s="36"/>
      <c r="F87" s="45"/>
      <c r="G87" s="45"/>
      <c r="H87" s="45"/>
      <c r="I87" s="206"/>
      <c r="J87" s="206"/>
      <c r="K87" s="206"/>
      <c r="L87" s="217"/>
      <c r="M87" s="206"/>
      <c r="N87" s="206"/>
      <c r="O87" s="47"/>
      <c r="P87" s="48"/>
      <c r="Q87" s="49"/>
      <c r="R87" s="50"/>
      <c r="S87" s="48"/>
      <c r="T87" s="50"/>
      <c r="U87" s="47"/>
      <c r="V87" s="50"/>
      <c r="W87" s="49"/>
      <c r="X87" s="45"/>
      <c r="Y87" s="45"/>
      <c r="Z87" s="45"/>
      <c r="AA87" s="45"/>
      <c r="AB87" s="52"/>
      <c r="AC87" s="45"/>
      <c r="AD87" s="45">
        <v>0</v>
      </c>
      <c r="AE87" s="45"/>
      <c r="AF87" s="45"/>
      <c r="AG87" s="45"/>
      <c r="AH87" s="45"/>
      <c r="AI87" s="45"/>
      <c r="AJ87" s="45"/>
      <c r="AK87" s="45"/>
      <c r="AL87" s="45"/>
      <c r="AM87" s="45"/>
      <c r="AN87" s="45"/>
      <c r="AO87" s="54"/>
    </row>
    <row r="88" spans="1:41" s="13" customFormat="1" ht="15.95" customHeight="1" x14ac:dyDescent="0.25">
      <c r="A88" s="45">
        <v>342</v>
      </c>
      <c r="B88" s="45" t="s">
        <v>34</v>
      </c>
      <c r="C88" s="46" t="s">
        <v>157</v>
      </c>
      <c r="D88" s="46" t="s">
        <v>157</v>
      </c>
      <c r="E88" s="36"/>
      <c r="F88" s="45" t="s">
        <v>829</v>
      </c>
      <c r="G88" s="45">
        <v>2023</v>
      </c>
      <c r="H88" s="45" t="s">
        <v>850</v>
      </c>
      <c r="I88" s="206"/>
      <c r="J88" s="206"/>
      <c r="K88" s="206" t="s">
        <v>831</v>
      </c>
      <c r="L88" s="217"/>
      <c r="M88" s="206"/>
      <c r="N88" s="206"/>
      <c r="O88" s="47">
        <v>20.75</v>
      </c>
      <c r="P88" s="48">
        <v>5.23</v>
      </c>
      <c r="Q88" s="49">
        <v>20</v>
      </c>
      <c r="R88" s="50">
        <v>585.75</v>
      </c>
      <c r="S88" s="48">
        <v>419.73</v>
      </c>
      <c r="T88" s="50"/>
      <c r="U88" s="47">
        <v>23.95</v>
      </c>
      <c r="V88" s="50">
        <v>5.72</v>
      </c>
      <c r="W88" s="49">
        <v>20</v>
      </c>
      <c r="X88" s="45" t="s">
        <v>58</v>
      </c>
      <c r="Y88" s="45"/>
      <c r="Z88" s="45"/>
      <c r="AA88" s="45">
        <v>-1</v>
      </c>
      <c r="AB88" s="52">
        <v>-0.55000000000000004</v>
      </c>
      <c r="AC88" s="45"/>
      <c r="AD88" s="53">
        <v>0</v>
      </c>
      <c r="AE88" s="53" t="s">
        <v>832</v>
      </c>
      <c r="AF88" s="45" t="s">
        <v>58</v>
      </c>
      <c r="AG88" s="45"/>
      <c r="AH88" s="45"/>
      <c r="AI88" s="45"/>
      <c r="AJ88" s="45"/>
      <c r="AK88" s="45"/>
      <c r="AL88" s="45"/>
      <c r="AM88" s="45"/>
      <c r="AN88" s="45"/>
      <c r="AO88" s="84"/>
    </row>
    <row r="89" spans="1:41" s="13" customFormat="1" ht="15.95" customHeight="1" x14ac:dyDescent="0.25">
      <c r="A89" s="45">
        <v>343</v>
      </c>
      <c r="B89" s="45" t="s">
        <v>34</v>
      </c>
      <c r="C89" s="46" t="s">
        <v>157</v>
      </c>
      <c r="D89" s="46" t="s">
        <v>157</v>
      </c>
      <c r="E89" s="36"/>
      <c r="F89" s="45" t="s">
        <v>829</v>
      </c>
      <c r="G89" s="45">
        <v>2023</v>
      </c>
      <c r="H89" s="45" t="s">
        <v>861</v>
      </c>
      <c r="I89" s="206"/>
      <c r="J89" s="206"/>
      <c r="K89" s="206" t="s">
        <v>831</v>
      </c>
      <c r="L89" s="217"/>
      <c r="M89" s="206"/>
      <c r="N89" s="206"/>
      <c r="O89" s="47">
        <v>33.65</v>
      </c>
      <c r="P89" s="48">
        <v>10.63</v>
      </c>
      <c r="Q89" s="49">
        <v>20</v>
      </c>
      <c r="R89" s="50">
        <v>585.75</v>
      </c>
      <c r="S89" s="48">
        <v>419.73</v>
      </c>
      <c r="T89" s="50"/>
      <c r="U89" s="47">
        <v>37.799999999999997</v>
      </c>
      <c r="V89" s="50">
        <v>7.55</v>
      </c>
      <c r="W89" s="49">
        <v>20</v>
      </c>
      <c r="X89" s="45" t="s">
        <v>58</v>
      </c>
      <c r="Y89" s="45"/>
      <c r="Z89" s="45"/>
      <c r="AA89" s="45">
        <v>-1</v>
      </c>
      <c r="AB89" s="52">
        <v>-0.54</v>
      </c>
      <c r="AC89" s="45"/>
      <c r="AD89" s="53">
        <v>0</v>
      </c>
      <c r="AE89" s="53" t="s">
        <v>832</v>
      </c>
      <c r="AF89" s="45" t="s">
        <v>58</v>
      </c>
      <c r="AG89" s="45"/>
      <c r="AH89" s="45"/>
      <c r="AI89" s="45"/>
      <c r="AJ89" s="45"/>
      <c r="AK89" s="45"/>
      <c r="AL89" s="45"/>
      <c r="AM89" s="45"/>
      <c r="AN89" s="45"/>
      <c r="AO89" s="54"/>
    </row>
    <row r="90" spans="1:41" s="13" customFormat="1" ht="15.95" customHeight="1" x14ac:dyDescent="0.25">
      <c r="A90" s="45">
        <v>580</v>
      </c>
      <c r="B90" s="45" t="s">
        <v>34</v>
      </c>
      <c r="C90" s="46" t="s">
        <v>157</v>
      </c>
      <c r="D90" s="46" t="s">
        <v>157</v>
      </c>
      <c r="E90" s="36"/>
      <c r="F90" s="45" t="s">
        <v>908</v>
      </c>
      <c r="G90" s="45">
        <v>2023</v>
      </c>
      <c r="H90" s="45" t="s">
        <v>919</v>
      </c>
      <c r="I90" s="206"/>
      <c r="J90" s="206"/>
      <c r="K90" s="206" t="s">
        <v>920</v>
      </c>
      <c r="L90" s="217"/>
      <c r="M90" s="206"/>
      <c r="N90" s="206"/>
      <c r="O90" s="47">
        <v>2.2999999999999998</v>
      </c>
      <c r="P90" s="48">
        <v>3.4</v>
      </c>
      <c r="Q90" s="49">
        <v>7</v>
      </c>
      <c r="R90" s="50">
        <v>1311</v>
      </c>
      <c r="S90" s="48">
        <v>278</v>
      </c>
      <c r="T90" s="50" t="s">
        <v>911</v>
      </c>
      <c r="U90" s="47">
        <v>5</v>
      </c>
      <c r="V90" s="50">
        <v>3.1</v>
      </c>
      <c r="W90" s="49">
        <v>7</v>
      </c>
      <c r="X90" s="45" t="s">
        <v>921</v>
      </c>
      <c r="Y90" s="45">
        <v>1.123051947</v>
      </c>
      <c r="Z90" s="45"/>
      <c r="AA90" s="45">
        <v>-1</v>
      </c>
      <c r="AB90" s="75">
        <f>((U90-O90)/V90)*AA90 * (1-(3/(4*(Q90+W90-2)-1)))</f>
        <v>-0.81537405628002746</v>
      </c>
      <c r="AC90" s="45"/>
      <c r="AD90" s="45">
        <v>0</v>
      </c>
      <c r="AE90" s="53"/>
      <c r="AF90" s="45" t="s">
        <v>58</v>
      </c>
      <c r="AG90" s="45"/>
      <c r="AH90" s="45"/>
      <c r="AI90" s="45"/>
      <c r="AJ90" s="45"/>
      <c r="AK90" s="45"/>
      <c r="AL90" s="45"/>
      <c r="AM90" s="45"/>
      <c r="AN90" s="45"/>
      <c r="AO90" s="84"/>
    </row>
    <row r="91" spans="1:41" s="13" customFormat="1" ht="15.95" customHeight="1" x14ac:dyDescent="0.25">
      <c r="A91" s="45">
        <v>560</v>
      </c>
      <c r="B91" s="45" t="s">
        <v>43</v>
      </c>
      <c r="C91" s="45" t="s">
        <v>324</v>
      </c>
      <c r="D91" s="45" t="s">
        <v>324</v>
      </c>
      <c r="E91" s="36"/>
      <c r="F91" s="45" t="s">
        <v>880</v>
      </c>
      <c r="G91" s="45">
        <v>2015</v>
      </c>
      <c r="H91" s="45" t="s">
        <v>881</v>
      </c>
      <c r="I91" s="206"/>
      <c r="J91" s="206"/>
      <c r="K91" s="206" t="s">
        <v>882</v>
      </c>
      <c r="L91" s="217"/>
      <c r="M91" s="206"/>
      <c r="N91" s="206"/>
      <c r="O91" s="47">
        <v>83.37</v>
      </c>
      <c r="P91" s="48">
        <v>8.5299999999999994</v>
      </c>
      <c r="Q91" s="49">
        <v>8</v>
      </c>
      <c r="R91" s="50" t="s">
        <v>58</v>
      </c>
      <c r="S91" s="48" t="s">
        <v>58</v>
      </c>
      <c r="T91" s="50"/>
      <c r="U91" s="47">
        <v>99.55</v>
      </c>
      <c r="V91" s="50">
        <v>6.35</v>
      </c>
      <c r="W91" s="49">
        <v>42</v>
      </c>
      <c r="X91" s="45"/>
      <c r="Y91" s="45"/>
      <c r="Z91" s="45"/>
      <c r="AA91" s="45">
        <v>-1</v>
      </c>
      <c r="AB91" s="52">
        <v>-2.5099999999999998</v>
      </c>
      <c r="AC91" s="45"/>
      <c r="AD91" s="53">
        <v>0</v>
      </c>
      <c r="AE91" s="53"/>
      <c r="AF91" s="45">
        <v>4.26</v>
      </c>
      <c r="AG91" s="45">
        <v>0.67</v>
      </c>
      <c r="AH91" s="45"/>
      <c r="AI91" s="45">
        <v>4.97</v>
      </c>
      <c r="AJ91" s="45">
        <v>0.9</v>
      </c>
      <c r="AK91" s="45" t="s">
        <v>883</v>
      </c>
      <c r="AL91" s="45"/>
      <c r="AM91" s="45"/>
      <c r="AN91" s="45"/>
      <c r="AO91" s="54"/>
    </row>
    <row r="92" spans="1:41" s="13" customFormat="1" ht="15.95" customHeight="1" x14ac:dyDescent="0.25">
      <c r="A92" s="45">
        <v>561</v>
      </c>
      <c r="B92" s="45" t="s">
        <v>43</v>
      </c>
      <c r="C92" s="45" t="s">
        <v>324</v>
      </c>
      <c r="D92" s="45" t="s">
        <v>324</v>
      </c>
      <c r="E92" s="36"/>
      <c r="F92" s="45" t="s">
        <v>884</v>
      </c>
      <c r="G92" s="45">
        <v>2019</v>
      </c>
      <c r="H92" s="45" t="s">
        <v>885</v>
      </c>
      <c r="I92" s="206"/>
      <c r="J92" s="206"/>
      <c r="K92" s="206" t="s">
        <v>886</v>
      </c>
      <c r="L92" s="217"/>
      <c r="M92" s="206" t="s">
        <v>887</v>
      </c>
      <c r="N92" s="206"/>
      <c r="O92" s="47">
        <v>95.2</v>
      </c>
      <c r="P92" s="48">
        <v>12.3</v>
      </c>
      <c r="Q92" s="49">
        <v>28</v>
      </c>
      <c r="R92" s="50">
        <v>528</v>
      </c>
      <c r="S92" s="48">
        <v>312</v>
      </c>
      <c r="T92" s="50"/>
      <c r="U92" s="47">
        <v>92.7</v>
      </c>
      <c r="V92" s="50">
        <v>13.9</v>
      </c>
      <c r="W92" s="49">
        <v>21</v>
      </c>
      <c r="X92" s="45" t="s">
        <v>58</v>
      </c>
      <c r="Y92" s="45"/>
      <c r="Z92" s="45"/>
      <c r="AA92" s="45">
        <v>-1</v>
      </c>
      <c r="AB92" s="52">
        <v>0.18</v>
      </c>
      <c r="AC92" s="45">
        <v>0.17</v>
      </c>
      <c r="AD92" s="53">
        <v>0</v>
      </c>
      <c r="AE92" s="53"/>
      <c r="AF92" s="45" t="s">
        <v>58</v>
      </c>
      <c r="AG92" s="45"/>
      <c r="AH92" s="45"/>
      <c r="AI92" s="45"/>
      <c r="AJ92" s="45"/>
      <c r="AK92" s="45"/>
      <c r="AL92" s="45"/>
      <c r="AM92" s="45"/>
      <c r="AN92" s="45"/>
      <c r="AO92" s="54"/>
    </row>
    <row r="93" spans="1:41" s="13" customFormat="1" ht="15.95" customHeight="1" x14ac:dyDescent="0.25">
      <c r="A93" s="45">
        <v>562</v>
      </c>
      <c r="B93" s="45" t="s">
        <v>43</v>
      </c>
      <c r="C93" s="45" t="s">
        <v>324</v>
      </c>
      <c r="D93" s="45" t="s">
        <v>324</v>
      </c>
      <c r="E93" s="36"/>
      <c r="F93" s="45" t="s">
        <v>888</v>
      </c>
      <c r="G93" s="45">
        <v>2000</v>
      </c>
      <c r="H93" s="45" t="s">
        <v>889</v>
      </c>
      <c r="I93" s="206"/>
      <c r="J93" s="206"/>
      <c r="K93" s="206" t="s">
        <v>890</v>
      </c>
      <c r="L93" s="217"/>
      <c r="M93" s="206"/>
      <c r="N93" s="206"/>
      <c r="O93" s="47">
        <v>100</v>
      </c>
      <c r="P93" s="48">
        <v>14</v>
      </c>
      <c r="Q93" s="49">
        <v>42</v>
      </c>
      <c r="R93" s="50">
        <v>894</v>
      </c>
      <c r="S93" s="48">
        <v>360</v>
      </c>
      <c r="T93" s="50"/>
      <c r="U93" s="47">
        <v>104</v>
      </c>
      <c r="V93" s="50">
        <v>12</v>
      </c>
      <c r="W93" s="49">
        <v>42</v>
      </c>
      <c r="X93" s="45" t="s">
        <v>58</v>
      </c>
      <c r="Y93" s="45"/>
      <c r="Z93" s="45"/>
      <c r="AA93" s="45">
        <v>-1</v>
      </c>
      <c r="AB93" s="52">
        <v>-0.33</v>
      </c>
      <c r="AC93" s="45">
        <v>-0.33</v>
      </c>
      <c r="AD93" s="53">
        <v>0</v>
      </c>
      <c r="AE93" s="53"/>
      <c r="AF93" s="45" t="s">
        <v>58</v>
      </c>
      <c r="AG93" s="45"/>
      <c r="AH93" s="45"/>
      <c r="AI93" s="45"/>
      <c r="AJ93" s="45"/>
      <c r="AK93" s="45"/>
      <c r="AL93" s="45"/>
      <c r="AM93" s="45"/>
      <c r="AN93" s="45"/>
      <c r="AO93" s="54"/>
    </row>
    <row r="94" spans="1:41" s="13" customFormat="1" ht="15.95" customHeight="1" x14ac:dyDescent="0.25">
      <c r="A94" s="45">
        <v>527</v>
      </c>
      <c r="B94" s="45" t="s">
        <v>54</v>
      </c>
      <c r="C94" s="45" t="s">
        <v>324</v>
      </c>
      <c r="D94" s="45" t="s">
        <v>324</v>
      </c>
      <c r="E94" s="36"/>
      <c r="F94" s="45" t="s">
        <v>55</v>
      </c>
      <c r="G94" s="45">
        <v>1987</v>
      </c>
      <c r="H94" s="45" t="s">
        <v>801</v>
      </c>
      <c r="I94" s="206" t="s">
        <v>802</v>
      </c>
      <c r="J94" s="206"/>
      <c r="K94" s="206" t="s">
        <v>803</v>
      </c>
      <c r="L94" s="217"/>
      <c r="M94" s="206"/>
      <c r="N94" s="206"/>
      <c r="O94" s="47">
        <v>97</v>
      </c>
      <c r="P94" s="48" t="s">
        <v>117</v>
      </c>
      <c r="Q94" s="49">
        <v>21</v>
      </c>
      <c r="R94" s="50">
        <v>1529.32</v>
      </c>
      <c r="S94" s="48"/>
      <c r="T94" s="50"/>
      <c r="U94" s="47">
        <v>110.6</v>
      </c>
      <c r="V94" s="50" t="s">
        <v>117</v>
      </c>
      <c r="W94" s="49">
        <v>7</v>
      </c>
      <c r="X94" s="45" t="s">
        <v>58</v>
      </c>
      <c r="Y94" s="45"/>
      <c r="Z94" s="45"/>
      <c r="AA94" s="45">
        <v>-1</v>
      </c>
      <c r="AB94" s="45" t="s">
        <v>117</v>
      </c>
      <c r="AC94" s="45"/>
      <c r="AD94" s="53">
        <v>0</v>
      </c>
      <c r="AE94" s="53"/>
      <c r="AF94" s="45">
        <v>16.399999999999999</v>
      </c>
      <c r="AG94" s="45">
        <v>5.6</v>
      </c>
      <c r="AH94" s="45"/>
      <c r="AI94" s="45">
        <v>13.4</v>
      </c>
      <c r="AJ94" s="45">
        <v>3.9</v>
      </c>
      <c r="AK94" s="45"/>
      <c r="AL94" s="45"/>
      <c r="AM94" s="45"/>
      <c r="AN94" s="45"/>
      <c r="AO94" s="54"/>
    </row>
    <row r="95" spans="1:41" s="13" customFormat="1" ht="15.95" customHeight="1" x14ac:dyDescent="0.25">
      <c r="A95" s="45">
        <v>349</v>
      </c>
      <c r="B95" s="45" t="s">
        <v>34</v>
      </c>
      <c r="C95" s="46" t="s">
        <v>161</v>
      </c>
      <c r="D95" s="46" t="s">
        <v>161</v>
      </c>
      <c r="E95" s="36" t="s">
        <v>81</v>
      </c>
      <c r="F95" s="45" t="s">
        <v>829</v>
      </c>
      <c r="G95" s="45">
        <v>2023</v>
      </c>
      <c r="H95" s="45" t="s">
        <v>830</v>
      </c>
      <c r="I95" s="206"/>
      <c r="J95" s="206"/>
      <c r="K95" s="206" t="s">
        <v>831</v>
      </c>
      <c r="L95" s="217"/>
      <c r="M95" s="206"/>
      <c r="N95" s="206"/>
      <c r="O95" s="47">
        <v>22.5</v>
      </c>
      <c r="P95" s="48">
        <v>5.54</v>
      </c>
      <c r="Q95" s="49">
        <v>20</v>
      </c>
      <c r="R95" s="50">
        <v>585.75</v>
      </c>
      <c r="S95" s="48">
        <v>419.73</v>
      </c>
      <c r="T95" s="50"/>
      <c r="U95" s="47">
        <v>24.95</v>
      </c>
      <c r="V95" s="50">
        <v>4.38</v>
      </c>
      <c r="W95" s="49">
        <v>20</v>
      </c>
      <c r="X95" s="45" t="s">
        <v>58</v>
      </c>
      <c r="Y95" s="45"/>
      <c r="Z95" s="45"/>
      <c r="AA95" s="45">
        <v>-1</v>
      </c>
      <c r="AB95" s="75">
        <f>((U95-O95)/V95)*AA95 * (1-(3/(4*(Q95+W95-2)-1)))</f>
        <v>-0.54824760349572088</v>
      </c>
      <c r="AC95" s="45"/>
      <c r="AD95" s="53">
        <v>0</v>
      </c>
      <c r="AE95" s="53" t="s">
        <v>832</v>
      </c>
      <c r="AF95" s="45" t="s">
        <v>58</v>
      </c>
      <c r="AG95" s="45"/>
      <c r="AH95" s="45"/>
      <c r="AI95" s="45"/>
      <c r="AJ95" s="45"/>
      <c r="AK95" s="45"/>
      <c r="AL95" s="45"/>
      <c r="AM95" s="45"/>
      <c r="AN95" s="45"/>
      <c r="AO95" s="54"/>
    </row>
    <row r="96" spans="1:41" s="13" customFormat="1" ht="15.95" customHeight="1" x14ac:dyDescent="0.25">
      <c r="A96" s="45">
        <v>350</v>
      </c>
      <c r="B96" s="45" t="s">
        <v>34</v>
      </c>
      <c r="C96" s="46" t="s">
        <v>161</v>
      </c>
      <c r="D96" s="46" t="s">
        <v>161</v>
      </c>
      <c r="E96" s="36" t="s">
        <v>81</v>
      </c>
      <c r="F96" s="45" t="s">
        <v>829</v>
      </c>
      <c r="G96" s="45">
        <v>2023</v>
      </c>
      <c r="H96" s="45" t="s">
        <v>841</v>
      </c>
      <c r="I96" s="206"/>
      <c r="J96" s="206"/>
      <c r="K96" s="206" t="s">
        <v>831</v>
      </c>
      <c r="L96" s="217"/>
      <c r="M96" s="206"/>
      <c r="N96" s="206"/>
      <c r="O96" s="47">
        <v>10.85</v>
      </c>
      <c r="P96" s="48">
        <v>5.82</v>
      </c>
      <c r="Q96" s="49">
        <v>20</v>
      </c>
      <c r="R96" s="50">
        <v>585.75</v>
      </c>
      <c r="S96" s="48">
        <v>419.73</v>
      </c>
      <c r="T96" s="50"/>
      <c r="U96" s="47">
        <v>12.25</v>
      </c>
      <c r="V96" s="50">
        <v>4.54</v>
      </c>
      <c r="W96" s="49">
        <v>20</v>
      </c>
      <c r="X96" s="45" t="s">
        <v>58</v>
      </c>
      <c r="Y96" s="45"/>
      <c r="Z96" s="45"/>
      <c r="AA96" s="45">
        <v>-1</v>
      </c>
      <c r="AB96" s="75">
        <f>((U96-O96)/V96)*AA96 * (1-(3/(4*(Q96+W96-2)-1)))</f>
        <v>-0.3022434868862503</v>
      </c>
      <c r="AC96" s="45"/>
      <c r="AD96" s="53">
        <v>0</v>
      </c>
      <c r="AE96" s="53" t="s">
        <v>832</v>
      </c>
      <c r="AF96" s="45" t="s">
        <v>58</v>
      </c>
      <c r="AG96" s="45"/>
      <c r="AH96" s="45"/>
      <c r="AI96" s="45"/>
      <c r="AJ96" s="45"/>
      <c r="AK96" s="45"/>
      <c r="AL96" s="45"/>
      <c r="AM96" s="45"/>
      <c r="AN96" s="45"/>
      <c r="AO96" s="54"/>
    </row>
    <row r="97" spans="1:41" s="13" customFormat="1" ht="15.95" customHeight="1" x14ac:dyDescent="0.25">
      <c r="A97" s="45">
        <v>581</v>
      </c>
      <c r="B97" s="45" t="s">
        <v>34</v>
      </c>
      <c r="C97" s="46" t="s">
        <v>161</v>
      </c>
      <c r="D97" s="46" t="s">
        <v>161</v>
      </c>
      <c r="E97" s="36" t="s">
        <v>81</v>
      </c>
      <c r="F97" s="45" t="s">
        <v>908</v>
      </c>
      <c r="G97" s="45">
        <v>2023</v>
      </c>
      <c r="H97" s="45" t="s">
        <v>673</v>
      </c>
      <c r="I97" s="206"/>
      <c r="J97" s="206"/>
      <c r="K97" s="206"/>
      <c r="L97" s="217" t="s">
        <v>922</v>
      </c>
      <c r="M97" s="206"/>
      <c r="N97" s="206"/>
      <c r="O97" s="47">
        <v>123.3</v>
      </c>
      <c r="P97" s="48">
        <v>17.100000000000001</v>
      </c>
      <c r="Q97" s="49">
        <v>7</v>
      </c>
      <c r="R97" s="50">
        <v>1311</v>
      </c>
      <c r="S97" s="48">
        <v>278</v>
      </c>
      <c r="T97" s="50" t="s">
        <v>911</v>
      </c>
      <c r="U97" s="47">
        <v>146.30000000000001</v>
      </c>
      <c r="V97" s="50">
        <v>15</v>
      </c>
      <c r="W97" s="49">
        <v>7</v>
      </c>
      <c r="X97" s="45" t="s">
        <v>58</v>
      </c>
      <c r="Y97" s="45"/>
      <c r="Z97" s="45"/>
      <c r="AA97" s="45">
        <v>-1</v>
      </c>
      <c r="AB97" s="75">
        <f>((U97-O97)/V97)*AA97 * (1-(3/(4*(Q97+W97-2)-1)))</f>
        <v>-1.4354609929078024</v>
      </c>
      <c r="AC97" s="45"/>
      <c r="AD97" s="45">
        <v>0</v>
      </c>
      <c r="AE97" s="53"/>
      <c r="AF97" s="45" t="s">
        <v>58</v>
      </c>
      <c r="AG97" s="45"/>
      <c r="AH97" s="45"/>
      <c r="AI97" s="45"/>
      <c r="AJ97" s="45"/>
      <c r="AK97" s="45"/>
      <c r="AL97" s="45"/>
      <c r="AM97" s="45"/>
      <c r="AN97" s="45"/>
      <c r="AO97" s="45"/>
    </row>
    <row r="98" spans="1:41" s="13" customFormat="1" ht="15.95" customHeight="1" x14ac:dyDescent="0.25">
      <c r="A98" s="45">
        <v>582</v>
      </c>
      <c r="B98" s="45" t="s">
        <v>34</v>
      </c>
      <c r="C98" s="46" t="s">
        <v>161</v>
      </c>
      <c r="D98" s="46" t="s">
        <v>161</v>
      </c>
      <c r="E98" s="36" t="s">
        <v>81</v>
      </c>
      <c r="F98" s="45" t="s">
        <v>908</v>
      </c>
      <c r="G98" s="45">
        <v>2023</v>
      </c>
      <c r="H98" s="45" t="s">
        <v>923</v>
      </c>
      <c r="I98" s="206"/>
      <c r="J98" s="206"/>
      <c r="K98" s="206"/>
      <c r="L98" s="217" t="s">
        <v>924</v>
      </c>
      <c r="M98" s="206"/>
      <c r="N98" s="206"/>
      <c r="O98" s="47">
        <v>39.6</v>
      </c>
      <c r="P98" s="48">
        <v>0.5</v>
      </c>
      <c r="Q98" s="49">
        <v>7</v>
      </c>
      <c r="R98" s="50">
        <v>1311</v>
      </c>
      <c r="S98" s="48">
        <v>278</v>
      </c>
      <c r="T98" s="50" t="s">
        <v>911</v>
      </c>
      <c r="U98" s="47">
        <v>40</v>
      </c>
      <c r="V98" s="50">
        <v>0.5</v>
      </c>
      <c r="W98" s="49">
        <v>7</v>
      </c>
      <c r="X98" s="45" t="s">
        <v>925</v>
      </c>
      <c r="Y98" s="45"/>
      <c r="Z98" s="45"/>
      <c r="AA98" s="45">
        <v>-1</v>
      </c>
      <c r="AB98" s="75">
        <f>((U98-O98)/V98)*AA98 * (1-(3/(4*(Q98+W98-2)-1)))</f>
        <v>-0.74893617021276326</v>
      </c>
      <c r="AC98" s="45"/>
      <c r="AD98" s="45">
        <v>0</v>
      </c>
      <c r="AE98" s="53"/>
      <c r="AF98" s="45" t="s">
        <v>58</v>
      </c>
      <c r="AG98" s="45"/>
      <c r="AH98" s="45"/>
      <c r="AI98" s="45"/>
      <c r="AJ98" s="45"/>
      <c r="AK98" s="45"/>
      <c r="AL98" s="45"/>
      <c r="AM98" s="45"/>
      <c r="AN98" s="45"/>
      <c r="AO98" s="45"/>
    </row>
    <row r="99" spans="1:41" s="13" customFormat="1" ht="15.95" customHeight="1" x14ac:dyDescent="0.25">
      <c r="A99" s="45">
        <v>583</v>
      </c>
      <c r="B99" s="45" t="s">
        <v>34</v>
      </c>
      <c r="C99" s="46" t="s">
        <v>161</v>
      </c>
      <c r="D99" s="46" t="s">
        <v>161</v>
      </c>
      <c r="E99" s="36" t="s">
        <v>81</v>
      </c>
      <c r="F99" s="45" t="s">
        <v>908</v>
      </c>
      <c r="G99" s="45">
        <v>2023</v>
      </c>
      <c r="H99" s="45" t="s">
        <v>926</v>
      </c>
      <c r="I99" s="206"/>
      <c r="J99" s="206"/>
      <c r="K99" s="206" t="s">
        <v>927</v>
      </c>
      <c r="L99" s="217"/>
      <c r="M99" s="206"/>
      <c r="N99" s="206"/>
      <c r="O99" s="47">
        <v>29.1</v>
      </c>
      <c r="P99" s="48">
        <v>1.6</v>
      </c>
      <c r="Q99" s="49">
        <v>7</v>
      </c>
      <c r="R99" s="50">
        <v>1311</v>
      </c>
      <c r="S99" s="48">
        <v>278</v>
      </c>
      <c r="T99" s="50" t="s">
        <v>911</v>
      </c>
      <c r="U99" s="47">
        <v>30</v>
      </c>
      <c r="V99" s="50">
        <v>0</v>
      </c>
      <c r="W99" s="49">
        <v>7</v>
      </c>
      <c r="X99" s="45" t="s">
        <v>58</v>
      </c>
      <c r="Y99" s="45"/>
      <c r="Z99" s="45"/>
      <c r="AA99" s="45">
        <v>-1</v>
      </c>
      <c r="AB99" s="52">
        <v>-0.55000000000000004</v>
      </c>
      <c r="AC99" s="45"/>
      <c r="AD99" s="45">
        <v>0</v>
      </c>
      <c r="AE99" s="53"/>
      <c r="AF99" s="45" t="s">
        <v>58</v>
      </c>
      <c r="AG99" s="45"/>
      <c r="AH99" s="45"/>
      <c r="AI99" s="45"/>
      <c r="AJ99" s="45"/>
      <c r="AK99" s="45"/>
      <c r="AL99" s="45"/>
      <c r="AM99" s="45"/>
      <c r="AN99" s="45"/>
      <c r="AO99" s="45"/>
    </row>
    <row r="100" spans="1:41" s="13" customFormat="1" ht="15.95" customHeight="1" x14ac:dyDescent="0.25">
      <c r="A100" s="45">
        <v>584</v>
      </c>
      <c r="B100" s="45" t="s">
        <v>34</v>
      </c>
      <c r="C100" s="46" t="s">
        <v>161</v>
      </c>
      <c r="D100" s="46" t="s">
        <v>161</v>
      </c>
      <c r="E100" s="36" t="s">
        <v>81</v>
      </c>
      <c r="F100" s="45" t="s">
        <v>908</v>
      </c>
      <c r="G100" s="45">
        <v>2023</v>
      </c>
      <c r="H100" s="45" t="s">
        <v>224</v>
      </c>
      <c r="I100" s="206" t="s">
        <v>39</v>
      </c>
      <c r="J100" s="206"/>
      <c r="K100" s="206"/>
      <c r="L100" s="217" t="s">
        <v>928</v>
      </c>
      <c r="M100" s="206"/>
      <c r="N100" s="206"/>
      <c r="O100" s="47">
        <v>39.6</v>
      </c>
      <c r="P100" s="48">
        <v>0.5</v>
      </c>
      <c r="Q100" s="49">
        <v>7</v>
      </c>
      <c r="R100" s="50">
        <v>1311</v>
      </c>
      <c r="S100" s="48">
        <v>278</v>
      </c>
      <c r="T100" s="50" t="s">
        <v>911</v>
      </c>
      <c r="U100" s="47">
        <v>40</v>
      </c>
      <c r="V100" s="50">
        <v>0.32</v>
      </c>
      <c r="W100" s="49">
        <v>7</v>
      </c>
      <c r="X100" s="45" t="s">
        <v>929</v>
      </c>
      <c r="Y100" s="45"/>
      <c r="Z100" s="45"/>
      <c r="AA100" s="45">
        <v>-1</v>
      </c>
      <c r="AB100" s="75">
        <f>((U100-O100)/V100)*AA100 * (1-(3/(4*(Q100+W100-2)-1)))</f>
        <v>-1.1702127659574426</v>
      </c>
      <c r="AC100" s="45"/>
      <c r="AD100" s="45">
        <v>0</v>
      </c>
      <c r="AE100" s="53"/>
      <c r="AF100" s="45" t="s">
        <v>58</v>
      </c>
      <c r="AG100" s="45"/>
      <c r="AH100" s="45"/>
      <c r="AI100" s="45"/>
      <c r="AJ100" s="45"/>
      <c r="AK100" s="45"/>
      <c r="AL100" s="45"/>
      <c r="AM100" s="45"/>
      <c r="AN100" s="45"/>
      <c r="AO100" s="54"/>
    </row>
    <row r="101" spans="1:41" s="13" customFormat="1" ht="15.95" customHeight="1" x14ac:dyDescent="0.25">
      <c r="A101" s="45">
        <v>464</v>
      </c>
      <c r="B101" s="45" t="s">
        <v>34</v>
      </c>
      <c r="C101" s="46" t="s">
        <v>102</v>
      </c>
      <c r="D101" s="46" t="s">
        <v>102</v>
      </c>
      <c r="E101" s="36" t="s">
        <v>81</v>
      </c>
      <c r="F101" s="45" t="s">
        <v>301</v>
      </c>
      <c r="G101" s="45">
        <v>2022</v>
      </c>
      <c r="H101" s="45" t="s">
        <v>302</v>
      </c>
      <c r="I101" s="206"/>
      <c r="J101" s="206"/>
      <c r="K101" s="206" t="s">
        <v>303</v>
      </c>
      <c r="L101" s="217" t="s">
        <v>779</v>
      </c>
      <c r="M101" s="206" t="s">
        <v>862</v>
      </c>
      <c r="N101" s="206" t="s">
        <v>584</v>
      </c>
      <c r="O101" s="47">
        <v>3.2</v>
      </c>
      <c r="P101" s="48">
        <v>37.4</v>
      </c>
      <c r="Q101" s="49">
        <v>30</v>
      </c>
      <c r="R101" s="50">
        <v>741</v>
      </c>
      <c r="S101" s="51">
        <f>358/1.35</f>
        <v>265.18518518518516</v>
      </c>
      <c r="T101" s="48" t="s">
        <v>307</v>
      </c>
      <c r="U101" s="47">
        <v>-0.8</v>
      </c>
      <c r="V101" s="50">
        <v>32.700000000000003</v>
      </c>
      <c r="W101" s="49">
        <v>54</v>
      </c>
      <c r="X101" s="45" t="s">
        <v>58</v>
      </c>
      <c r="Y101" s="45">
        <v>-0.11</v>
      </c>
      <c r="Z101" s="45"/>
      <c r="AA101" s="45">
        <v>1</v>
      </c>
      <c r="AB101" s="52">
        <v>-0.12</v>
      </c>
      <c r="AC101" s="45"/>
      <c r="AD101" s="53">
        <v>0</v>
      </c>
      <c r="AE101" s="53"/>
      <c r="AF101" s="45" t="s">
        <v>58</v>
      </c>
      <c r="AG101" s="45"/>
      <c r="AH101" s="45"/>
      <c r="AI101" s="45"/>
      <c r="AJ101" s="45"/>
      <c r="AK101" s="45"/>
      <c r="AL101" s="45"/>
      <c r="AM101" s="45"/>
      <c r="AN101" s="45"/>
      <c r="AO101" s="45"/>
    </row>
    <row r="102" spans="1:41" s="13" customFormat="1" ht="15.95" customHeight="1" x14ac:dyDescent="0.25">
      <c r="A102" s="45">
        <v>585</v>
      </c>
      <c r="B102" s="45" t="s">
        <v>34</v>
      </c>
      <c r="C102" s="46" t="s">
        <v>102</v>
      </c>
      <c r="D102" s="46" t="s">
        <v>102</v>
      </c>
      <c r="E102" s="36" t="s">
        <v>81</v>
      </c>
      <c r="F102" s="45" t="s">
        <v>908</v>
      </c>
      <c r="G102" s="45">
        <v>2023</v>
      </c>
      <c r="H102" s="45" t="s">
        <v>104</v>
      </c>
      <c r="I102" s="206" t="s">
        <v>41</v>
      </c>
      <c r="J102" s="206"/>
      <c r="K102" s="206" t="s">
        <v>62</v>
      </c>
      <c r="L102" s="217"/>
      <c r="M102" s="206"/>
      <c r="N102" s="206"/>
      <c r="O102" s="47">
        <v>664</v>
      </c>
      <c r="P102" s="48">
        <v>418</v>
      </c>
      <c r="Q102" s="49">
        <v>7</v>
      </c>
      <c r="R102" s="50">
        <v>1311</v>
      </c>
      <c r="S102" s="48">
        <v>278</v>
      </c>
      <c r="T102" s="50" t="s">
        <v>911</v>
      </c>
      <c r="U102" s="47">
        <v>287</v>
      </c>
      <c r="V102" s="50">
        <v>20</v>
      </c>
      <c r="W102" s="49">
        <v>7</v>
      </c>
      <c r="X102" s="45" t="s">
        <v>58</v>
      </c>
      <c r="Y102" s="45"/>
      <c r="Z102" s="45"/>
      <c r="AA102" s="45">
        <v>1</v>
      </c>
      <c r="AB102" s="75">
        <f>((U102-O102)/V102)*AA102 * (1-(3/(4*(Q102+W102-2)-1)))</f>
        <v>-17.646808510638298</v>
      </c>
      <c r="AC102" s="45">
        <v>-1.1927195349999999</v>
      </c>
      <c r="AD102" s="45">
        <v>0</v>
      </c>
      <c r="AE102" s="53"/>
      <c r="AF102" s="45" t="s">
        <v>58</v>
      </c>
      <c r="AG102" s="45"/>
      <c r="AH102" s="45"/>
      <c r="AI102" s="45"/>
      <c r="AJ102" s="45"/>
      <c r="AK102" s="45"/>
      <c r="AL102" s="45"/>
      <c r="AM102" s="45"/>
      <c r="AN102" s="45"/>
      <c r="AO102" s="54"/>
    </row>
    <row r="103" spans="1:41" s="13" customFormat="1" ht="15.95" customHeight="1" x14ac:dyDescent="0.25">
      <c r="A103" s="45">
        <v>588</v>
      </c>
      <c r="B103" s="45" t="s">
        <v>34</v>
      </c>
      <c r="C103" s="46" t="s">
        <v>340</v>
      </c>
      <c r="D103" s="46" t="s">
        <v>340</v>
      </c>
      <c r="E103" s="36" t="s">
        <v>81</v>
      </c>
      <c r="F103" s="45" t="s">
        <v>908</v>
      </c>
      <c r="G103" s="45">
        <v>2023</v>
      </c>
      <c r="H103" s="45" t="s">
        <v>610</v>
      </c>
      <c r="I103" s="206"/>
      <c r="J103" s="206"/>
      <c r="K103" s="206" t="s">
        <v>932</v>
      </c>
      <c r="L103" s="217"/>
      <c r="M103" s="206"/>
      <c r="N103" s="206"/>
      <c r="O103" s="47">
        <v>7.3</v>
      </c>
      <c r="P103" s="48">
        <v>5.6</v>
      </c>
      <c r="Q103" s="49">
        <v>7</v>
      </c>
      <c r="R103" s="50">
        <v>1311</v>
      </c>
      <c r="S103" s="48">
        <v>278</v>
      </c>
      <c r="T103" s="50" t="s">
        <v>911</v>
      </c>
      <c r="U103" s="47">
        <v>38.9</v>
      </c>
      <c r="V103" s="50">
        <v>5.6</v>
      </c>
      <c r="W103" s="49">
        <v>7</v>
      </c>
      <c r="X103" s="45" t="s">
        <v>58</v>
      </c>
      <c r="Y103" s="45"/>
      <c r="Z103" s="45"/>
      <c r="AA103" s="45">
        <v>-1</v>
      </c>
      <c r="AB103" s="52">
        <v>-5.28</v>
      </c>
      <c r="AC103" s="45"/>
      <c r="AD103" s="45">
        <v>0</v>
      </c>
      <c r="AE103" s="53"/>
      <c r="AF103" s="45" t="s">
        <v>58</v>
      </c>
      <c r="AG103" s="45"/>
      <c r="AH103" s="45"/>
      <c r="AI103" s="45"/>
      <c r="AJ103" s="45"/>
      <c r="AK103" s="45"/>
      <c r="AL103" s="45"/>
      <c r="AM103" s="45"/>
      <c r="AN103" s="45"/>
      <c r="AO103" s="45"/>
    </row>
    <row r="104" spans="1:41" s="13" customFormat="1" ht="15.95" customHeight="1" x14ac:dyDescent="0.25">
      <c r="A104" s="45">
        <v>589</v>
      </c>
      <c r="B104" s="45" t="s">
        <v>34</v>
      </c>
      <c r="C104" s="46" t="s">
        <v>340</v>
      </c>
      <c r="D104" s="46" t="s">
        <v>340</v>
      </c>
      <c r="E104" s="36" t="s">
        <v>81</v>
      </c>
      <c r="F104" s="45" t="s">
        <v>908</v>
      </c>
      <c r="G104" s="45">
        <v>2023</v>
      </c>
      <c r="H104" s="45" t="s">
        <v>610</v>
      </c>
      <c r="I104" s="206"/>
      <c r="J104" s="206"/>
      <c r="K104" s="206" t="s">
        <v>933</v>
      </c>
      <c r="L104" s="217"/>
      <c r="M104" s="206"/>
      <c r="N104" s="206"/>
      <c r="O104" s="47">
        <v>1.3</v>
      </c>
      <c r="P104" s="48">
        <v>1.3</v>
      </c>
      <c r="Q104" s="49">
        <v>7</v>
      </c>
      <c r="R104" s="50">
        <v>1311</v>
      </c>
      <c r="S104" s="48">
        <v>278</v>
      </c>
      <c r="T104" s="50" t="s">
        <v>911</v>
      </c>
      <c r="U104" s="47">
        <v>6.3</v>
      </c>
      <c r="V104" s="50">
        <v>1.1000000000000001</v>
      </c>
      <c r="W104" s="49">
        <v>7</v>
      </c>
      <c r="X104" s="45" t="s">
        <v>58</v>
      </c>
      <c r="Y104" s="45"/>
      <c r="Z104" s="45"/>
      <c r="AA104" s="45">
        <v>-1</v>
      </c>
      <c r="AB104" s="52">
        <v>-4.26</v>
      </c>
      <c r="AC104" s="45"/>
      <c r="AD104" s="45">
        <v>0</v>
      </c>
      <c r="AE104" s="53"/>
      <c r="AF104" s="45" t="s">
        <v>58</v>
      </c>
      <c r="AG104" s="45"/>
      <c r="AH104" s="45"/>
      <c r="AI104" s="45"/>
      <c r="AJ104" s="45"/>
      <c r="AK104" s="45"/>
      <c r="AL104" s="45"/>
      <c r="AM104" s="45"/>
      <c r="AN104" s="45"/>
      <c r="AO104" s="54"/>
    </row>
    <row r="105" spans="1:41" s="13" customFormat="1" ht="15.95" customHeight="1" x14ac:dyDescent="0.25">
      <c r="A105" s="45">
        <v>590</v>
      </c>
      <c r="B105" s="45" t="s">
        <v>34</v>
      </c>
      <c r="C105" s="46" t="s">
        <v>340</v>
      </c>
      <c r="D105" s="46" t="s">
        <v>340</v>
      </c>
      <c r="E105" s="36" t="s">
        <v>81</v>
      </c>
      <c r="F105" s="45" t="s">
        <v>908</v>
      </c>
      <c r="G105" s="45">
        <v>2023</v>
      </c>
      <c r="H105" s="45" t="s">
        <v>341</v>
      </c>
      <c r="I105" s="206"/>
      <c r="J105" s="206"/>
      <c r="K105" s="206" t="s">
        <v>934</v>
      </c>
      <c r="L105" s="226"/>
      <c r="M105" s="206"/>
      <c r="N105" s="225"/>
      <c r="O105" s="47">
        <v>31.4</v>
      </c>
      <c r="P105" s="48">
        <v>5.4</v>
      </c>
      <c r="Q105" s="49">
        <v>7</v>
      </c>
      <c r="R105" s="50">
        <v>1311</v>
      </c>
      <c r="S105" s="48">
        <v>278</v>
      </c>
      <c r="T105" s="50" t="s">
        <v>911</v>
      </c>
      <c r="U105" s="47">
        <v>50.5</v>
      </c>
      <c r="V105" s="50">
        <v>4.5999999999999996</v>
      </c>
      <c r="W105" s="49">
        <v>7</v>
      </c>
      <c r="X105" s="45" t="s">
        <v>58</v>
      </c>
      <c r="Y105" s="45"/>
      <c r="Z105" s="45"/>
      <c r="AA105" s="45">
        <v>-1</v>
      </c>
      <c r="AB105" s="52">
        <v>-3.89</v>
      </c>
      <c r="AC105" s="45"/>
      <c r="AD105" s="45">
        <v>0</v>
      </c>
      <c r="AE105" s="53"/>
      <c r="AF105" s="45" t="s">
        <v>58</v>
      </c>
      <c r="AG105" s="45"/>
      <c r="AH105" s="45"/>
      <c r="AI105" s="45"/>
      <c r="AJ105" s="45"/>
      <c r="AK105" s="45"/>
      <c r="AL105" s="45"/>
      <c r="AM105" s="45"/>
      <c r="AN105" s="45"/>
      <c r="AO105" s="54"/>
    </row>
    <row r="106" spans="1:41" s="13" customFormat="1" ht="15.95" customHeight="1" x14ac:dyDescent="0.25">
      <c r="A106" s="45">
        <v>591</v>
      </c>
      <c r="B106" s="45" t="s">
        <v>34</v>
      </c>
      <c r="C106" s="46" t="s">
        <v>340</v>
      </c>
      <c r="D106" s="46" t="s">
        <v>340</v>
      </c>
      <c r="E106" s="36" t="s">
        <v>81</v>
      </c>
      <c r="F106" s="45" t="s">
        <v>908</v>
      </c>
      <c r="G106" s="45">
        <v>2023</v>
      </c>
      <c r="H106" s="45" t="s">
        <v>341</v>
      </c>
      <c r="I106" s="206"/>
      <c r="J106" s="206"/>
      <c r="K106" s="206" t="s">
        <v>935</v>
      </c>
      <c r="L106" s="226"/>
      <c r="M106" s="206"/>
      <c r="N106" s="206"/>
      <c r="O106" s="47">
        <v>5.8</v>
      </c>
      <c r="P106" s="48">
        <v>2.6</v>
      </c>
      <c r="Q106" s="49">
        <v>7</v>
      </c>
      <c r="R106" s="50">
        <v>1311</v>
      </c>
      <c r="S106" s="48">
        <v>278</v>
      </c>
      <c r="T106" s="50" t="s">
        <v>911</v>
      </c>
      <c r="U106" s="47">
        <v>11.1</v>
      </c>
      <c r="V106" s="50">
        <v>1.3</v>
      </c>
      <c r="W106" s="49">
        <v>7</v>
      </c>
      <c r="X106" s="45" t="s">
        <v>58</v>
      </c>
      <c r="Y106" s="45"/>
      <c r="Z106" s="45"/>
      <c r="AA106" s="45">
        <v>-1</v>
      </c>
      <c r="AB106" s="52">
        <v>-3.82</v>
      </c>
      <c r="AC106" s="45"/>
      <c r="AD106" s="45">
        <v>0</v>
      </c>
      <c r="AE106" s="53"/>
      <c r="AF106" s="45" t="s">
        <v>58</v>
      </c>
      <c r="AG106" s="45"/>
      <c r="AH106" s="45"/>
      <c r="AI106" s="45"/>
      <c r="AJ106" s="45"/>
      <c r="AK106" s="45"/>
      <c r="AL106" s="45"/>
      <c r="AM106" s="45"/>
      <c r="AN106" s="45"/>
      <c r="AO106" s="54"/>
    </row>
    <row r="107" spans="1:41" s="13" customFormat="1" ht="15.95" customHeight="1" x14ac:dyDescent="0.25">
      <c r="A107" s="45">
        <v>288</v>
      </c>
      <c r="B107" s="45" t="s">
        <v>43</v>
      </c>
      <c r="C107" s="84" t="s">
        <v>340</v>
      </c>
      <c r="D107" s="84" t="s">
        <v>340</v>
      </c>
      <c r="E107" s="36" t="s">
        <v>36</v>
      </c>
      <c r="F107" s="84" t="s">
        <v>267</v>
      </c>
      <c r="G107" s="84">
        <v>2003</v>
      </c>
      <c r="H107" s="45" t="s">
        <v>341</v>
      </c>
      <c r="I107" s="206"/>
      <c r="J107" s="206"/>
      <c r="K107" s="206" t="s">
        <v>797</v>
      </c>
      <c r="L107" s="217"/>
      <c r="M107" s="217"/>
      <c r="N107" s="206"/>
      <c r="O107" s="159">
        <v>39.9</v>
      </c>
      <c r="P107" s="160">
        <v>7.4</v>
      </c>
      <c r="Q107" s="149">
        <v>46</v>
      </c>
      <c r="R107" s="150">
        <f>8.1*60.5364</f>
        <v>490.34483999999998</v>
      </c>
      <c r="S107" s="151">
        <f>6.2*60.5364</f>
        <v>375.32568000000003</v>
      </c>
      <c r="T107" s="99"/>
      <c r="U107" s="159">
        <v>51.4</v>
      </c>
      <c r="V107" s="160">
        <v>10.4</v>
      </c>
      <c r="W107" s="149">
        <v>18</v>
      </c>
      <c r="X107" s="84"/>
      <c r="Y107" s="84"/>
      <c r="Z107" s="84"/>
      <c r="AA107" s="84">
        <v>-1</v>
      </c>
      <c r="AB107" s="152">
        <f>((U107-O107)/V107)*AA107* (1-(3/(4*(Q107+W107-2)-1)))</f>
        <v>-1.092338835253815</v>
      </c>
      <c r="AC107" s="153"/>
      <c r="AD107" s="53">
        <v>0</v>
      </c>
      <c r="AE107" s="53"/>
      <c r="AF107" s="136">
        <f>129/12</f>
        <v>10.75</v>
      </c>
      <c r="AG107" s="136">
        <v>2.1</v>
      </c>
      <c r="AH107" s="136"/>
      <c r="AI107" s="154">
        <v>13.1</v>
      </c>
      <c r="AJ107" s="154">
        <v>3.2</v>
      </c>
      <c r="AK107" s="84"/>
      <c r="AL107" s="84"/>
      <c r="AM107" s="84"/>
      <c r="AN107" s="84"/>
      <c r="AO107" s="54"/>
    </row>
    <row r="108" spans="1:41" s="13" customFormat="1" ht="15.95" customHeight="1" x14ac:dyDescent="0.25">
      <c r="A108" s="45">
        <v>291</v>
      </c>
      <c r="B108" s="45" t="s">
        <v>43</v>
      </c>
      <c r="C108" s="84" t="s">
        <v>340</v>
      </c>
      <c r="D108" s="84" t="s">
        <v>340</v>
      </c>
      <c r="E108" s="36" t="s">
        <v>36</v>
      </c>
      <c r="F108" s="84" t="s">
        <v>322</v>
      </c>
      <c r="G108" s="84">
        <v>2001</v>
      </c>
      <c r="H108" s="45" t="s">
        <v>341</v>
      </c>
      <c r="I108" s="206"/>
      <c r="J108" s="206"/>
      <c r="K108" s="206" t="s">
        <v>876</v>
      </c>
      <c r="L108" s="217"/>
      <c r="M108" s="217"/>
      <c r="N108" s="206"/>
      <c r="O108" s="159">
        <v>6.52</v>
      </c>
      <c r="P108" s="160">
        <v>2</v>
      </c>
      <c r="Q108" s="149">
        <v>23</v>
      </c>
      <c r="R108" s="99">
        <v>496.4</v>
      </c>
      <c r="S108" s="160">
        <v>230</v>
      </c>
      <c r="T108" s="99"/>
      <c r="U108" s="159">
        <v>6.87</v>
      </c>
      <c r="V108" s="160">
        <v>1.46</v>
      </c>
      <c r="W108" s="149">
        <v>23</v>
      </c>
      <c r="X108" s="84"/>
      <c r="Y108" s="84"/>
      <c r="Z108" s="84"/>
      <c r="AA108" s="84">
        <v>-1</v>
      </c>
      <c r="AB108" s="152">
        <f>((U108-O108)/V108)*AA108* (1-(3/(4*(Q108+W108-2)-1)))</f>
        <v>-0.23561643835616475</v>
      </c>
      <c r="AC108" s="153"/>
      <c r="AD108" s="53">
        <v>0</v>
      </c>
      <c r="AE108" s="53"/>
      <c r="AF108" s="84">
        <v>10.7</v>
      </c>
      <c r="AG108" s="84">
        <v>3.4</v>
      </c>
      <c r="AH108" s="84"/>
      <c r="AI108" s="161">
        <v>11.1</v>
      </c>
      <c r="AJ108" s="161">
        <v>3.7</v>
      </c>
      <c r="AK108" s="84"/>
      <c r="AL108" s="84"/>
      <c r="AM108" s="84"/>
      <c r="AN108" s="84"/>
      <c r="AO108" s="54"/>
    </row>
    <row r="109" spans="1:41" s="13" customFormat="1" ht="15.95" customHeight="1" x14ac:dyDescent="0.25">
      <c r="A109" s="45">
        <v>292</v>
      </c>
      <c r="B109" s="45" t="s">
        <v>43</v>
      </c>
      <c r="C109" s="84" t="s">
        <v>340</v>
      </c>
      <c r="D109" s="84" t="s">
        <v>340</v>
      </c>
      <c r="E109" s="36" t="s">
        <v>36</v>
      </c>
      <c r="F109" s="84" t="s">
        <v>322</v>
      </c>
      <c r="G109" s="84">
        <v>2001</v>
      </c>
      <c r="H109" s="45" t="s">
        <v>341</v>
      </c>
      <c r="I109" s="206"/>
      <c r="J109" s="206"/>
      <c r="K109" s="206" t="s">
        <v>877</v>
      </c>
      <c r="L109" s="217"/>
      <c r="M109" s="217"/>
      <c r="N109" s="206"/>
      <c r="O109" s="159">
        <v>0.28000000000000003</v>
      </c>
      <c r="P109" s="160">
        <v>0.15</v>
      </c>
      <c r="Q109" s="149">
        <v>23</v>
      </c>
      <c r="R109" s="99">
        <v>496.4</v>
      </c>
      <c r="S109" s="160">
        <v>230</v>
      </c>
      <c r="T109" s="99"/>
      <c r="U109" s="159">
        <v>0.27</v>
      </c>
      <c r="V109" s="160">
        <v>0.19</v>
      </c>
      <c r="W109" s="149">
        <v>23</v>
      </c>
      <c r="X109" s="84"/>
      <c r="Y109" s="84"/>
      <c r="Z109" s="84"/>
      <c r="AA109" s="84">
        <v>-1</v>
      </c>
      <c r="AB109" s="152">
        <f>((U109-O109)/V109)*AA109* (1-(3/(4*(Q109+W109-2)-1)))</f>
        <v>5.1729323308270722E-2</v>
      </c>
      <c r="AC109" s="153"/>
      <c r="AD109" s="53">
        <v>0</v>
      </c>
      <c r="AE109" s="53"/>
      <c r="AF109" s="84">
        <v>10.7</v>
      </c>
      <c r="AG109" s="84">
        <v>3.4</v>
      </c>
      <c r="AH109" s="84"/>
      <c r="AI109" s="161">
        <v>11.1</v>
      </c>
      <c r="AJ109" s="161">
        <v>3.7</v>
      </c>
      <c r="AK109" s="84"/>
      <c r="AL109" s="84"/>
      <c r="AM109" s="84"/>
      <c r="AN109" s="84"/>
      <c r="AO109" s="54"/>
    </row>
    <row r="110" spans="1:41" s="13" customFormat="1" ht="15.95" customHeight="1" x14ac:dyDescent="0.25">
      <c r="A110" s="45">
        <v>293</v>
      </c>
      <c r="B110" s="45" t="s">
        <v>43</v>
      </c>
      <c r="C110" s="84" t="s">
        <v>340</v>
      </c>
      <c r="D110" s="84" t="s">
        <v>340</v>
      </c>
      <c r="E110" s="36" t="s">
        <v>36</v>
      </c>
      <c r="F110" s="84" t="s">
        <v>322</v>
      </c>
      <c r="G110" s="84">
        <v>2001</v>
      </c>
      <c r="H110" s="45" t="s">
        <v>341</v>
      </c>
      <c r="I110" s="206"/>
      <c r="J110" s="206"/>
      <c r="K110" s="206" t="s">
        <v>878</v>
      </c>
      <c r="L110" s="217"/>
      <c r="M110" s="217"/>
      <c r="N110" s="206"/>
      <c r="O110" s="159">
        <v>5.91</v>
      </c>
      <c r="P110" s="160">
        <v>1.98</v>
      </c>
      <c r="Q110" s="149">
        <v>23</v>
      </c>
      <c r="R110" s="99">
        <v>496.4</v>
      </c>
      <c r="S110" s="160">
        <v>230</v>
      </c>
      <c r="T110" s="99"/>
      <c r="U110" s="159">
        <v>6.04</v>
      </c>
      <c r="V110" s="160">
        <v>2.4</v>
      </c>
      <c r="W110" s="149">
        <v>23</v>
      </c>
      <c r="X110" s="84"/>
      <c r="Y110" s="84"/>
      <c r="Z110" s="84"/>
      <c r="AA110" s="84">
        <v>-1</v>
      </c>
      <c r="AB110" s="152">
        <f>((U110-O110)/V110)*AA110* (1-(3/(4*(Q110+W110-2)-1)))</f>
        <v>-5.3238095238095202E-2</v>
      </c>
      <c r="AC110" s="153"/>
      <c r="AD110" s="53">
        <v>0</v>
      </c>
      <c r="AE110" s="53"/>
      <c r="AF110" s="84">
        <v>10.7</v>
      </c>
      <c r="AG110" s="84">
        <v>3.4</v>
      </c>
      <c r="AH110" s="84"/>
      <c r="AI110" s="161">
        <v>11.1</v>
      </c>
      <c r="AJ110" s="161">
        <v>3.7</v>
      </c>
      <c r="AK110" s="84"/>
      <c r="AL110" s="84"/>
      <c r="AM110" s="84"/>
      <c r="AN110" s="84"/>
      <c r="AO110" s="54"/>
    </row>
    <row r="111" spans="1:41" s="13" customFormat="1" ht="15.95" customHeight="1" x14ac:dyDescent="0.25">
      <c r="A111" s="45">
        <v>298</v>
      </c>
      <c r="B111" s="45" t="s">
        <v>43</v>
      </c>
      <c r="C111" s="45" t="s">
        <v>821</v>
      </c>
      <c r="D111" s="45" t="s">
        <v>821</v>
      </c>
      <c r="E111" s="36" t="s">
        <v>36</v>
      </c>
      <c r="F111" s="84" t="s">
        <v>287</v>
      </c>
      <c r="G111" s="84">
        <v>2005</v>
      </c>
      <c r="H111" s="45" t="s">
        <v>341</v>
      </c>
      <c r="I111" s="206"/>
      <c r="J111" s="206"/>
      <c r="K111" s="206" t="s">
        <v>822</v>
      </c>
      <c r="L111" s="217"/>
      <c r="M111" s="217"/>
      <c r="N111" s="206"/>
      <c r="O111" s="47">
        <v>49</v>
      </c>
      <c r="P111" s="48">
        <v>10</v>
      </c>
      <c r="Q111" s="149">
        <v>26</v>
      </c>
      <c r="R111" s="150">
        <f>(449+529)/2</f>
        <v>489</v>
      </c>
      <c r="S111" s="151">
        <f>(220+142)/2</f>
        <v>181</v>
      </c>
      <c r="T111" s="99"/>
      <c r="U111" s="47">
        <v>53</v>
      </c>
      <c r="V111" s="48">
        <v>9</v>
      </c>
      <c r="W111" s="149">
        <v>21</v>
      </c>
      <c r="X111" s="84"/>
      <c r="Y111" s="84"/>
      <c r="Z111" s="84"/>
      <c r="AA111" s="84">
        <v>-1</v>
      </c>
      <c r="AB111" s="152">
        <f>((U111-O111)/V111)*AA111* (1-(3/(4*(Q111+W111-2)-1)))</f>
        <v>-0.43699565487274983</v>
      </c>
      <c r="AC111" s="153"/>
      <c r="AD111" s="53">
        <v>0</v>
      </c>
      <c r="AE111" s="53"/>
      <c r="AF111" s="136">
        <v>12.3</v>
      </c>
      <c r="AG111" s="136">
        <v>3.7</v>
      </c>
      <c r="AH111" s="136"/>
      <c r="AI111" s="154">
        <v>11.8</v>
      </c>
      <c r="AJ111" s="154">
        <v>3.6</v>
      </c>
      <c r="AK111" s="84"/>
      <c r="AL111" s="84"/>
      <c r="AM111" s="84"/>
      <c r="AN111" s="84"/>
      <c r="AO111" s="54"/>
    </row>
    <row r="112" spans="1:41" s="1" customFormat="1" ht="15.95" customHeight="1" x14ac:dyDescent="0.25">
      <c r="A112" s="45">
        <v>307</v>
      </c>
      <c r="B112" s="45" t="s">
        <v>34</v>
      </c>
      <c r="C112" s="46" t="s">
        <v>35</v>
      </c>
      <c r="D112" s="46" t="s">
        <v>35</v>
      </c>
      <c r="E112" s="36" t="s">
        <v>36</v>
      </c>
      <c r="F112" s="45" t="s">
        <v>829</v>
      </c>
      <c r="G112" s="45">
        <v>2023</v>
      </c>
      <c r="H112" s="105" t="s">
        <v>328</v>
      </c>
      <c r="I112" s="206"/>
      <c r="J112" s="206"/>
      <c r="K112" s="206" t="s">
        <v>833</v>
      </c>
      <c r="L112" s="217" t="s">
        <v>834</v>
      </c>
      <c r="M112" s="206"/>
      <c r="N112" s="206" t="s">
        <v>835</v>
      </c>
      <c r="O112" s="47">
        <v>7.85</v>
      </c>
      <c r="P112" s="48">
        <v>2.35</v>
      </c>
      <c r="Q112" s="49">
        <v>20</v>
      </c>
      <c r="R112" s="50">
        <v>585.75</v>
      </c>
      <c r="S112" s="48">
        <v>419.73</v>
      </c>
      <c r="T112" s="50"/>
      <c r="U112" s="47">
        <v>9.15</v>
      </c>
      <c r="V112" s="50">
        <v>1.95</v>
      </c>
      <c r="W112" s="49">
        <v>20</v>
      </c>
      <c r="X112" s="45" t="s">
        <v>58</v>
      </c>
      <c r="Y112" s="45">
        <v>0.28000000000000003</v>
      </c>
      <c r="Z112" s="45"/>
      <c r="AA112" s="45">
        <v>-1</v>
      </c>
      <c r="AB112" s="52">
        <v>-0.65</v>
      </c>
      <c r="AC112" s="45"/>
      <c r="AD112" s="53">
        <v>0</v>
      </c>
      <c r="AE112" s="53" t="s">
        <v>832</v>
      </c>
      <c r="AF112" s="45" t="s">
        <v>58</v>
      </c>
      <c r="AG112" s="45"/>
      <c r="AH112" s="45"/>
      <c r="AI112" s="45"/>
      <c r="AJ112" s="45"/>
      <c r="AK112" s="45"/>
      <c r="AL112" s="45"/>
      <c r="AM112" s="45"/>
      <c r="AN112" s="45"/>
      <c r="AO112" s="54"/>
    </row>
    <row r="113" spans="1:41" s="13" customFormat="1" ht="15.95" customHeight="1" x14ac:dyDescent="0.25">
      <c r="A113" s="45">
        <v>300</v>
      </c>
      <c r="B113" s="45" t="s">
        <v>34</v>
      </c>
      <c r="C113" s="46" t="s">
        <v>35</v>
      </c>
      <c r="D113" s="46" t="s">
        <v>35</v>
      </c>
      <c r="E113" s="36" t="s">
        <v>36</v>
      </c>
      <c r="F113" s="45" t="s">
        <v>829</v>
      </c>
      <c r="G113" s="45">
        <v>2023</v>
      </c>
      <c r="H113" s="105" t="s">
        <v>330</v>
      </c>
      <c r="I113" s="206"/>
      <c r="J113" s="206"/>
      <c r="K113" s="206"/>
      <c r="L113" s="217"/>
      <c r="M113" s="206" t="s">
        <v>836</v>
      </c>
      <c r="N113" s="206"/>
      <c r="O113" s="47">
        <v>7.6</v>
      </c>
      <c r="P113" s="48">
        <v>2.37</v>
      </c>
      <c r="Q113" s="49">
        <v>20</v>
      </c>
      <c r="R113" s="50">
        <v>585.75</v>
      </c>
      <c r="S113" s="48">
        <v>419.73</v>
      </c>
      <c r="T113" s="50"/>
      <c r="U113" s="47">
        <v>10.3</v>
      </c>
      <c r="V113" s="50">
        <v>2.64</v>
      </c>
      <c r="W113" s="49">
        <v>20</v>
      </c>
      <c r="X113" s="45" t="s">
        <v>58</v>
      </c>
      <c r="Y113" s="45">
        <v>0.47</v>
      </c>
      <c r="Z113" s="45"/>
      <c r="AA113" s="45">
        <v>-1</v>
      </c>
      <c r="AB113" s="52">
        <v>-1</v>
      </c>
      <c r="AC113" s="45"/>
      <c r="AD113" s="53">
        <v>0</v>
      </c>
      <c r="AE113" s="53" t="s">
        <v>832</v>
      </c>
      <c r="AF113" s="45" t="s">
        <v>58</v>
      </c>
      <c r="AG113" s="45"/>
      <c r="AH113" s="45"/>
      <c r="AI113" s="45"/>
      <c r="AJ113" s="45"/>
      <c r="AK113" s="45"/>
      <c r="AL113" s="45"/>
      <c r="AM113" s="45"/>
      <c r="AN113" s="45"/>
      <c r="AO113" s="54"/>
    </row>
    <row r="114" spans="1:41" s="11" customFormat="1" ht="15.95" customHeight="1" x14ac:dyDescent="0.25">
      <c r="A114" s="45">
        <v>592</v>
      </c>
      <c r="B114" s="45" t="s">
        <v>34</v>
      </c>
      <c r="C114" s="46" t="s">
        <v>35</v>
      </c>
      <c r="D114" s="46" t="s">
        <v>35</v>
      </c>
      <c r="E114" s="36" t="s">
        <v>36</v>
      </c>
      <c r="F114" s="45" t="s">
        <v>908</v>
      </c>
      <c r="G114" s="45">
        <v>2023</v>
      </c>
      <c r="H114" s="45" t="s">
        <v>896</v>
      </c>
      <c r="I114" s="206"/>
      <c r="J114" s="206"/>
      <c r="K114" s="206"/>
      <c r="L114" s="217"/>
      <c r="M114" s="206"/>
      <c r="N114" s="206"/>
      <c r="O114" s="47">
        <v>3.6</v>
      </c>
      <c r="P114" s="48">
        <v>1</v>
      </c>
      <c r="Q114" s="49">
        <v>7</v>
      </c>
      <c r="R114" s="50">
        <v>1311</v>
      </c>
      <c r="S114" s="48">
        <v>278</v>
      </c>
      <c r="T114" s="50" t="s">
        <v>911</v>
      </c>
      <c r="U114" s="47">
        <v>7.6</v>
      </c>
      <c r="V114" s="50">
        <v>0.5</v>
      </c>
      <c r="W114" s="49">
        <v>7</v>
      </c>
      <c r="X114" s="45" t="s">
        <v>58</v>
      </c>
      <c r="Y114" s="45"/>
      <c r="Z114" s="45"/>
      <c r="AA114" s="45">
        <v>-1</v>
      </c>
      <c r="AB114" s="52">
        <v>-7.49</v>
      </c>
      <c r="AC114" s="45"/>
      <c r="AD114" s="45">
        <v>0</v>
      </c>
      <c r="AE114" s="53"/>
      <c r="AF114" s="45" t="s">
        <v>58</v>
      </c>
      <c r="AG114" s="45"/>
      <c r="AH114" s="45"/>
      <c r="AI114" s="45"/>
      <c r="AJ114" s="45"/>
      <c r="AK114" s="45"/>
      <c r="AL114" s="45"/>
      <c r="AM114" s="45"/>
      <c r="AN114" s="45"/>
      <c r="AO114" s="54"/>
    </row>
    <row r="115" spans="1:41" s="13" customFormat="1" ht="15.95" customHeight="1" x14ac:dyDescent="0.25">
      <c r="A115" s="45">
        <v>604</v>
      </c>
      <c r="B115" s="45" t="s">
        <v>34</v>
      </c>
      <c r="C115" s="46" t="s">
        <v>35</v>
      </c>
      <c r="D115" s="46" t="s">
        <v>35</v>
      </c>
      <c r="E115" s="36" t="s">
        <v>36</v>
      </c>
      <c r="F115" s="45" t="s">
        <v>908</v>
      </c>
      <c r="G115" s="45">
        <v>2023</v>
      </c>
      <c r="H115" s="45" t="s">
        <v>606</v>
      </c>
      <c r="I115" s="206"/>
      <c r="J115" s="206"/>
      <c r="K115" s="206" t="s">
        <v>946</v>
      </c>
      <c r="L115" s="217"/>
      <c r="M115" s="206"/>
      <c r="N115" s="206"/>
      <c r="O115" s="47">
        <v>33.9</v>
      </c>
      <c r="P115" s="48">
        <v>5.9</v>
      </c>
      <c r="Q115" s="49">
        <v>7</v>
      </c>
      <c r="R115" s="50">
        <v>1311</v>
      </c>
      <c r="S115" s="48">
        <v>278</v>
      </c>
      <c r="T115" s="50" t="s">
        <v>911</v>
      </c>
      <c r="U115" s="47">
        <v>56.4</v>
      </c>
      <c r="V115" s="50">
        <v>3.8</v>
      </c>
      <c r="W115" s="49">
        <v>7</v>
      </c>
      <c r="X115" s="45" t="s">
        <v>58</v>
      </c>
      <c r="Y115" s="45">
        <v>4.53</v>
      </c>
      <c r="Z115" s="45"/>
      <c r="AA115" s="45">
        <v>-1</v>
      </c>
      <c r="AB115" s="52">
        <v>-5.54</v>
      </c>
      <c r="AC115" s="45"/>
      <c r="AD115" s="45">
        <v>0</v>
      </c>
      <c r="AE115" s="53"/>
      <c r="AF115" s="45" t="s">
        <v>58</v>
      </c>
      <c r="AG115" s="45"/>
      <c r="AH115" s="45"/>
      <c r="AI115" s="45"/>
      <c r="AJ115" s="45"/>
      <c r="AK115" s="45"/>
      <c r="AL115" s="45"/>
      <c r="AM115" s="45"/>
      <c r="AN115" s="45"/>
      <c r="AO115" s="54"/>
    </row>
    <row r="116" spans="1:41" s="98" customFormat="1" ht="15.95" customHeight="1" x14ac:dyDescent="0.25">
      <c r="A116" s="45">
        <v>568</v>
      </c>
      <c r="B116" s="45" t="s">
        <v>43</v>
      </c>
      <c r="C116" s="46" t="s">
        <v>35</v>
      </c>
      <c r="D116" s="46" t="s">
        <v>35</v>
      </c>
      <c r="E116" s="36" t="s">
        <v>81</v>
      </c>
      <c r="F116" s="45" t="s">
        <v>810</v>
      </c>
      <c r="G116" s="45">
        <v>2023</v>
      </c>
      <c r="H116" s="45" t="s">
        <v>896</v>
      </c>
      <c r="I116" s="206"/>
      <c r="J116" s="206"/>
      <c r="K116" s="206" t="s">
        <v>370</v>
      </c>
      <c r="L116" s="217" t="s">
        <v>897</v>
      </c>
      <c r="M116" s="206" t="s">
        <v>813</v>
      </c>
      <c r="N116" s="234" t="s">
        <v>814</v>
      </c>
      <c r="O116" s="47">
        <v>3.48</v>
      </c>
      <c r="P116" s="48">
        <v>0.8</v>
      </c>
      <c r="Q116" s="49">
        <v>27</v>
      </c>
      <c r="R116" s="50"/>
      <c r="S116" s="48"/>
      <c r="T116" s="50"/>
      <c r="U116" s="47">
        <v>3.79</v>
      </c>
      <c r="V116" s="50">
        <v>1.23</v>
      </c>
      <c r="W116" s="49">
        <v>28</v>
      </c>
      <c r="X116" s="45" t="s">
        <v>58</v>
      </c>
      <c r="Y116" s="45"/>
      <c r="Z116" s="45"/>
      <c r="AA116" s="45">
        <v>-1</v>
      </c>
      <c r="AB116" s="52">
        <v>-0.25</v>
      </c>
      <c r="AC116" s="45"/>
      <c r="AD116" s="53">
        <v>0</v>
      </c>
      <c r="AE116" s="53"/>
      <c r="AF116" s="45">
        <v>11.1</v>
      </c>
      <c r="AG116" s="45">
        <v>2.98</v>
      </c>
      <c r="AH116" s="45"/>
      <c r="AI116" s="45">
        <v>9.82</v>
      </c>
      <c r="AJ116" s="45">
        <v>2.13</v>
      </c>
      <c r="AK116" s="45"/>
      <c r="AL116" s="45"/>
      <c r="AM116" s="45"/>
      <c r="AN116" s="45"/>
      <c r="AO116" s="54"/>
    </row>
    <row r="117" spans="1:41" s="13" customFormat="1" ht="15.95" customHeight="1" x14ac:dyDescent="0.25">
      <c r="A117" s="45">
        <v>393</v>
      </c>
      <c r="B117" s="45" t="s">
        <v>34</v>
      </c>
      <c r="C117" s="46" t="s">
        <v>372</v>
      </c>
      <c r="D117" s="46" t="s">
        <v>372</v>
      </c>
      <c r="E117" s="36" t="s">
        <v>36</v>
      </c>
      <c r="F117" s="45" t="s">
        <v>829</v>
      </c>
      <c r="G117" s="45">
        <v>2023</v>
      </c>
      <c r="H117" s="45" t="s">
        <v>858</v>
      </c>
      <c r="I117" s="206"/>
      <c r="J117" s="206"/>
      <c r="K117" s="206" t="s">
        <v>859</v>
      </c>
      <c r="L117" s="217" t="s">
        <v>860</v>
      </c>
      <c r="M117" s="206" t="s">
        <v>836</v>
      </c>
      <c r="N117" s="206"/>
      <c r="O117" s="47">
        <v>21.2</v>
      </c>
      <c r="P117" s="48">
        <v>7.13</v>
      </c>
      <c r="Q117" s="49">
        <v>20</v>
      </c>
      <c r="R117" s="50">
        <v>585.75</v>
      </c>
      <c r="S117" s="48">
        <v>419.73</v>
      </c>
      <c r="T117" s="50"/>
      <c r="U117" s="47">
        <v>25.85</v>
      </c>
      <c r="V117" s="50">
        <v>4.6100000000000003</v>
      </c>
      <c r="W117" s="49">
        <v>20</v>
      </c>
      <c r="X117" s="45" t="s">
        <v>58</v>
      </c>
      <c r="Y117" s="45">
        <v>0.36</v>
      </c>
      <c r="Z117" s="45"/>
      <c r="AA117" s="45">
        <v>-1</v>
      </c>
      <c r="AB117" s="75">
        <f>((U117-O117)/V117)*AA117 * (1-(3/(4*(Q117+W117-2)-1)))</f>
        <v>-0.98863685337087559</v>
      </c>
      <c r="AC117" s="45"/>
      <c r="AD117" s="53">
        <v>0</v>
      </c>
      <c r="AE117" s="53" t="s">
        <v>832</v>
      </c>
      <c r="AF117" s="45" t="s">
        <v>58</v>
      </c>
      <c r="AG117" s="45"/>
      <c r="AH117" s="45"/>
      <c r="AI117" s="45"/>
      <c r="AJ117" s="45"/>
      <c r="AK117" s="45"/>
      <c r="AL117" s="45"/>
      <c r="AM117" s="45"/>
      <c r="AN117" s="45"/>
      <c r="AO117" s="54"/>
    </row>
    <row r="118" spans="1:41" s="13" customFormat="1" ht="15.95" customHeight="1" x14ac:dyDescent="0.25">
      <c r="A118" s="45">
        <v>596</v>
      </c>
      <c r="B118" s="45" t="s">
        <v>34</v>
      </c>
      <c r="C118" s="46" t="s">
        <v>129</v>
      </c>
      <c r="D118" s="46" t="s">
        <v>129</v>
      </c>
      <c r="E118" s="36"/>
      <c r="F118" s="45" t="s">
        <v>908</v>
      </c>
      <c r="G118" s="45">
        <v>2023</v>
      </c>
      <c r="H118" s="45" t="s">
        <v>940</v>
      </c>
      <c r="I118" s="206" t="s">
        <v>41</v>
      </c>
      <c r="J118" s="206" t="s">
        <v>41</v>
      </c>
      <c r="K118" s="206" t="s">
        <v>62</v>
      </c>
      <c r="L118" s="217"/>
      <c r="M118" s="206"/>
      <c r="N118" s="206"/>
      <c r="O118" s="47">
        <v>485</v>
      </c>
      <c r="P118" s="48">
        <v>90</v>
      </c>
      <c r="Q118" s="49">
        <v>7</v>
      </c>
      <c r="R118" s="50">
        <v>1311</v>
      </c>
      <c r="S118" s="48">
        <v>278</v>
      </c>
      <c r="T118" s="50" t="s">
        <v>911</v>
      </c>
      <c r="U118" s="47">
        <v>384</v>
      </c>
      <c r="V118" s="50">
        <v>25</v>
      </c>
      <c r="W118" s="49">
        <v>7</v>
      </c>
      <c r="X118" s="45" t="s">
        <v>58</v>
      </c>
      <c r="Y118" s="45"/>
      <c r="Z118" s="45"/>
      <c r="AA118" s="45">
        <v>1</v>
      </c>
      <c r="AB118" s="52">
        <v>-3.78</v>
      </c>
      <c r="AC118" s="45"/>
      <c r="AD118" s="45">
        <v>0</v>
      </c>
      <c r="AE118" s="53"/>
      <c r="AF118" s="45" t="s">
        <v>58</v>
      </c>
      <c r="AG118" s="45"/>
      <c r="AH118" s="45"/>
      <c r="AI118" s="45"/>
      <c r="AJ118" s="45"/>
      <c r="AK118" s="45"/>
      <c r="AL118" s="45"/>
      <c r="AM118" s="45"/>
      <c r="AN118" s="45"/>
      <c r="AO118" s="54"/>
    </row>
    <row r="119" spans="1:41" s="13" customFormat="1" ht="15.95" customHeight="1" x14ac:dyDescent="0.25">
      <c r="A119" s="45">
        <v>597</v>
      </c>
      <c r="B119" s="45" t="s">
        <v>34</v>
      </c>
      <c r="C119" s="46" t="s">
        <v>129</v>
      </c>
      <c r="D119" s="46" t="s">
        <v>129</v>
      </c>
      <c r="E119" s="36"/>
      <c r="F119" s="45" t="s">
        <v>908</v>
      </c>
      <c r="G119" s="45">
        <v>2023</v>
      </c>
      <c r="H119" s="45" t="s">
        <v>229</v>
      </c>
      <c r="I119" s="206" t="s">
        <v>41</v>
      </c>
      <c r="J119" s="206" t="s">
        <v>41</v>
      </c>
      <c r="K119" s="206" t="s">
        <v>62</v>
      </c>
      <c r="L119" s="217"/>
      <c r="M119" s="206"/>
      <c r="N119" s="206"/>
      <c r="O119" s="47">
        <v>1320</v>
      </c>
      <c r="P119" s="48">
        <v>394</v>
      </c>
      <c r="Q119" s="49">
        <v>7</v>
      </c>
      <c r="R119" s="50">
        <v>1311</v>
      </c>
      <c r="S119" s="48">
        <v>278</v>
      </c>
      <c r="T119" s="50" t="s">
        <v>911</v>
      </c>
      <c r="U119" s="47">
        <v>844</v>
      </c>
      <c r="V119" s="50">
        <v>55</v>
      </c>
      <c r="W119" s="49">
        <v>7</v>
      </c>
      <c r="X119" s="45" t="s">
        <v>58</v>
      </c>
      <c r="Y119" s="45"/>
      <c r="Z119" s="45"/>
      <c r="AA119" s="45">
        <v>1</v>
      </c>
      <c r="AB119" s="52">
        <v>-8.1</v>
      </c>
      <c r="AC119" s="45"/>
      <c r="AD119" s="45">
        <v>0</v>
      </c>
      <c r="AE119" s="53"/>
      <c r="AF119" s="45" t="s">
        <v>58</v>
      </c>
      <c r="AG119" s="45"/>
      <c r="AH119" s="45"/>
      <c r="AI119" s="45"/>
      <c r="AJ119" s="45"/>
      <c r="AK119" s="45"/>
      <c r="AL119" s="45"/>
      <c r="AM119" s="45"/>
      <c r="AN119" s="45"/>
      <c r="AO119" s="54"/>
    </row>
    <row r="120" spans="1:41" s="13" customFormat="1" ht="15.95" customHeight="1" x14ac:dyDescent="0.25">
      <c r="A120" s="45">
        <v>598</v>
      </c>
      <c r="B120" s="45" t="s">
        <v>34</v>
      </c>
      <c r="C120" s="46" t="s">
        <v>129</v>
      </c>
      <c r="D120" s="46" t="s">
        <v>129</v>
      </c>
      <c r="E120" s="36"/>
      <c r="F120" s="45" t="s">
        <v>908</v>
      </c>
      <c r="G120" s="45">
        <v>2023</v>
      </c>
      <c r="H120" s="45" t="s">
        <v>941</v>
      </c>
      <c r="I120" s="206" t="s">
        <v>41</v>
      </c>
      <c r="J120" s="206" t="s">
        <v>41</v>
      </c>
      <c r="K120" s="206" t="s">
        <v>62</v>
      </c>
      <c r="L120" s="217"/>
      <c r="M120" s="206"/>
      <c r="N120" s="206"/>
      <c r="O120" s="47">
        <v>507</v>
      </c>
      <c r="P120" s="48">
        <v>105</v>
      </c>
      <c r="Q120" s="49">
        <v>7</v>
      </c>
      <c r="R120" s="50">
        <v>1311</v>
      </c>
      <c r="S120" s="48">
        <v>278</v>
      </c>
      <c r="T120" s="50" t="s">
        <v>911</v>
      </c>
      <c r="U120" s="47">
        <v>404</v>
      </c>
      <c r="V120" s="50">
        <v>26</v>
      </c>
      <c r="W120" s="49">
        <v>7</v>
      </c>
      <c r="X120" s="45" t="s">
        <v>58</v>
      </c>
      <c r="Y120" s="45"/>
      <c r="Z120" s="45"/>
      <c r="AA120" s="45">
        <v>1</v>
      </c>
      <c r="AB120" s="52">
        <v>-3.71</v>
      </c>
      <c r="AC120" s="45"/>
      <c r="AD120" s="45">
        <v>0</v>
      </c>
      <c r="AE120" s="53"/>
      <c r="AF120" s="45" t="s">
        <v>58</v>
      </c>
      <c r="AG120" s="45"/>
      <c r="AH120" s="45"/>
      <c r="AI120" s="45"/>
      <c r="AJ120" s="45"/>
      <c r="AK120" s="45"/>
      <c r="AL120" s="45"/>
      <c r="AM120" s="45"/>
      <c r="AN120" s="45"/>
      <c r="AO120" s="54"/>
    </row>
    <row r="121" spans="1:41" s="13" customFormat="1" ht="15.95" customHeight="1" x14ac:dyDescent="0.25">
      <c r="A121" s="45">
        <v>599</v>
      </c>
      <c r="B121" s="45" t="s">
        <v>34</v>
      </c>
      <c r="C121" s="46" t="s">
        <v>129</v>
      </c>
      <c r="D121" s="46" t="s">
        <v>129</v>
      </c>
      <c r="E121" s="36"/>
      <c r="F121" s="45" t="s">
        <v>908</v>
      </c>
      <c r="G121" s="45">
        <v>2023</v>
      </c>
      <c r="H121" s="45" t="s">
        <v>942</v>
      </c>
      <c r="I121" s="206" t="s">
        <v>41</v>
      </c>
      <c r="J121" s="206" t="s">
        <v>41</v>
      </c>
      <c r="K121" s="206" t="s">
        <v>62</v>
      </c>
      <c r="L121" s="217"/>
      <c r="M121" s="206"/>
      <c r="N121" s="206"/>
      <c r="O121" s="47">
        <v>880</v>
      </c>
      <c r="P121" s="48">
        <v>282</v>
      </c>
      <c r="Q121" s="49">
        <v>7</v>
      </c>
      <c r="R121" s="50">
        <v>1311</v>
      </c>
      <c r="S121" s="48">
        <v>278</v>
      </c>
      <c r="T121" s="50" t="s">
        <v>911</v>
      </c>
      <c r="U121" s="47">
        <v>515</v>
      </c>
      <c r="V121" s="50">
        <v>53</v>
      </c>
      <c r="W121" s="49">
        <v>7</v>
      </c>
      <c r="X121" s="45" t="s">
        <v>58</v>
      </c>
      <c r="Y121" s="45"/>
      <c r="Z121" s="45"/>
      <c r="AA121" s="45">
        <v>1</v>
      </c>
      <c r="AB121" s="52">
        <v>-6.45</v>
      </c>
      <c r="AC121" s="45"/>
      <c r="AD121" s="45">
        <v>0</v>
      </c>
      <c r="AE121" s="53"/>
      <c r="AF121" s="45" t="s">
        <v>58</v>
      </c>
      <c r="AG121" s="45"/>
      <c r="AH121" s="45"/>
      <c r="AI121" s="45"/>
      <c r="AJ121" s="45"/>
      <c r="AK121" s="45"/>
      <c r="AL121" s="45"/>
      <c r="AM121" s="45"/>
      <c r="AN121" s="45"/>
      <c r="AO121" s="54"/>
    </row>
    <row r="122" spans="1:41" s="11" customFormat="1" ht="15.95" customHeight="1" x14ac:dyDescent="0.25">
      <c r="A122" s="45">
        <v>600</v>
      </c>
      <c r="B122" s="45" t="s">
        <v>34</v>
      </c>
      <c r="C122" s="84" t="s">
        <v>121</v>
      </c>
      <c r="D122" s="84" t="s">
        <v>121</v>
      </c>
      <c r="E122" s="36" t="s">
        <v>45</v>
      </c>
      <c r="F122" s="45" t="s">
        <v>908</v>
      </c>
      <c r="G122" s="45">
        <v>2023</v>
      </c>
      <c r="H122" s="84" t="s">
        <v>389</v>
      </c>
      <c r="I122" s="206"/>
      <c r="J122" s="206"/>
      <c r="K122" s="206" t="s">
        <v>943</v>
      </c>
      <c r="L122" s="217"/>
      <c r="M122" s="206"/>
      <c r="N122" s="206"/>
      <c r="O122" s="47">
        <v>4.2</v>
      </c>
      <c r="P122" s="48">
        <v>0.6</v>
      </c>
      <c r="Q122" s="49">
        <v>7</v>
      </c>
      <c r="R122" s="50">
        <v>1311</v>
      </c>
      <c r="S122" s="48">
        <v>278</v>
      </c>
      <c r="T122" s="50" t="s">
        <v>911</v>
      </c>
      <c r="U122" s="47">
        <v>8.6999999999999993</v>
      </c>
      <c r="V122" s="50">
        <v>0.5</v>
      </c>
      <c r="W122" s="49">
        <v>7</v>
      </c>
      <c r="X122" s="45" t="s">
        <v>58</v>
      </c>
      <c r="Y122" s="45"/>
      <c r="Z122" s="45"/>
      <c r="AA122" s="45">
        <v>-1</v>
      </c>
      <c r="AB122" s="52">
        <v>-8.43</v>
      </c>
      <c r="AC122" s="45"/>
      <c r="AD122" s="45">
        <v>0</v>
      </c>
      <c r="AE122" s="53"/>
      <c r="AF122" s="45" t="s">
        <v>58</v>
      </c>
      <c r="AG122" s="45"/>
      <c r="AH122" s="45"/>
      <c r="AI122" s="45"/>
      <c r="AJ122" s="45"/>
      <c r="AK122" s="45"/>
      <c r="AL122" s="45"/>
      <c r="AM122" s="45"/>
      <c r="AN122" s="45"/>
      <c r="AO122" s="45"/>
    </row>
    <row r="123" spans="1:41" s="13" customFormat="1" ht="15.95" customHeight="1" x14ac:dyDescent="0.25">
      <c r="A123" s="45">
        <v>572</v>
      </c>
      <c r="B123" s="45" t="s">
        <v>43</v>
      </c>
      <c r="C123" s="84" t="s">
        <v>121</v>
      </c>
      <c r="D123" s="84" t="s">
        <v>121</v>
      </c>
      <c r="E123" s="36" t="s">
        <v>36</v>
      </c>
      <c r="F123" s="45" t="s">
        <v>810</v>
      </c>
      <c r="G123" s="45">
        <v>2023</v>
      </c>
      <c r="H123" s="45" t="s">
        <v>389</v>
      </c>
      <c r="I123" s="206"/>
      <c r="J123" s="206"/>
      <c r="K123" s="206" t="s">
        <v>813</v>
      </c>
      <c r="L123" s="217" t="s">
        <v>906</v>
      </c>
      <c r="M123" s="206"/>
      <c r="N123" s="234" t="s">
        <v>814</v>
      </c>
      <c r="O123" s="47">
        <v>6.11</v>
      </c>
      <c r="P123" s="48">
        <v>2.5499999999999998</v>
      </c>
      <c r="Q123" s="49">
        <v>27</v>
      </c>
      <c r="R123" s="50"/>
      <c r="S123" s="48"/>
      <c r="T123" s="50"/>
      <c r="U123" s="47">
        <v>6.14</v>
      </c>
      <c r="V123" s="50">
        <v>1.96</v>
      </c>
      <c r="W123" s="49">
        <v>28</v>
      </c>
      <c r="X123" s="45" t="s">
        <v>58</v>
      </c>
      <c r="Y123" s="45"/>
      <c r="Z123" s="45"/>
      <c r="AA123" s="45">
        <v>-1</v>
      </c>
      <c r="AB123" s="52">
        <v>-0.02</v>
      </c>
      <c r="AC123" s="45"/>
      <c r="AD123" s="53">
        <v>0</v>
      </c>
      <c r="AE123" s="53"/>
      <c r="AF123" s="45">
        <v>11.1</v>
      </c>
      <c r="AG123" s="45">
        <v>2.98</v>
      </c>
      <c r="AH123" s="45"/>
      <c r="AI123" s="45">
        <v>9.82</v>
      </c>
      <c r="AJ123" s="45">
        <v>2.13</v>
      </c>
      <c r="AK123" s="45"/>
      <c r="AL123" s="45"/>
      <c r="AM123" s="45"/>
      <c r="AN123" s="45"/>
      <c r="AO123" s="54"/>
    </row>
    <row r="124" spans="1:41" s="13" customFormat="1" ht="15.95" customHeight="1" x14ac:dyDescent="0.25">
      <c r="A124" s="45">
        <v>593</v>
      </c>
      <c r="B124" s="45" t="s">
        <v>34</v>
      </c>
      <c r="C124" s="46" t="s">
        <v>136</v>
      </c>
      <c r="D124" s="46" t="s">
        <v>136</v>
      </c>
      <c r="E124" s="36" t="s">
        <v>45</v>
      </c>
      <c r="F124" s="45" t="s">
        <v>908</v>
      </c>
      <c r="G124" s="45">
        <v>2023</v>
      </c>
      <c r="H124" s="45" t="s">
        <v>936</v>
      </c>
      <c r="I124" s="206" t="s">
        <v>41</v>
      </c>
      <c r="J124" s="206"/>
      <c r="K124" s="206" t="s">
        <v>937</v>
      </c>
      <c r="L124" s="217"/>
      <c r="M124" s="206"/>
      <c r="N124" s="206"/>
      <c r="O124" s="47">
        <v>83.9</v>
      </c>
      <c r="P124" s="48">
        <v>25.9</v>
      </c>
      <c r="Q124" s="49">
        <v>7</v>
      </c>
      <c r="R124" s="50">
        <v>1311</v>
      </c>
      <c r="S124" s="48">
        <v>278</v>
      </c>
      <c r="T124" s="50" t="s">
        <v>911</v>
      </c>
      <c r="U124" s="47">
        <v>64.099999999999994</v>
      </c>
      <c r="V124" s="50">
        <v>5.9</v>
      </c>
      <c r="W124" s="49">
        <v>7</v>
      </c>
      <c r="X124" s="45" t="s">
        <v>58</v>
      </c>
      <c r="Y124" s="45"/>
      <c r="Z124" s="45"/>
      <c r="AA124" s="45">
        <v>1</v>
      </c>
      <c r="AB124" s="52">
        <v>-3.14</v>
      </c>
      <c r="AC124" s="45"/>
      <c r="AD124" s="45">
        <v>0</v>
      </c>
      <c r="AE124" s="53"/>
      <c r="AF124" s="45" t="s">
        <v>58</v>
      </c>
      <c r="AG124" s="45"/>
      <c r="AH124" s="45"/>
      <c r="AI124" s="45"/>
      <c r="AJ124" s="45"/>
      <c r="AK124" s="45"/>
      <c r="AL124" s="45"/>
      <c r="AM124" s="45"/>
      <c r="AN124" s="45"/>
      <c r="AO124" s="54"/>
    </row>
    <row r="125" spans="1:41" s="13" customFormat="1" ht="15.95" customHeight="1" x14ac:dyDescent="0.25">
      <c r="A125" s="45">
        <v>594</v>
      </c>
      <c r="B125" s="45" t="s">
        <v>34</v>
      </c>
      <c r="C125" s="46" t="s">
        <v>136</v>
      </c>
      <c r="D125" s="46" t="s">
        <v>136</v>
      </c>
      <c r="E125" s="36" t="s">
        <v>45</v>
      </c>
      <c r="F125" s="45" t="s">
        <v>908</v>
      </c>
      <c r="G125" s="45">
        <v>2023</v>
      </c>
      <c r="H125" s="45" t="s">
        <v>936</v>
      </c>
      <c r="I125" s="206" t="s">
        <v>39</v>
      </c>
      <c r="J125" s="206"/>
      <c r="K125" s="206" t="s">
        <v>938</v>
      </c>
      <c r="L125" s="217"/>
      <c r="M125" s="206"/>
      <c r="N125" s="206"/>
      <c r="O125" s="47">
        <v>1</v>
      </c>
      <c r="P125" s="48">
        <v>1.8</v>
      </c>
      <c r="Q125" s="49">
        <v>7</v>
      </c>
      <c r="R125" s="50">
        <v>1311</v>
      </c>
      <c r="S125" s="48">
        <v>278</v>
      </c>
      <c r="T125" s="50" t="s">
        <v>911</v>
      </c>
      <c r="U125" s="47">
        <v>0</v>
      </c>
      <c r="V125" s="50">
        <v>0</v>
      </c>
      <c r="W125" s="49">
        <v>7</v>
      </c>
      <c r="X125" s="45" t="s">
        <v>939</v>
      </c>
      <c r="Y125" s="45"/>
      <c r="Z125" s="45"/>
      <c r="AA125" s="45">
        <v>1</v>
      </c>
      <c r="AB125" s="52" t="e">
        <v>#DIV/0!</v>
      </c>
      <c r="AC125" s="45"/>
      <c r="AD125" s="45">
        <v>0</v>
      </c>
      <c r="AE125" s="53"/>
      <c r="AF125" s="45" t="s">
        <v>58</v>
      </c>
      <c r="AG125" s="45"/>
      <c r="AH125" s="45"/>
      <c r="AI125" s="45"/>
      <c r="AJ125" s="45"/>
      <c r="AK125" s="45"/>
      <c r="AL125" s="45"/>
      <c r="AM125" s="45"/>
      <c r="AN125" s="45"/>
      <c r="AO125" s="54"/>
    </row>
    <row r="126" spans="1:41" s="13" customFormat="1" ht="15.95" customHeight="1" x14ac:dyDescent="0.25">
      <c r="A126" s="45">
        <v>575</v>
      </c>
      <c r="B126" s="45" t="s">
        <v>34</v>
      </c>
      <c r="C126" s="46" t="s">
        <v>126</v>
      </c>
      <c r="D126" s="46" t="s">
        <v>126</v>
      </c>
      <c r="E126" s="36" t="s">
        <v>81</v>
      </c>
      <c r="F126" s="45" t="s">
        <v>908</v>
      </c>
      <c r="G126" s="45">
        <v>2023</v>
      </c>
      <c r="H126" s="45" t="s">
        <v>909</v>
      </c>
      <c r="I126" s="206" t="s">
        <v>39</v>
      </c>
      <c r="J126" s="206" t="s">
        <v>39</v>
      </c>
      <c r="K126" s="206" t="s">
        <v>910</v>
      </c>
      <c r="L126" s="217"/>
      <c r="M126" s="206"/>
      <c r="N126" s="206"/>
      <c r="O126" s="47">
        <v>60.7</v>
      </c>
      <c r="P126" s="48">
        <v>6.9</v>
      </c>
      <c r="Q126" s="49">
        <v>7</v>
      </c>
      <c r="R126" s="50">
        <v>1311</v>
      </c>
      <c r="S126" s="48">
        <v>278</v>
      </c>
      <c r="T126" s="50" t="s">
        <v>911</v>
      </c>
      <c r="U126" s="47">
        <v>64</v>
      </c>
      <c r="V126" s="50">
        <v>0</v>
      </c>
      <c r="W126" s="49">
        <v>7</v>
      </c>
      <c r="X126" s="45" t="s">
        <v>58</v>
      </c>
      <c r="Y126" s="45"/>
      <c r="Z126" s="45"/>
      <c r="AA126" s="45">
        <v>-1</v>
      </c>
      <c r="AB126" s="106" t="s">
        <v>146</v>
      </c>
      <c r="AC126" s="45"/>
      <c r="AD126" s="53">
        <v>0</v>
      </c>
      <c r="AE126" s="53"/>
      <c r="AF126" s="45" t="s">
        <v>58</v>
      </c>
      <c r="AG126" s="45"/>
      <c r="AH126" s="45"/>
      <c r="AI126" s="45"/>
      <c r="AJ126" s="45"/>
      <c r="AK126" s="45"/>
      <c r="AL126" s="45"/>
      <c r="AM126" s="45"/>
      <c r="AN126" s="45"/>
      <c r="AO126" s="54"/>
    </row>
    <row r="127" spans="1:41" s="13" customFormat="1" ht="15.95" customHeight="1" x14ac:dyDescent="0.25">
      <c r="A127" s="45">
        <v>601</v>
      </c>
      <c r="B127" s="45" t="s">
        <v>34</v>
      </c>
      <c r="C127" s="46" t="s">
        <v>126</v>
      </c>
      <c r="D127" s="46" t="s">
        <v>126</v>
      </c>
      <c r="E127" s="36" t="s">
        <v>81</v>
      </c>
      <c r="F127" s="45" t="s">
        <v>908</v>
      </c>
      <c r="G127" s="45">
        <v>2023</v>
      </c>
      <c r="H127" s="45" t="s">
        <v>230</v>
      </c>
      <c r="I127" s="206" t="s">
        <v>39</v>
      </c>
      <c r="J127" s="206" t="s">
        <v>39</v>
      </c>
      <c r="K127" s="206" t="s">
        <v>944</v>
      </c>
      <c r="L127" s="217"/>
      <c r="M127" s="206"/>
      <c r="N127" s="206"/>
      <c r="O127" s="47">
        <v>32.6</v>
      </c>
      <c r="P127" s="48">
        <v>6.5</v>
      </c>
      <c r="Q127" s="49">
        <v>7</v>
      </c>
      <c r="R127" s="50">
        <v>1311</v>
      </c>
      <c r="S127" s="48">
        <v>278</v>
      </c>
      <c r="T127" s="50" t="s">
        <v>911</v>
      </c>
      <c r="U127" s="47">
        <v>35.4</v>
      </c>
      <c r="V127" s="50">
        <v>0.8</v>
      </c>
      <c r="W127" s="49">
        <v>7</v>
      </c>
      <c r="X127" s="45" t="s">
        <v>58</v>
      </c>
      <c r="Y127" s="45"/>
      <c r="Z127" s="45"/>
      <c r="AA127" s="45">
        <v>-1</v>
      </c>
      <c r="AB127" s="75">
        <f>((U127-O127)/V127)*AA127 * (1-(3/(4*(Q127+W127-2)-1)))</f>
        <v>-3.276595744680848</v>
      </c>
      <c r="AC127" s="45"/>
      <c r="AD127" s="45">
        <v>0</v>
      </c>
      <c r="AE127" s="53"/>
      <c r="AF127" s="45" t="s">
        <v>58</v>
      </c>
      <c r="AG127" s="45"/>
      <c r="AH127" s="45"/>
      <c r="AI127" s="45"/>
      <c r="AJ127" s="45"/>
      <c r="AK127" s="45"/>
      <c r="AL127" s="45"/>
      <c r="AM127" s="45"/>
      <c r="AN127" s="45"/>
      <c r="AO127" s="54"/>
    </row>
    <row r="128" spans="1:41" s="13" customFormat="1" ht="15.95" customHeight="1" x14ac:dyDescent="0.25">
      <c r="A128" s="45">
        <v>602</v>
      </c>
      <c r="B128" s="45" t="s">
        <v>34</v>
      </c>
      <c r="C128" s="46" t="s">
        <v>126</v>
      </c>
      <c r="D128" s="46" t="s">
        <v>126</v>
      </c>
      <c r="E128" s="36" t="s">
        <v>81</v>
      </c>
      <c r="F128" s="45" t="s">
        <v>908</v>
      </c>
      <c r="G128" s="45">
        <v>2023</v>
      </c>
      <c r="H128" s="45" t="s">
        <v>941</v>
      </c>
      <c r="I128" s="206" t="s">
        <v>39</v>
      </c>
      <c r="J128" s="206" t="s">
        <v>39</v>
      </c>
      <c r="K128" s="206" t="s">
        <v>910</v>
      </c>
      <c r="L128" s="217"/>
      <c r="M128" s="206"/>
      <c r="N128" s="206"/>
      <c r="O128" s="47">
        <v>61.3</v>
      </c>
      <c r="P128" s="48">
        <v>6.5</v>
      </c>
      <c r="Q128" s="49">
        <v>7</v>
      </c>
      <c r="R128" s="50">
        <v>1311</v>
      </c>
      <c r="S128" s="48">
        <v>278</v>
      </c>
      <c r="T128" s="50" t="s">
        <v>911</v>
      </c>
      <c r="U128" s="47">
        <v>64</v>
      </c>
      <c r="V128" s="50">
        <v>0.7</v>
      </c>
      <c r="W128" s="49">
        <v>7</v>
      </c>
      <c r="X128" s="45" t="s">
        <v>945</v>
      </c>
      <c r="Y128" s="45"/>
      <c r="Z128" s="45"/>
      <c r="AA128" s="45">
        <v>-1</v>
      </c>
      <c r="AB128" s="75">
        <f>((U128-O128)/V128)*AA128 * (1-(3/(4*(Q128+W128-2)-1)))</f>
        <v>-3.610942249240126</v>
      </c>
      <c r="AC128" s="45"/>
      <c r="AD128" s="45">
        <v>0</v>
      </c>
      <c r="AE128" s="53"/>
      <c r="AF128" s="45" t="s">
        <v>58</v>
      </c>
      <c r="AG128" s="45"/>
      <c r="AH128" s="45"/>
      <c r="AI128" s="45"/>
      <c r="AJ128" s="45"/>
      <c r="AK128" s="45"/>
      <c r="AL128" s="45"/>
      <c r="AM128" s="45"/>
      <c r="AN128" s="45"/>
      <c r="AO128" s="54"/>
    </row>
    <row r="129" spans="1:41" s="13" customFormat="1" ht="15.95" customHeight="1" x14ac:dyDescent="0.25">
      <c r="A129" s="11">
        <v>603</v>
      </c>
      <c r="B129" s="45" t="s">
        <v>34</v>
      </c>
      <c r="C129" s="46" t="s">
        <v>126</v>
      </c>
      <c r="D129" s="46" t="s">
        <v>126</v>
      </c>
      <c r="E129" s="36" t="s">
        <v>81</v>
      </c>
      <c r="F129" s="45" t="s">
        <v>908</v>
      </c>
      <c r="G129" s="45">
        <v>2023</v>
      </c>
      <c r="H129" s="45" t="s">
        <v>942</v>
      </c>
      <c r="I129" s="206" t="s">
        <v>39</v>
      </c>
      <c r="J129" s="206" t="s">
        <v>39</v>
      </c>
      <c r="K129" s="206" t="s">
        <v>944</v>
      </c>
      <c r="L129" s="217"/>
      <c r="M129" s="206"/>
      <c r="N129" s="206"/>
      <c r="O129" s="107">
        <v>33</v>
      </c>
      <c r="P129" s="108">
        <v>6.7</v>
      </c>
      <c r="Q129" s="109">
        <v>7</v>
      </c>
      <c r="R129" s="110">
        <v>1311</v>
      </c>
      <c r="S129" s="111">
        <v>278</v>
      </c>
      <c r="T129" s="45" t="s">
        <v>911</v>
      </c>
      <c r="U129" s="107">
        <v>36</v>
      </c>
      <c r="V129" s="112">
        <v>0.43</v>
      </c>
      <c r="W129" s="109">
        <v>7</v>
      </c>
      <c r="X129" s="45" t="s">
        <v>945</v>
      </c>
      <c r="Y129" s="45"/>
      <c r="Z129" s="45"/>
      <c r="AA129" s="45">
        <v>-1</v>
      </c>
      <c r="AB129" s="75">
        <f>((U129-O129)/V129)*AA129 * (1-(3/(4*(Q129+W129-2)-1)))</f>
        <v>-6.5314200890648193</v>
      </c>
      <c r="AC129" s="45"/>
      <c r="AD129" s="45">
        <v>0</v>
      </c>
      <c r="AE129" s="53"/>
      <c r="AF129" s="45" t="s">
        <v>58</v>
      </c>
      <c r="AG129" s="45"/>
      <c r="AH129" s="45"/>
      <c r="AI129" s="45"/>
      <c r="AJ129" s="45"/>
      <c r="AK129" s="45"/>
      <c r="AL129" s="11"/>
      <c r="AM129" s="11"/>
      <c r="AN129" s="11"/>
      <c r="AO129" s="1"/>
    </row>
    <row r="130" spans="1:41" s="13" customFormat="1" ht="15.95" customHeight="1" x14ac:dyDescent="0.25">
      <c r="A130" s="45">
        <v>413</v>
      </c>
      <c r="B130" s="45" t="s">
        <v>34</v>
      </c>
      <c r="C130" s="84" t="s">
        <v>80</v>
      </c>
      <c r="D130" s="84" t="s">
        <v>80</v>
      </c>
      <c r="E130" s="36" t="s">
        <v>81</v>
      </c>
      <c r="F130" s="45" t="s">
        <v>829</v>
      </c>
      <c r="G130" s="45">
        <v>2023</v>
      </c>
      <c r="H130" s="45" t="s">
        <v>839</v>
      </c>
      <c r="I130" s="206"/>
      <c r="J130" s="206"/>
      <c r="K130" s="206" t="s">
        <v>833</v>
      </c>
      <c r="L130" s="217"/>
      <c r="M130" s="206" t="s">
        <v>840</v>
      </c>
      <c r="N130" s="206"/>
      <c r="O130" s="47">
        <v>10.6</v>
      </c>
      <c r="P130" s="48">
        <v>4.9000000000000004</v>
      </c>
      <c r="Q130" s="49">
        <v>20</v>
      </c>
      <c r="R130" s="50">
        <v>585.75</v>
      </c>
      <c r="S130" s="48">
        <v>419.73</v>
      </c>
      <c r="T130" s="50"/>
      <c r="U130" s="47">
        <v>12.85</v>
      </c>
      <c r="V130" s="50">
        <v>3.99</v>
      </c>
      <c r="W130" s="49">
        <v>20</v>
      </c>
      <c r="X130" s="45" t="s">
        <v>58</v>
      </c>
      <c r="Y130" s="45"/>
      <c r="Z130" s="45"/>
      <c r="AA130" s="45">
        <v>-1</v>
      </c>
      <c r="AB130" s="52">
        <v>-0.55000000000000004</v>
      </c>
      <c r="AC130" s="45"/>
      <c r="AD130" s="53">
        <v>0</v>
      </c>
      <c r="AE130" s="53" t="s">
        <v>832</v>
      </c>
      <c r="AF130" s="45" t="s">
        <v>58</v>
      </c>
      <c r="AG130" s="45"/>
      <c r="AH130" s="45"/>
      <c r="AI130" s="45"/>
      <c r="AJ130" s="45"/>
      <c r="AK130" s="45"/>
      <c r="AL130" s="45"/>
      <c r="AM130" s="45"/>
      <c r="AN130" s="45"/>
      <c r="AO130" s="54"/>
    </row>
    <row r="131" spans="1:41" s="13" customFormat="1" ht="15.95" customHeight="1" x14ac:dyDescent="0.25">
      <c r="A131" s="45">
        <v>416</v>
      </c>
      <c r="B131" s="45" t="s">
        <v>34</v>
      </c>
      <c r="C131" s="84" t="s">
        <v>80</v>
      </c>
      <c r="D131" s="84" t="s">
        <v>80</v>
      </c>
      <c r="E131" s="36" t="s">
        <v>81</v>
      </c>
      <c r="F131" s="45" t="s">
        <v>829</v>
      </c>
      <c r="G131" s="45">
        <v>2023</v>
      </c>
      <c r="H131" s="45" t="s">
        <v>845</v>
      </c>
      <c r="I131" s="206"/>
      <c r="J131" s="206"/>
      <c r="K131" s="206" t="s">
        <v>833</v>
      </c>
      <c r="L131" s="217"/>
      <c r="M131" s="206" t="s">
        <v>840</v>
      </c>
      <c r="N131" s="206"/>
      <c r="O131" s="47">
        <v>15.45</v>
      </c>
      <c r="P131" s="48">
        <v>6.65</v>
      </c>
      <c r="Q131" s="49">
        <v>20</v>
      </c>
      <c r="R131" s="50">
        <v>585.75</v>
      </c>
      <c r="S131" s="48">
        <v>419.73</v>
      </c>
      <c r="T131" s="50"/>
      <c r="U131" s="47">
        <v>17.75</v>
      </c>
      <c r="V131" s="50">
        <v>4.6500000000000004</v>
      </c>
      <c r="W131" s="49">
        <v>20</v>
      </c>
      <c r="X131" s="45" t="s">
        <v>58</v>
      </c>
      <c r="Y131" s="45"/>
      <c r="Z131" s="45"/>
      <c r="AA131" s="45">
        <v>-1</v>
      </c>
      <c r="AB131" s="52">
        <v>-0.48</v>
      </c>
      <c r="AC131" s="45"/>
      <c r="AD131" s="53">
        <v>0</v>
      </c>
      <c r="AE131" s="53" t="s">
        <v>832</v>
      </c>
      <c r="AF131" s="45" t="s">
        <v>58</v>
      </c>
      <c r="AG131" s="45"/>
      <c r="AH131" s="45"/>
      <c r="AI131" s="45"/>
      <c r="AJ131" s="45"/>
      <c r="AK131" s="45"/>
      <c r="AL131" s="45"/>
      <c r="AM131" s="45"/>
      <c r="AN131" s="45"/>
      <c r="AO131" s="54"/>
    </row>
    <row r="132" spans="1:41" s="13" customFormat="1" ht="15.95" customHeight="1" x14ac:dyDescent="0.25">
      <c r="A132" s="45">
        <v>422</v>
      </c>
      <c r="B132" s="45" t="s">
        <v>34</v>
      </c>
      <c r="C132" s="84" t="s">
        <v>80</v>
      </c>
      <c r="D132" s="84" t="s">
        <v>80</v>
      </c>
      <c r="E132" s="36" t="s">
        <v>81</v>
      </c>
      <c r="F132" s="45" t="s">
        <v>829</v>
      </c>
      <c r="G132" s="45">
        <v>2023</v>
      </c>
      <c r="H132" s="45" t="s">
        <v>353</v>
      </c>
      <c r="I132" s="206" t="s">
        <v>39</v>
      </c>
      <c r="J132" s="206" t="s">
        <v>39</v>
      </c>
      <c r="K132" s="206" t="s">
        <v>846</v>
      </c>
      <c r="L132" s="217"/>
      <c r="M132" s="206" t="s">
        <v>838</v>
      </c>
      <c r="N132" s="206"/>
      <c r="O132" s="47">
        <v>29.5</v>
      </c>
      <c r="P132" s="48">
        <v>4.74</v>
      </c>
      <c r="Q132" s="49">
        <v>20</v>
      </c>
      <c r="R132" s="50">
        <v>585.75</v>
      </c>
      <c r="S132" s="48">
        <v>419.73</v>
      </c>
      <c r="T132" s="50"/>
      <c r="U132" s="47">
        <v>34.200000000000003</v>
      </c>
      <c r="V132" s="50">
        <v>1.88</v>
      </c>
      <c r="W132" s="49">
        <v>20</v>
      </c>
      <c r="X132" s="45" t="s">
        <v>58</v>
      </c>
      <c r="Y132" s="45"/>
      <c r="Z132" s="45"/>
      <c r="AA132" s="45">
        <v>-1</v>
      </c>
      <c r="AB132" s="52">
        <v>-2.4500000000000002</v>
      </c>
      <c r="AC132" s="45"/>
      <c r="AD132" s="53">
        <v>0</v>
      </c>
      <c r="AE132" s="53" t="s">
        <v>832</v>
      </c>
      <c r="AF132" s="45" t="s">
        <v>58</v>
      </c>
      <c r="AG132" s="45"/>
      <c r="AH132" s="45"/>
      <c r="AI132" s="45"/>
      <c r="AJ132" s="45"/>
      <c r="AK132" s="45"/>
      <c r="AL132" s="45"/>
      <c r="AM132" s="45"/>
      <c r="AN132" s="45"/>
      <c r="AO132" s="54"/>
    </row>
    <row r="133" spans="1:41" s="13" customFormat="1" ht="15.95" customHeight="1" x14ac:dyDescent="0.25">
      <c r="A133" s="45">
        <v>423</v>
      </c>
      <c r="B133" s="45" t="s">
        <v>34</v>
      </c>
      <c r="C133" s="84" t="s">
        <v>80</v>
      </c>
      <c r="D133" s="84" t="s">
        <v>80</v>
      </c>
      <c r="E133" s="36" t="s">
        <v>81</v>
      </c>
      <c r="F133" s="45" t="s">
        <v>829</v>
      </c>
      <c r="G133" s="45">
        <v>2023</v>
      </c>
      <c r="H133" s="45" t="s">
        <v>353</v>
      </c>
      <c r="I133" s="206" t="s">
        <v>41</v>
      </c>
      <c r="J133" s="206" t="s">
        <v>41</v>
      </c>
      <c r="K133" s="206" t="s">
        <v>847</v>
      </c>
      <c r="L133" s="217"/>
      <c r="M133" s="206" t="s">
        <v>838</v>
      </c>
      <c r="N133" s="206"/>
      <c r="O133" s="47">
        <v>3.35</v>
      </c>
      <c r="P133" s="48">
        <v>1.77</v>
      </c>
      <c r="Q133" s="49">
        <v>20</v>
      </c>
      <c r="R133" s="50">
        <v>585.75</v>
      </c>
      <c r="S133" s="48">
        <v>419.73</v>
      </c>
      <c r="T133" s="50"/>
      <c r="U133" s="47">
        <v>2.77</v>
      </c>
      <c r="V133" s="50">
        <v>1.64</v>
      </c>
      <c r="W133" s="49">
        <v>20</v>
      </c>
      <c r="X133" s="45" t="s">
        <v>58</v>
      </c>
      <c r="Y133" s="45"/>
      <c r="Z133" s="45"/>
      <c r="AA133" s="45">
        <v>1</v>
      </c>
      <c r="AB133" s="52">
        <v>-0.35</v>
      </c>
      <c r="AC133" s="45"/>
      <c r="AD133" s="53">
        <v>0</v>
      </c>
      <c r="AE133" s="53" t="s">
        <v>832</v>
      </c>
      <c r="AF133" s="45" t="s">
        <v>58</v>
      </c>
      <c r="AG133" s="45"/>
      <c r="AH133" s="45"/>
      <c r="AI133" s="45"/>
      <c r="AJ133" s="45"/>
      <c r="AK133" s="45"/>
      <c r="AL133" s="45"/>
      <c r="AM133" s="45"/>
      <c r="AN133" s="45"/>
      <c r="AO133" s="84"/>
    </row>
    <row r="134" spans="1:41" s="238" customFormat="1" ht="15.95" customHeight="1" x14ac:dyDescent="0.25">
      <c r="A134" s="237"/>
      <c r="B134" s="237"/>
      <c r="E134" s="239"/>
      <c r="F134" s="237"/>
      <c r="G134" s="237"/>
      <c r="H134" s="237"/>
      <c r="I134" s="240"/>
      <c r="J134" s="240"/>
      <c r="K134" s="240"/>
      <c r="L134" s="241"/>
      <c r="M134" s="240"/>
      <c r="N134" s="240"/>
      <c r="O134" s="242"/>
      <c r="P134" s="243"/>
      <c r="Q134" s="244"/>
      <c r="R134" s="245"/>
      <c r="S134" s="243"/>
      <c r="T134" s="245"/>
      <c r="U134" s="242"/>
      <c r="V134" s="245"/>
      <c r="W134" s="244"/>
      <c r="X134" s="237"/>
      <c r="Y134" s="237"/>
      <c r="Z134" s="237"/>
      <c r="AA134" s="237"/>
      <c r="AB134" s="246"/>
      <c r="AC134" s="237"/>
      <c r="AD134" s="247">
        <v>0</v>
      </c>
      <c r="AE134" s="247"/>
      <c r="AF134" s="237"/>
      <c r="AG134" s="237"/>
      <c r="AH134" s="237"/>
      <c r="AI134" s="237"/>
      <c r="AJ134" s="237"/>
      <c r="AK134" s="237"/>
      <c r="AL134" s="237"/>
      <c r="AM134" s="237"/>
      <c r="AN134" s="237"/>
    </row>
    <row r="135" spans="1:41" s="11" customFormat="1" ht="15.95" customHeight="1" x14ac:dyDescent="0.25">
      <c r="A135" s="11">
        <v>259</v>
      </c>
      <c r="B135" s="11" t="s">
        <v>34</v>
      </c>
      <c r="C135" s="14" t="s">
        <v>358</v>
      </c>
      <c r="D135" s="14" t="s">
        <v>358</v>
      </c>
      <c r="E135" s="36"/>
      <c r="F135" s="11" t="s">
        <v>301</v>
      </c>
      <c r="G135" s="11">
        <v>2023</v>
      </c>
      <c r="H135" s="11" t="s">
        <v>575</v>
      </c>
      <c r="I135" s="204"/>
      <c r="J135" s="204"/>
      <c r="K135" s="204" t="s">
        <v>303</v>
      </c>
      <c r="L135" s="207" t="s">
        <v>576</v>
      </c>
      <c r="M135" s="204" t="s">
        <v>577</v>
      </c>
      <c r="N135" s="207" t="s">
        <v>578</v>
      </c>
      <c r="O135" s="38">
        <v>48</v>
      </c>
      <c r="P135" s="39">
        <v>13</v>
      </c>
      <c r="Q135" s="40">
        <v>30</v>
      </c>
      <c r="R135" s="41">
        <v>741</v>
      </c>
      <c r="S135" s="42">
        <f>358/1.35</f>
        <v>265.18518518518516</v>
      </c>
      <c r="T135" s="39" t="s">
        <v>307</v>
      </c>
      <c r="U135" s="38">
        <v>53</v>
      </c>
      <c r="V135" s="41">
        <v>13</v>
      </c>
      <c r="W135" s="40">
        <v>54</v>
      </c>
      <c r="X135" s="11" t="s">
        <v>58</v>
      </c>
      <c r="Y135" s="11">
        <v>0.38</v>
      </c>
      <c r="AA135" s="11">
        <v>-1</v>
      </c>
      <c r="AB135" s="43">
        <f>((U135-O135)/V135)*AA135 * (1-(3/(4*(Q135+W135-2)-1)))</f>
        <v>-0.38108680310515175</v>
      </c>
      <c r="AD135" s="44">
        <v>1</v>
      </c>
      <c r="AE135" s="44"/>
      <c r="AF135" s="11" t="s">
        <v>58</v>
      </c>
      <c r="AO135" s="1"/>
    </row>
    <row r="136" spans="1:41" s="13" customFormat="1" ht="15.95" customHeight="1" x14ac:dyDescent="0.25">
      <c r="A136" s="11">
        <v>261</v>
      </c>
      <c r="B136" s="11" t="s">
        <v>43</v>
      </c>
      <c r="C136" s="14" t="s">
        <v>358</v>
      </c>
      <c r="D136" s="14" t="s">
        <v>358</v>
      </c>
      <c r="E136" s="36"/>
      <c r="F136" s="11" t="s">
        <v>46</v>
      </c>
      <c r="G136" s="11">
        <v>2008</v>
      </c>
      <c r="H136" s="63" t="s">
        <v>359</v>
      </c>
      <c r="I136" s="204"/>
      <c r="J136" s="204"/>
      <c r="K136" s="204" t="s">
        <v>360</v>
      </c>
      <c r="L136" s="207"/>
      <c r="M136" s="207" t="s">
        <v>361</v>
      </c>
      <c r="N136" s="204"/>
      <c r="O136" s="113">
        <v>125.12</v>
      </c>
      <c r="P136" s="39">
        <v>38.488569731804795</v>
      </c>
      <c r="Q136" s="40">
        <v>33</v>
      </c>
      <c r="R136" s="114"/>
      <c r="S136" s="39"/>
      <c r="T136" s="41"/>
      <c r="U136" s="115">
        <v>91.62</v>
      </c>
      <c r="V136" s="39">
        <v>38.484282505978982</v>
      </c>
      <c r="W136" s="40">
        <v>34</v>
      </c>
      <c r="X136" s="11"/>
      <c r="Y136" s="11"/>
      <c r="Z136" s="11"/>
      <c r="AA136" s="11">
        <v>1</v>
      </c>
      <c r="AB136" s="43">
        <f>((U136-O136)/V136)*AA136 * (1-(3/(4*(Q136+W136-2)-1)))</f>
        <v>-0.86040240211896335</v>
      </c>
      <c r="AC136" s="61"/>
      <c r="AD136" s="44">
        <v>1</v>
      </c>
      <c r="AE136" s="44"/>
      <c r="AF136" s="11">
        <v>11.18</v>
      </c>
      <c r="AG136" s="87">
        <v>3.4</v>
      </c>
      <c r="AH136" s="87"/>
      <c r="AI136" s="116">
        <v>10.29</v>
      </c>
      <c r="AJ136" s="87">
        <v>3.1</v>
      </c>
      <c r="AK136" s="11"/>
      <c r="AL136" s="11"/>
      <c r="AM136" s="11"/>
      <c r="AN136" s="11"/>
      <c r="AO136" s="1"/>
    </row>
    <row r="137" spans="1:41" s="13" customFormat="1" ht="15.95" customHeight="1" x14ac:dyDescent="0.25">
      <c r="A137" s="1">
        <v>24</v>
      </c>
      <c r="B137" s="1" t="s">
        <v>34</v>
      </c>
      <c r="C137" s="11" t="s">
        <v>75</v>
      </c>
      <c r="D137" s="11" t="s">
        <v>76</v>
      </c>
      <c r="E137" s="36" t="s">
        <v>36</v>
      </c>
      <c r="F137" s="14" t="s">
        <v>65</v>
      </c>
      <c r="G137" s="1">
        <v>2005</v>
      </c>
      <c r="H137" s="11" t="s">
        <v>77</v>
      </c>
      <c r="I137" s="204" t="s">
        <v>39</v>
      </c>
      <c r="J137" s="204" t="s">
        <v>39</v>
      </c>
      <c r="K137" s="221" t="s">
        <v>78</v>
      </c>
      <c r="L137" s="222"/>
      <c r="M137" s="220"/>
      <c r="N137" s="220"/>
      <c r="O137" s="57">
        <v>66.48</v>
      </c>
      <c r="P137" s="58">
        <v>15.75</v>
      </c>
      <c r="Q137" s="40">
        <v>25</v>
      </c>
      <c r="R137" s="59">
        <v>758.79</v>
      </c>
      <c r="S137" s="60"/>
      <c r="T137" s="59"/>
      <c r="U137" s="57">
        <v>67.599999999999994</v>
      </c>
      <c r="V137" s="39">
        <v>16.690000000000001</v>
      </c>
      <c r="W137" s="40">
        <v>25</v>
      </c>
      <c r="X137" s="14"/>
      <c r="Y137" s="55">
        <f>(U137-O137)/SQRT((V137^2+P137^2)/2)</f>
        <v>6.9021584249196799E-2</v>
      </c>
      <c r="Z137" s="55"/>
      <c r="AA137" s="14">
        <v>-1</v>
      </c>
      <c r="AB137" s="43">
        <f>((U137-O137)/V137)*AA137 * (1-(3/(4*(Q137+W137-2)-1)))</f>
        <v>-6.6052029776113907E-2</v>
      </c>
      <c r="AC137" s="61"/>
      <c r="AD137" s="44">
        <v>1</v>
      </c>
      <c r="AE137" s="44"/>
      <c r="AF137" s="14"/>
      <c r="AG137" s="14"/>
      <c r="AH137" s="1"/>
      <c r="AI137" s="62"/>
      <c r="AJ137" s="62"/>
      <c r="AK137" s="14">
        <v>2</v>
      </c>
      <c r="AL137" s="14" t="s">
        <v>68</v>
      </c>
      <c r="AM137" s="1" t="s">
        <v>69</v>
      </c>
      <c r="AN137" s="14" t="s">
        <v>68</v>
      </c>
      <c r="AO137" s="1"/>
    </row>
    <row r="138" spans="1:41" s="13" customFormat="1" ht="15.95" customHeight="1" x14ac:dyDescent="0.25">
      <c r="A138" s="1">
        <v>26</v>
      </c>
      <c r="B138" s="1" t="s">
        <v>34</v>
      </c>
      <c r="C138" s="11" t="s">
        <v>75</v>
      </c>
      <c r="D138" s="11" t="s">
        <v>76</v>
      </c>
      <c r="E138" s="36" t="s">
        <v>36</v>
      </c>
      <c r="F138" s="14" t="s">
        <v>65</v>
      </c>
      <c r="G138" s="1">
        <v>2005</v>
      </c>
      <c r="H138" s="11" t="s">
        <v>77</v>
      </c>
      <c r="I138" s="204" t="s">
        <v>41</v>
      </c>
      <c r="J138" s="204" t="s">
        <v>41</v>
      </c>
      <c r="K138" s="221" t="s">
        <v>79</v>
      </c>
      <c r="L138" s="222"/>
      <c r="M138" s="220"/>
      <c r="N138" s="220"/>
      <c r="O138" s="57">
        <v>0.88</v>
      </c>
      <c r="P138" s="58">
        <v>0.3</v>
      </c>
      <c r="Q138" s="40">
        <v>25</v>
      </c>
      <c r="R138" s="59">
        <v>758.79</v>
      </c>
      <c r="S138" s="60"/>
      <c r="T138" s="59"/>
      <c r="U138" s="57">
        <v>0.77</v>
      </c>
      <c r="V138" s="39">
        <v>0.42</v>
      </c>
      <c r="W138" s="40">
        <v>25</v>
      </c>
      <c r="X138" s="14"/>
      <c r="Y138" s="55">
        <f>(U138-O138)/SQRT((V138^2+P138^2)/2)</f>
        <v>-0.30139814339315502</v>
      </c>
      <c r="Z138" s="55"/>
      <c r="AA138" s="14">
        <v>1</v>
      </c>
      <c r="AB138" s="43">
        <f>((U138-O138)/V138)*AA138 * (1-(3/(4*(Q138+W138-2)-1)))</f>
        <v>-0.25779107454500122</v>
      </c>
      <c r="AC138" s="61"/>
      <c r="AD138" s="44">
        <v>1</v>
      </c>
      <c r="AE138" s="44"/>
      <c r="AF138" s="14"/>
      <c r="AG138" s="14"/>
      <c r="AH138" s="1"/>
      <c r="AI138" s="62"/>
      <c r="AJ138" s="62"/>
      <c r="AK138" s="14">
        <v>2</v>
      </c>
      <c r="AL138" s="14" t="s">
        <v>68</v>
      </c>
      <c r="AM138" s="1" t="s">
        <v>69</v>
      </c>
      <c r="AN138" s="14" t="s">
        <v>68</v>
      </c>
      <c r="AO138" s="1"/>
    </row>
    <row r="139" spans="1:41" s="13" customFormat="1" ht="15.95" customHeight="1" x14ac:dyDescent="0.25">
      <c r="A139" s="1">
        <v>28</v>
      </c>
      <c r="B139" s="11" t="s">
        <v>34</v>
      </c>
      <c r="C139" s="11" t="s">
        <v>75</v>
      </c>
      <c r="D139" s="11" t="s">
        <v>76</v>
      </c>
      <c r="E139" s="36" t="s">
        <v>36</v>
      </c>
      <c r="F139" s="11" t="s">
        <v>274</v>
      </c>
      <c r="G139" s="11">
        <v>2023</v>
      </c>
      <c r="H139" s="11" t="s">
        <v>275</v>
      </c>
      <c r="I139" s="204" t="s">
        <v>41</v>
      </c>
      <c r="J139" s="210"/>
      <c r="K139" s="204" t="s">
        <v>276</v>
      </c>
      <c r="L139" s="207"/>
      <c r="M139" s="204" t="s">
        <v>277</v>
      </c>
      <c r="N139" s="204" t="s">
        <v>278</v>
      </c>
      <c r="O139" s="38">
        <v>52</v>
      </c>
      <c r="P139" s="39">
        <v>8.4</v>
      </c>
      <c r="Q139" s="40">
        <v>40</v>
      </c>
      <c r="R139" s="41">
        <v>589</v>
      </c>
      <c r="S139" s="39">
        <v>444</v>
      </c>
      <c r="T139" s="41"/>
      <c r="U139" s="38">
        <v>54</v>
      </c>
      <c r="V139" s="41">
        <v>5.2</v>
      </c>
      <c r="W139" s="40">
        <v>32</v>
      </c>
      <c r="X139" s="11" t="s">
        <v>58</v>
      </c>
      <c r="Y139" s="11"/>
      <c r="Z139" s="11"/>
      <c r="AA139" s="11">
        <v>-1</v>
      </c>
      <c r="AB139" s="43">
        <f>((U139-O139)/V139)*AA139 * (1-(3/(4*(Q139+W139-2)-1)))</f>
        <v>-0.38047973531844498</v>
      </c>
      <c r="AC139" s="11"/>
      <c r="AD139" s="44">
        <v>1</v>
      </c>
      <c r="AE139" s="44"/>
      <c r="AF139" s="11" t="s">
        <v>58</v>
      </c>
      <c r="AG139" s="11"/>
      <c r="AH139" s="11"/>
      <c r="AI139" s="11"/>
      <c r="AJ139" s="11"/>
      <c r="AK139" s="11"/>
      <c r="AL139" s="11"/>
      <c r="AM139" s="11"/>
      <c r="AN139" s="11"/>
      <c r="AO139" s="1"/>
    </row>
    <row r="140" spans="1:41" s="13" customFormat="1" ht="15.95" customHeight="1" x14ac:dyDescent="0.25">
      <c r="A140" s="1">
        <v>18</v>
      </c>
      <c r="B140" s="1" t="s">
        <v>34</v>
      </c>
      <c r="C140" s="11" t="s">
        <v>75</v>
      </c>
      <c r="D140" s="11" t="s">
        <v>76</v>
      </c>
      <c r="E140" s="36" t="s">
        <v>36</v>
      </c>
      <c r="F140" s="1" t="s">
        <v>327</v>
      </c>
      <c r="G140" s="1">
        <v>2021</v>
      </c>
      <c r="H140" s="63" t="s">
        <v>331</v>
      </c>
      <c r="I140" s="203"/>
      <c r="J140" s="203"/>
      <c r="K140" s="204" t="s">
        <v>332</v>
      </c>
      <c r="L140" s="207"/>
      <c r="M140" s="220"/>
      <c r="N140" s="220" t="s">
        <v>329</v>
      </c>
      <c r="O140" s="64">
        <v>-0.61</v>
      </c>
      <c r="P140" s="65">
        <v>1.29</v>
      </c>
      <c r="Q140" s="40">
        <v>152</v>
      </c>
      <c r="R140" s="59">
        <v>908</v>
      </c>
      <c r="S140" s="60"/>
      <c r="T140" s="59"/>
      <c r="U140" s="64">
        <v>0</v>
      </c>
      <c r="V140" s="66">
        <v>1</v>
      </c>
      <c r="W140" s="40">
        <v>77</v>
      </c>
      <c r="X140" s="1"/>
      <c r="Y140" s="55"/>
      <c r="Z140" s="67"/>
      <c r="AA140" s="14">
        <v>-1</v>
      </c>
      <c r="AB140" s="43">
        <f>((U140-O140)/V140)*AA140 * (1-(3/(4*(Q140+W140-2)-1)))</f>
        <v>-0.60798235942668133</v>
      </c>
      <c r="AC140" s="61">
        <v>1.29</v>
      </c>
      <c r="AD140" s="44">
        <v>1</v>
      </c>
      <c r="AE140" s="44"/>
      <c r="AF140" s="14"/>
      <c r="AG140" s="14"/>
      <c r="AH140" s="68" t="s">
        <v>117</v>
      </c>
      <c r="AI140" s="1"/>
      <c r="AJ140" s="1"/>
      <c r="AK140" s="14">
        <v>1</v>
      </c>
      <c r="AL140" s="1"/>
      <c r="AM140" s="1"/>
      <c r="AN140" s="1"/>
      <c r="AO140" s="1"/>
    </row>
    <row r="141" spans="1:41" s="13" customFormat="1" ht="15.95" customHeight="1" x14ac:dyDescent="0.25">
      <c r="A141" s="1">
        <v>70</v>
      </c>
      <c r="B141" s="1" t="s">
        <v>34</v>
      </c>
      <c r="C141" s="11" t="s">
        <v>75</v>
      </c>
      <c r="D141" s="11" t="s">
        <v>333</v>
      </c>
      <c r="E141" s="36" t="s">
        <v>36</v>
      </c>
      <c r="F141" s="1" t="s">
        <v>327</v>
      </c>
      <c r="G141" s="1">
        <v>2021</v>
      </c>
      <c r="H141" s="11" t="s">
        <v>334</v>
      </c>
      <c r="I141" s="204"/>
      <c r="J141" s="204"/>
      <c r="K141" s="221" t="s">
        <v>335</v>
      </c>
      <c r="L141" s="222"/>
      <c r="M141" s="220"/>
      <c r="N141" s="220"/>
      <c r="O141" s="64">
        <v>-0.44</v>
      </c>
      <c r="P141" s="65">
        <v>0.97</v>
      </c>
      <c r="Q141" s="40">
        <v>150</v>
      </c>
      <c r="R141" s="59">
        <v>908</v>
      </c>
      <c r="S141" s="60"/>
      <c r="T141" s="59"/>
      <c r="U141" s="64">
        <v>0</v>
      </c>
      <c r="V141" s="66">
        <v>1</v>
      </c>
      <c r="W141" s="40">
        <v>76</v>
      </c>
      <c r="X141" s="1"/>
      <c r="Y141" s="68" t="s">
        <v>146</v>
      </c>
      <c r="Z141" s="68"/>
      <c r="AA141" s="14">
        <v>-1</v>
      </c>
      <c r="AB141" s="43">
        <f>((U141-O141)/V141)*AA141 * (1-(3/(4*(Q141+W141-2)-1)))</f>
        <v>-0.43852513966480444</v>
      </c>
      <c r="AC141" s="61">
        <v>0.97</v>
      </c>
      <c r="AD141" s="44">
        <v>1</v>
      </c>
      <c r="AE141" s="44"/>
      <c r="AF141" s="14"/>
      <c r="AG141" s="14"/>
      <c r="AH141" s="1"/>
      <c r="AI141" s="62"/>
      <c r="AJ141" s="62"/>
      <c r="AK141" s="14">
        <v>1</v>
      </c>
      <c r="AL141" s="14"/>
      <c r="AM141" s="68" t="s">
        <v>117</v>
      </c>
      <c r="AN141" s="1"/>
      <c r="AO141" s="11"/>
    </row>
    <row r="142" spans="1:41" s="13" customFormat="1" ht="12.75" customHeight="1" x14ac:dyDescent="0.25">
      <c r="A142" s="1">
        <v>87</v>
      </c>
      <c r="B142" s="1" t="s">
        <v>34</v>
      </c>
      <c r="C142" s="11" t="s">
        <v>75</v>
      </c>
      <c r="D142" s="11" t="s">
        <v>333</v>
      </c>
      <c r="E142" s="36" t="s">
        <v>36</v>
      </c>
      <c r="F142" s="1" t="s">
        <v>327</v>
      </c>
      <c r="G142" s="1">
        <v>2021</v>
      </c>
      <c r="H142" s="11" t="s">
        <v>336</v>
      </c>
      <c r="I142" s="204"/>
      <c r="J142" s="204"/>
      <c r="K142" s="221" t="s">
        <v>329</v>
      </c>
      <c r="L142" s="222"/>
      <c r="M142" s="220"/>
      <c r="N142" s="220"/>
      <c r="O142" s="64">
        <v>7.0000000000000007E-2</v>
      </c>
      <c r="P142" s="65">
        <v>1</v>
      </c>
      <c r="Q142" s="40">
        <v>150</v>
      </c>
      <c r="R142" s="59">
        <v>908</v>
      </c>
      <c r="S142" s="60"/>
      <c r="T142" s="59"/>
      <c r="U142" s="64">
        <v>0</v>
      </c>
      <c r="V142" s="66">
        <v>1</v>
      </c>
      <c r="W142" s="40">
        <v>76</v>
      </c>
      <c r="X142" s="1"/>
      <c r="Y142" s="67" t="s">
        <v>146</v>
      </c>
      <c r="Z142" s="67"/>
      <c r="AA142" s="14">
        <v>-1</v>
      </c>
      <c r="AB142" s="43">
        <f>((U142-O142)/V142)*AA142 * (1-(3/(4*(Q142+W142-2)-1)))</f>
        <v>6.9765363128491617E-2</v>
      </c>
      <c r="AC142" s="61">
        <v>0.99</v>
      </c>
      <c r="AD142" s="44">
        <v>1</v>
      </c>
      <c r="AE142" s="44"/>
      <c r="AF142" s="14"/>
      <c r="AG142" s="14"/>
      <c r="AH142" s="1"/>
      <c r="AI142" s="62"/>
      <c r="AJ142" s="62"/>
      <c r="AK142" s="14">
        <v>1</v>
      </c>
      <c r="AL142" s="14"/>
      <c r="AM142" s="68" t="s">
        <v>117</v>
      </c>
      <c r="AN142" s="1"/>
      <c r="AO142" s="11"/>
    </row>
    <row r="143" spans="1:41" s="13" customFormat="1" ht="15.95" customHeight="1" x14ac:dyDescent="0.25">
      <c r="A143" s="1">
        <v>34</v>
      </c>
      <c r="B143" s="1" t="s">
        <v>34</v>
      </c>
      <c r="C143" s="11" t="s">
        <v>75</v>
      </c>
      <c r="D143" s="11" t="s">
        <v>76</v>
      </c>
      <c r="E143" s="36" t="s">
        <v>36</v>
      </c>
      <c r="F143" s="1" t="s">
        <v>327</v>
      </c>
      <c r="G143" s="1">
        <v>2021</v>
      </c>
      <c r="H143" s="11" t="s">
        <v>337</v>
      </c>
      <c r="I143" s="204"/>
      <c r="J143" s="204"/>
      <c r="K143" s="210" t="s">
        <v>338</v>
      </c>
      <c r="L143" s="207"/>
      <c r="M143" s="204" t="s">
        <v>339</v>
      </c>
      <c r="N143" s="220"/>
      <c r="O143" s="64">
        <v>-0.26</v>
      </c>
      <c r="P143" s="65">
        <v>1</v>
      </c>
      <c r="Q143" s="40">
        <v>152</v>
      </c>
      <c r="R143" s="59">
        <v>908</v>
      </c>
      <c r="S143" s="60"/>
      <c r="T143" s="59"/>
      <c r="U143" s="64">
        <v>0</v>
      </c>
      <c r="V143" s="66">
        <v>1</v>
      </c>
      <c r="W143" s="40">
        <v>76</v>
      </c>
      <c r="X143" s="1"/>
      <c r="Y143" s="67" t="s">
        <v>146</v>
      </c>
      <c r="Z143" s="67"/>
      <c r="AA143" s="14">
        <v>-1</v>
      </c>
      <c r="AB143" s="43">
        <f>((U143-O143)/V143)*AA143 * (1-(3/(4*(Q143+W143-2)-1)))</f>
        <v>-0.25913621262458469</v>
      </c>
      <c r="AC143" s="61">
        <v>1</v>
      </c>
      <c r="AD143" s="44">
        <v>1</v>
      </c>
      <c r="AE143" s="44"/>
      <c r="AF143" s="14"/>
      <c r="AG143" s="14"/>
      <c r="AH143" s="1"/>
      <c r="AI143" s="62"/>
      <c r="AJ143" s="62"/>
      <c r="AK143" s="1"/>
      <c r="AL143" s="14"/>
      <c r="AM143" s="68" t="s">
        <v>117</v>
      </c>
      <c r="AN143" s="1"/>
      <c r="AO143" s="1"/>
    </row>
    <row r="144" spans="1:41" s="13" customFormat="1" ht="15.95" customHeight="1" x14ac:dyDescent="0.25">
      <c r="A144" s="1">
        <v>71</v>
      </c>
      <c r="B144" s="1" t="s">
        <v>34</v>
      </c>
      <c r="C144" s="11" t="s">
        <v>75</v>
      </c>
      <c r="D144" s="11" t="s">
        <v>333</v>
      </c>
      <c r="E144" s="36" t="s">
        <v>36</v>
      </c>
      <c r="F144" s="14" t="s">
        <v>406</v>
      </c>
      <c r="G144" s="1">
        <v>2004</v>
      </c>
      <c r="H144" s="11" t="s">
        <v>334</v>
      </c>
      <c r="I144" s="204"/>
      <c r="J144" s="204"/>
      <c r="K144" s="221" t="s">
        <v>411</v>
      </c>
      <c r="L144" s="222"/>
      <c r="M144" s="220"/>
      <c r="N144" s="220"/>
      <c r="O144" s="57">
        <v>8.01</v>
      </c>
      <c r="P144" s="58">
        <v>1.64</v>
      </c>
      <c r="Q144" s="40">
        <v>20</v>
      </c>
      <c r="R144" s="59">
        <v>858.5</v>
      </c>
      <c r="S144" s="60"/>
      <c r="T144" s="59"/>
      <c r="U144" s="57">
        <v>9.76</v>
      </c>
      <c r="V144" s="39">
        <v>2.5299999999999998</v>
      </c>
      <c r="W144" s="40">
        <v>20</v>
      </c>
      <c r="X144" s="14"/>
      <c r="Y144" s="55">
        <f>(U144-O144)/SQRT((V144^2+P144^2)/2)</f>
        <v>0.82084122710449015</v>
      </c>
      <c r="Z144" s="55"/>
      <c r="AA144" s="14">
        <v>-1</v>
      </c>
      <c r="AB144" s="43">
        <f>((U144-O144)/V144)*AA144 * (1-(3/(4*(Q144+W144-2)-1)))</f>
        <v>-0.67795722848990914</v>
      </c>
      <c r="AC144" s="61"/>
      <c r="AD144" s="44">
        <v>1</v>
      </c>
      <c r="AE144" s="44"/>
      <c r="AF144" s="14"/>
      <c r="AG144" s="14"/>
      <c r="AH144" s="1"/>
      <c r="AI144" s="62"/>
      <c r="AJ144" s="62"/>
      <c r="AK144" s="14">
        <v>2</v>
      </c>
      <c r="AL144" s="14" t="s">
        <v>68</v>
      </c>
      <c r="AM144" s="1" t="s">
        <v>69</v>
      </c>
      <c r="AN144" s="14" t="s">
        <v>68</v>
      </c>
      <c r="AO144" s="1"/>
    </row>
    <row r="145" spans="1:41" s="13" customFormat="1" ht="15.95" customHeight="1" x14ac:dyDescent="0.25">
      <c r="A145" s="1">
        <v>25</v>
      </c>
      <c r="B145" s="1" t="s">
        <v>34</v>
      </c>
      <c r="C145" s="11" t="s">
        <v>75</v>
      </c>
      <c r="D145" s="11" t="s">
        <v>76</v>
      </c>
      <c r="E145" s="36" t="s">
        <v>36</v>
      </c>
      <c r="F145" s="14" t="s">
        <v>87</v>
      </c>
      <c r="G145" s="1">
        <v>2007</v>
      </c>
      <c r="H145" s="11" t="s">
        <v>431</v>
      </c>
      <c r="I145" s="204"/>
      <c r="J145" s="204"/>
      <c r="K145" s="221" t="s">
        <v>432</v>
      </c>
      <c r="L145" s="222"/>
      <c r="M145" s="220"/>
      <c r="N145" s="220"/>
      <c r="O145" s="57">
        <v>60.24</v>
      </c>
      <c r="P145" s="58">
        <v>17.75</v>
      </c>
      <c r="Q145" s="40">
        <v>25</v>
      </c>
      <c r="R145" s="59">
        <v>1285.68</v>
      </c>
      <c r="S145" s="60"/>
      <c r="T145" s="59"/>
      <c r="U145" s="57">
        <v>66.040000000000006</v>
      </c>
      <c r="V145" s="39">
        <v>16.399999999999999</v>
      </c>
      <c r="W145" s="40">
        <v>45</v>
      </c>
      <c r="X145" s="14"/>
      <c r="Y145" s="55">
        <f>(U145-O145)/SQRT((V145^2+P145^2)/2)</f>
        <v>0.33941278858608348</v>
      </c>
      <c r="Z145" s="55"/>
      <c r="AA145" s="14">
        <v>-1</v>
      </c>
      <c r="AB145" s="43">
        <f>((U145-O145)/V145)*AA145 * (1-(3/(4*(Q145+W145-2)-1)))</f>
        <v>-0.34974349743497468</v>
      </c>
      <c r="AC145" s="61"/>
      <c r="AD145" s="44">
        <v>1</v>
      </c>
      <c r="AE145" s="44"/>
      <c r="AF145" s="14"/>
      <c r="AG145" s="14"/>
      <c r="AH145" s="1"/>
      <c r="AI145" s="62"/>
      <c r="AJ145" s="62"/>
      <c r="AK145" s="14">
        <v>2</v>
      </c>
      <c r="AL145" s="14" t="s">
        <v>68</v>
      </c>
      <c r="AM145" s="1" t="s">
        <v>69</v>
      </c>
      <c r="AN145" s="14" t="s">
        <v>68</v>
      </c>
      <c r="AO145" s="1"/>
    </row>
    <row r="146" spans="1:41" s="13" customFormat="1" ht="15.95" customHeight="1" x14ac:dyDescent="0.25">
      <c r="A146" s="1">
        <v>27</v>
      </c>
      <c r="B146" s="1" t="s">
        <v>34</v>
      </c>
      <c r="C146" s="11" t="s">
        <v>75</v>
      </c>
      <c r="D146" s="11" t="s">
        <v>76</v>
      </c>
      <c r="E146" s="36" t="s">
        <v>36</v>
      </c>
      <c r="F146" s="14" t="s">
        <v>87</v>
      </c>
      <c r="G146" s="1">
        <v>2007</v>
      </c>
      <c r="H146" s="11" t="s">
        <v>433</v>
      </c>
      <c r="I146" s="204"/>
      <c r="J146" s="204"/>
      <c r="K146" s="221" t="s">
        <v>434</v>
      </c>
      <c r="L146" s="222"/>
      <c r="M146" s="220"/>
      <c r="N146" s="220"/>
      <c r="O146" s="57">
        <v>0.92</v>
      </c>
      <c r="P146" s="58">
        <v>0.35</v>
      </c>
      <c r="Q146" s="40">
        <v>25</v>
      </c>
      <c r="R146" s="59">
        <v>1285.68</v>
      </c>
      <c r="S146" s="60"/>
      <c r="T146" s="59"/>
      <c r="U146" s="57">
        <v>0.76</v>
      </c>
      <c r="V146" s="39">
        <v>0.4</v>
      </c>
      <c r="W146" s="40">
        <v>45</v>
      </c>
      <c r="X146" s="14"/>
      <c r="Y146" s="55">
        <f>(U146-O146)/SQRT((V146^2+P146^2)/2)</f>
        <v>-0.42572166735215322</v>
      </c>
      <c r="Z146" s="55"/>
      <c r="AA146" s="14">
        <v>1</v>
      </c>
      <c r="AB146" s="43">
        <f>((U146-O146)/V146)*AA146 * (1-(3/(4*(Q146+W146-2)-1)))</f>
        <v>-0.39557195571955728</v>
      </c>
      <c r="AC146" s="61"/>
      <c r="AD146" s="44">
        <v>1</v>
      </c>
      <c r="AE146" s="44"/>
      <c r="AF146" s="14"/>
      <c r="AG146" s="14"/>
      <c r="AH146" s="1"/>
      <c r="AI146" s="62"/>
      <c r="AJ146" s="62"/>
      <c r="AK146" s="14">
        <v>2</v>
      </c>
      <c r="AL146" s="14" t="s">
        <v>68</v>
      </c>
      <c r="AM146" s="1" t="s">
        <v>69</v>
      </c>
      <c r="AN146" s="14" t="s">
        <v>68</v>
      </c>
      <c r="AO146" s="1"/>
    </row>
    <row r="147" spans="1:41" s="13" customFormat="1" ht="15.95" customHeight="1" x14ac:dyDescent="0.25">
      <c r="A147" s="1">
        <v>23</v>
      </c>
      <c r="B147" s="11" t="s">
        <v>34</v>
      </c>
      <c r="C147" s="11" t="s">
        <v>75</v>
      </c>
      <c r="D147" s="11" t="s">
        <v>76</v>
      </c>
      <c r="E147" s="36" t="s">
        <v>36</v>
      </c>
      <c r="F147" s="11" t="s">
        <v>274</v>
      </c>
      <c r="G147" s="11">
        <v>2023</v>
      </c>
      <c r="H147" s="11" t="s">
        <v>436</v>
      </c>
      <c r="I147" s="204"/>
      <c r="J147" s="204"/>
      <c r="K147" s="204" t="s">
        <v>437</v>
      </c>
      <c r="L147" s="207" t="s">
        <v>438</v>
      </c>
      <c r="M147" s="204" t="s">
        <v>277</v>
      </c>
      <c r="N147" s="204"/>
      <c r="O147" s="38">
        <v>51</v>
      </c>
      <c r="P147" s="39">
        <v>10.5</v>
      </c>
      <c r="Q147" s="40">
        <v>40</v>
      </c>
      <c r="R147" s="41">
        <v>589</v>
      </c>
      <c r="S147" s="39">
        <v>444</v>
      </c>
      <c r="T147" s="41"/>
      <c r="U147" s="38">
        <v>53</v>
      </c>
      <c r="V147" s="41">
        <v>11.3</v>
      </c>
      <c r="W147" s="40">
        <v>32</v>
      </c>
      <c r="X147" s="11">
        <v>32</v>
      </c>
      <c r="Y147" s="11"/>
      <c r="Z147" s="11"/>
      <c r="AA147" s="11">
        <v>-1</v>
      </c>
      <c r="AB147" s="43">
        <f>((U147-O147)/V147)*AA147 * (1-(3/(4*(Q147+W147-2)-1)))</f>
        <v>-0.17508801979255875</v>
      </c>
      <c r="AC147" s="11">
        <v>-0.182155703</v>
      </c>
      <c r="AD147" s="44">
        <v>1</v>
      </c>
      <c r="AE147" s="44"/>
      <c r="AF147" s="11" t="s">
        <v>58</v>
      </c>
      <c r="AG147" s="11"/>
      <c r="AH147" s="11"/>
      <c r="AI147" s="11"/>
      <c r="AJ147" s="11"/>
      <c r="AK147" s="11"/>
      <c r="AL147" s="11"/>
      <c r="AM147" s="11"/>
      <c r="AN147" s="11"/>
      <c r="AO147" s="1"/>
    </row>
    <row r="148" spans="1:41" s="13" customFormat="1" ht="15.95" customHeight="1" x14ac:dyDescent="0.25">
      <c r="A148" s="1">
        <v>72</v>
      </c>
      <c r="B148" s="1" t="s">
        <v>34</v>
      </c>
      <c r="C148" s="11" t="s">
        <v>75</v>
      </c>
      <c r="D148" s="11" t="s">
        <v>333</v>
      </c>
      <c r="E148" s="36" t="s">
        <v>36</v>
      </c>
      <c r="F148" s="14" t="s">
        <v>547</v>
      </c>
      <c r="G148" s="1">
        <v>2007</v>
      </c>
      <c r="H148" s="11" t="s">
        <v>334</v>
      </c>
      <c r="I148" s="204"/>
      <c r="J148" s="204"/>
      <c r="K148" s="221" t="s">
        <v>548</v>
      </c>
      <c r="L148" s="222"/>
      <c r="M148" s="220"/>
      <c r="N148" s="220"/>
      <c r="O148" s="57">
        <v>39</v>
      </c>
      <c r="P148" s="58">
        <v>13.9</v>
      </c>
      <c r="Q148" s="40">
        <v>12</v>
      </c>
      <c r="R148" s="69" t="s">
        <v>117</v>
      </c>
      <c r="S148" s="70"/>
      <c r="T148" s="69"/>
      <c r="U148" s="57">
        <v>41</v>
      </c>
      <c r="V148" s="39">
        <v>11.1</v>
      </c>
      <c r="W148" s="40">
        <v>12</v>
      </c>
      <c r="X148" s="14"/>
      <c r="Y148" s="55">
        <f>(U148-O148)/SQRT((V148^2+P148^2)/2)</f>
        <v>0.15900582349616935</v>
      </c>
      <c r="Z148" s="55"/>
      <c r="AA148" s="14">
        <v>-1</v>
      </c>
      <c r="AB148" s="43">
        <f>((U148-O148)/V148)*AA148 * (1-(3/(4*(Q148+W148-2)-1)))</f>
        <v>-0.17396707051879468</v>
      </c>
      <c r="AC148" s="61"/>
      <c r="AD148" s="44">
        <v>1</v>
      </c>
      <c r="AE148" s="44"/>
      <c r="AF148" s="14"/>
      <c r="AG148" s="14"/>
      <c r="AH148" s="1"/>
      <c r="AI148" s="62"/>
      <c r="AJ148" s="62"/>
      <c r="AK148" s="71">
        <v>1</v>
      </c>
      <c r="AL148" s="71" t="s">
        <v>549</v>
      </c>
      <c r="AM148" s="71" t="s">
        <v>550</v>
      </c>
      <c r="AN148" s="71" t="s">
        <v>118</v>
      </c>
      <c r="AO148" s="1"/>
    </row>
    <row r="149" spans="1:41" s="13" customFormat="1" ht="15.95" customHeight="1" x14ac:dyDescent="0.25">
      <c r="A149" s="1">
        <v>88</v>
      </c>
      <c r="B149" s="1" t="s">
        <v>34</v>
      </c>
      <c r="C149" s="11" t="s">
        <v>75</v>
      </c>
      <c r="D149" s="11" t="s">
        <v>333</v>
      </c>
      <c r="E149" s="36" t="s">
        <v>36</v>
      </c>
      <c r="F149" s="14" t="s">
        <v>547</v>
      </c>
      <c r="G149" s="1">
        <v>2007</v>
      </c>
      <c r="H149" s="11" t="s">
        <v>336</v>
      </c>
      <c r="I149" s="204"/>
      <c r="J149" s="204"/>
      <c r="K149" s="221" t="s">
        <v>417</v>
      </c>
      <c r="L149" s="222"/>
      <c r="M149" s="220"/>
      <c r="N149" s="220"/>
      <c r="O149" s="57">
        <v>21</v>
      </c>
      <c r="P149" s="58">
        <v>11.1</v>
      </c>
      <c r="Q149" s="40">
        <v>12</v>
      </c>
      <c r="R149" s="69" t="s">
        <v>117</v>
      </c>
      <c r="S149" s="70"/>
      <c r="T149" s="69"/>
      <c r="U149" s="57">
        <v>23</v>
      </c>
      <c r="V149" s="39">
        <v>3.8</v>
      </c>
      <c r="W149" s="40">
        <v>12</v>
      </c>
      <c r="X149" s="14"/>
      <c r="Y149" s="55">
        <f>(U149-O149)/SQRT((V149^2+P149^2)/2)</f>
        <v>0.24107761462474395</v>
      </c>
      <c r="Z149" s="55"/>
      <c r="AA149" s="14">
        <v>-1</v>
      </c>
      <c r="AB149" s="43">
        <f>((U149-O149)/V149)*AA149 * (1-(3/(4*(Q149+W149-2)-1)))</f>
        <v>-0.50816696914700543</v>
      </c>
      <c r="AC149" s="61"/>
      <c r="AD149" s="44">
        <v>1</v>
      </c>
      <c r="AE149" s="44"/>
      <c r="AF149" s="14"/>
      <c r="AG149" s="14"/>
      <c r="AH149" s="1"/>
      <c r="AI149" s="62"/>
      <c r="AJ149" s="62"/>
      <c r="AK149" s="71">
        <v>1</v>
      </c>
      <c r="AL149" s="71" t="s">
        <v>549</v>
      </c>
      <c r="AM149" s="71" t="s">
        <v>550</v>
      </c>
      <c r="AN149" s="71" t="s">
        <v>118</v>
      </c>
      <c r="AO149" s="11"/>
    </row>
    <row r="150" spans="1:41" s="13" customFormat="1" ht="15.95" customHeight="1" x14ac:dyDescent="0.25">
      <c r="A150" s="1">
        <v>32</v>
      </c>
      <c r="B150" s="1" t="s">
        <v>34</v>
      </c>
      <c r="C150" s="11" t="s">
        <v>75</v>
      </c>
      <c r="D150" s="11" t="s">
        <v>76</v>
      </c>
      <c r="E150" s="36" t="s">
        <v>36</v>
      </c>
      <c r="F150" s="14" t="s">
        <v>547</v>
      </c>
      <c r="G150" s="1">
        <v>2007</v>
      </c>
      <c r="H150" s="11" t="s">
        <v>551</v>
      </c>
      <c r="I150" s="204"/>
      <c r="J150" s="204"/>
      <c r="K150" s="221" t="s">
        <v>552</v>
      </c>
      <c r="L150" s="223" t="s">
        <v>553</v>
      </c>
      <c r="M150" s="220"/>
      <c r="N150" s="220"/>
      <c r="O150" s="57">
        <v>40</v>
      </c>
      <c r="P150" s="58">
        <v>35</v>
      </c>
      <c r="Q150" s="40">
        <v>12</v>
      </c>
      <c r="R150" s="69" t="s">
        <v>117</v>
      </c>
      <c r="S150" s="70"/>
      <c r="T150" s="69"/>
      <c r="U150" s="57">
        <v>31</v>
      </c>
      <c r="V150" s="39">
        <v>11.9</v>
      </c>
      <c r="W150" s="40">
        <v>12</v>
      </c>
      <c r="X150" s="14"/>
      <c r="Y150" s="55">
        <f>(U150-O150)/SQRT((V150^2+P150^2)/2)</f>
        <v>-0.34429856302523293</v>
      </c>
      <c r="Z150" s="55"/>
      <c r="AA150" s="14">
        <v>1</v>
      </c>
      <c r="AB150" s="43">
        <f>((U150-O150)/V150)*AA150 * (1-(3/(4*(Q150+W150-2)-1)))</f>
        <v>-0.73022312373225151</v>
      </c>
      <c r="AC150" s="61"/>
      <c r="AD150" s="44">
        <v>1</v>
      </c>
      <c r="AE150" s="44"/>
      <c r="AF150" s="14"/>
      <c r="AG150" s="14"/>
      <c r="AH150" s="1"/>
      <c r="AI150" s="62"/>
      <c r="AJ150" s="62"/>
      <c r="AK150" s="71">
        <v>1</v>
      </c>
      <c r="AL150" s="71" t="s">
        <v>549</v>
      </c>
      <c r="AM150" s="71" t="s">
        <v>550</v>
      </c>
      <c r="AN150" s="71" t="s">
        <v>118</v>
      </c>
      <c r="AO150" s="1"/>
    </row>
    <row r="151" spans="1:41" s="13" customFormat="1" ht="15.95" customHeight="1" x14ac:dyDescent="0.25">
      <c r="A151" s="1">
        <v>22</v>
      </c>
      <c r="B151" s="11" t="s">
        <v>34</v>
      </c>
      <c r="C151" s="11" t="s">
        <v>75</v>
      </c>
      <c r="D151" s="11" t="s">
        <v>76</v>
      </c>
      <c r="E151" s="36" t="s">
        <v>36</v>
      </c>
      <c r="F151" s="11" t="s">
        <v>301</v>
      </c>
      <c r="G151" s="11">
        <v>2022</v>
      </c>
      <c r="H151" s="11" t="s">
        <v>571</v>
      </c>
      <c r="I151" s="204"/>
      <c r="J151" s="204"/>
      <c r="K151" s="204" t="s">
        <v>572</v>
      </c>
      <c r="L151" s="207" t="s">
        <v>573</v>
      </c>
      <c r="M151" s="204" t="s">
        <v>444</v>
      </c>
      <c r="N151" s="204"/>
      <c r="O151" s="38">
        <v>10</v>
      </c>
      <c r="P151" s="39">
        <v>3</v>
      </c>
      <c r="Q151" s="40">
        <v>30</v>
      </c>
      <c r="R151" s="41">
        <v>741</v>
      </c>
      <c r="S151" s="39">
        <f>358/1.35</f>
        <v>265.18518518518516</v>
      </c>
      <c r="T151" s="41" t="s">
        <v>574</v>
      </c>
      <c r="U151" s="38">
        <v>12</v>
      </c>
      <c r="V151" s="41">
        <v>3</v>
      </c>
      <c r="W151" s="40">
        <v>54</v>
      </c>
      <c r="X151" s="11">
        <v>54</v>
      </c>
      <c r="Y151" s="11">
        <v>0.48</v>
      </c>
      <c r="Z151" s="11"/>
      <c r="AA151" s="11">
        <v>-1</v>
      </c>
      <c r="AB151" s="43">
        <f>((U151-O151)/V151)*AA151 * (1-(3/(4*(Q151+W151-2)-1)))</f>
        <v>-0.66055045871559637</v>
      </c>
      <c r="AC151" s="11"/>
      <c r="AD151" s="44">
        <v>1</v>
      </c>
      <c r="AE151" s="44"/>
      <c r="AF151" s="11" t="s">
        <v>58</v>
      </c>
      <c r="AG151" s="11"/>
      <c r="AH151" s="11"/>
      <c r="AI151" s="11"/>
      <c r="AJ151" s="11"/>
      <c r="AK151" s="11"/>
      <c r="AL151" s="11"/>
      <c r="AM151" s="11"/>
      <c r="AN151" s="11"/>
      <c r="AO151" s="1"/>
    </row>
    <row r="152" spans="1:41" s="13" customFormat="1" ht="15.95" customHeight="1" x14ac:dyDescent="0.25">
      <c r="A152" s="1">
        <v>35</v>
      </c>
      <c r="B152" s="1" t="s">
        <v>34</v>
      </c>
      <c r="C152" s="11" t="s">
        <v>75</v>
      </c>
      <c r="D152" s="11" t="s">
        <v>76</v>
      </c>
      <c r="E152" s="36" t="s">
        <v>36</v>
      </c>
      <c r="F152" s="14" t="s">
        <v>588</v>
      </c>
      <c r="G152" s="1">
        <v>2015</v>
      </c>
      <c r="H152" s="11" t="s">
        <v>337</v>
      </c>
      <c r="I152" s="204"/>
      <c r="J152" s="204"/>
      <c r="K152" s="221" t="s">
        <v>596</v>
      </c>
      <c r="L152" s="222"/>
      <c r="M152" s="220"/>
      <c r="N152" s="220"/>
      <c r="O152" s="57">
        <v>108.5</v>
      </c>
      <c r="P152" s="58">
        <v>17.82</v>
      </c>
      <c r="Q152" s="40">
        <v>14</v>
      </c>
      <c r="R152" s="69" t="s">
        <v>117</v>
      </c>
      <c r="S152" s="70"/>
      <c r="T152" s="69"/>
      <c r="U152" s="57">
        <v>105.93</v>
      </c>
      <c r="V152" s="39">
        <v>9.73</v>
      </c>
      <c r="W152" s="40">
        <v>14</v>
      </c>
      <c r="X152" s="14"/>
      <c r="Y152" s="55">
        <f>(U152-O152)/SQRT((V152^2+P152^2)/2)</f>
        <v>-0.17901144563596375</v>
      </c>
      <c r="Z152" s="55"/>
      <c r="AA152" s="14">
        <v>1</v>
      </c>
      <c r="AB152" s="43">
        <f>((U152-O152)/V152)*AA152 * (1-(3/(4*(Q152+W152-2)-1)))</f>
        <v>-0.25643839990420908</v>
      </c>
      <c r="AC152" s="61"/>
      <c r="AD152" s="44">
        <v>1</v>
      </c>
      <c r="AE152" s="44"/>
      <c r="AF152" s="14"/>
      <c r="AG152" s="14"/>
      <c r="AH152" s="1"/>
      <c r="AI152" s="62"/>
      <c r="AJ152" s="62"/>
      <c r="AK152" s="71" t="s">
        <v>146</v>
      </c>
      <c r="AL152" s="71" t="s">
        <v>591</v>
      </c>
      <c r="AM152" s="1" t="s">
        <v>69</v>
      </c>
      <c r="AN152" s="71" t="s">
        <v>591</v>
      </c>
      <c r="AO152" s="1"/>
    </row>
    <row r="153" spans="1:41" s="13" customFormat="1" ht="15.95" customHeight="1" x14ac:dyDescent="0.25">
      <c r="A153" s="1">
        <v>36</v>
      </c>
      <c r="B153" s="1" t="s">
        <v>34</v>
      </c>
      <c r="C153" s="11" t="s">
        <v>75</v>
      </c>
      <c r="D153" s="11" t="s">
        <v>76</v>
      </c>
      <c r="E153" s="36" t="s">
        <v>36</v>
      </c>
      <c r="F153" s="14" t="s">
        <v>588</v>
      </c>
      <c r="G153" s="1">
        <v>2015</v>
      </c>
      <c r="H153" s="11" t="s">
        <v>337</v>
      </c>
      <c r="I153" s="204"/>
      <c r="J153" s="204"/>
      <c r="K153" s="221" t="s">
        <v>597</v>
      </c>
      <c r="L153" s="222"/>
      <c r="M153" s="220"/>
      <c r="N153" s="220"/>
      <c r="O153" s="57">
        <v>5.57</v>
      </c>
      <c r="P153" s="58">
        <v>1.1599999999999999</v>
      </c>
      <c r="Q153" s="40">
        <v>14</v>
      </c>
      <c r="R153" s="69" t="s">
        <v>117</v>
      </c>
      <c r="S153" s="70"/>
      <c r="T153" s="69"/>
      <c r="U153" s="57">
        <v>6</v>
      </c>
      <c r="V153" s="39">
        <v>0.1</v>
      </c>
      <c r="W153" s="40">
        <v>14</v>
      </c>
      <c r="X153" s="14"/>
      <c r="Y153" s="55">
        <f>(U153-O153)/SQRT((V153^2+P153^2)/2)</f>
        <v>0.52229717078688032</v>
      </c>
      <c r="Z153" s="55"/>
      <c r="AA153" s="14">
        <v>-1</v>
      </c>
      <c r="AB153" s="43">
        <f>((U153-O153)/V153)*AA153 * (1-(3/(4*(Q153+W153-2)-1)))</f>
        <v>-4.1747572815533953</v>
      </c>
      <c r="AC153" s="61"/>
      <c r="AD153" s="44">
        <v>1</v>
      </c>
      <c r="AE153" s="44"/>
      <c r="AF153" s="14"/>
      <c r="AG153" s="14"/>
      <c r="AH153" s="1"/>
      <c r="AI153" s="62"/>
      <c r="AJ153" s="62"/>
      <c r="AK153" s="71" t="s">
        <v>146</v>
      </c>
      <c r="AL153" s="71" t="s">
        <v>591</v>
      </c>
      <c r="AM153" s="1" t="s">
        <v>69</v>
      </c>
      <c r="AN153" s="71" t="s">
        <v>591</v>
      </c>
      <c r="AO153" s="1"/>
    </row>
    <row r="154" spans="1:41" s="13" customFormat="1" ht="15.95" customHeight="1" x14ac:dyDescent="0.25">
      <c r="A154" s="1">
        <v>19</v>
      </c>
      <c r="B154" s="1" t="s">
        <v>34</v>
      </c>
      <c r="C154" s="11" t="s">
        <v>75</v>
      </c>
      <c r="D154" s="11" t="s">
        <v>76</v>
      </c>
      <c r="E154" s="36" t="s">
        <v>36</v>
      </c>
      <c r="F154" s="11" t="s">
        <v>148</v>
      </c>
      <c r="G154" s="1">
        <v>2017</v>
      </c>
      <c r="H154" s="63" t="s">
        <v>331</v>
      </c>
      <c r="I154" s="203"/>
      <c r="J154" s="203"/>
      <c r="K154" s="221" t="s">
        <v>602</v>
      </c>
      <c r="L154" s="222"/>
      <c r="M154" s="220"/>
      <c r="N154" s="220"/>
      <c r="O154" s="57">
        <v>37.299999999999997</v>
      </c>
      <c r="P154" s="58">
        <v>11.3</v>
      </c>
      <c r="Q154" s="40">
        <v>37</v>
      </c>
      <c r="R154" s="59">
        <v>720</v>
      </c>
      <c r="S154" s="60"/>
      <c r="T154" s="59"/>
      <c r="U154" s="57">
        <v>27.1</v>
      </c>
      <c r="V154" s="39">
        <v>10.199999999999999</v>
      </c>
      <c r="W154" s="40">
        <v>30</v>
      </c>
      <c r="X154" s="14"/>
      <c r="Y154" s="55">
        <f>(U154-O154)/SQRT((V154^2+P154^2)/2)</f>
        <v>-0.94759778911230153</v>
      </c>
      <c r="Z154" s="55"/>
      <c r="AA154" s="14">
        <v>1</v>
      </c>
      <c r="AB154" s="43">
        <f>((U154-O154)/V154)*AA154 * (1-(3/(4*(Q154+W154-2)-1)))</f>
        <v>-0.98841698841698811</v>
      </c>
      <c r="AC154" s="61"/>
      <c r="AD154" s="44">
        <v>1</v>
      </c>
      <c r="AE154" s="44"/>
      <c r="AF154" s="14"/>
      <c r="AG154" s="14"/>
      <c r="AH154" s="1"/>
      <c r="AI154" s="1"/>
      <c r="AJ154" s="1"/>
      <c r="AK154" s="14">
        <v>1</v>
      </c>
      <c r="AL154" s="14" t="s">
        <v>116</v>
      </c>
      <c r="AM154" s="1" t="s">
        <v>69</v>
      </c>
      <c r="AN154" s="14" t="s">
        <v>118</v>
      </c>
      <c r="AO154" s="1"/>
    </row>
    <row r="155" spans="1:41" s="13" customFormat="1" ht="15.95" customHeight="1" x14ac:dyDescent="0.25">
      <c r="A155" s="1">
        <v>73</v>
      </c>
      <c r="B155" s="1" t="s">
        <v>34</v>
      </c>
      <c r="C155" s="11" t="s">
        <v>75</v>
      </c>
      <c r="D155" s="11" t="s">
        <v>333</v>
      </c>
      <c r="E155" s="36" t="s">
        <v>36</v>
      </c>
      <c r="F155" s="11" t="s">
        <v>148</v>
      </c>
      <c r="G155" s="1">
        <v>2017</v>
      </c>
      <c r="H155" s="11" t="s">
        <v>334</v>
      </c>
      <c r="I155" s="204"/>
      <c r="J155" s="204"/>
      <c r="K155" s="221" t="s">
        <v>411</v>
      </c>
      <c r="L155" s="222"/>
      <c r="M155" s="220"/>
      <c r="N155" s="220"/>
      <c r="O155" s="57">
        <v>35.9</v>
      </c>
      <c r="P155" s="58">
        <v>11.4</v>
      </c>
      <c r="Q155" s="40">
        <v>37</v>
      </c>
      <c r="R155" s="59">
        <v>720</v>
      </c>
      <c r="S155" s="60"/>
      <c r="T155" s="59"/>
      <c r="U155" s="57">
        <v>41.8</v>
      </c>
      <c r="V155" s="39">
        <v>12.9</v>
      </c>
      <c r="W155" s="40">
        <v>30</v>
      </c>
      <c r="X155" s="14"/>
      <c r="Y155" s="55">
        <f>(U155-O155)/SQRT((V155^2+P155^2)/2)</f>
        <v>0.4846741857884948</v>
      </c>
      <c r="Z155" s="55"/>
      <c r="AA155" s="14">
        <v>-1</v>
      </c>
      <c r="AB155" s="43">
        <f>((U155-O155)/V155)*AA155 * (1-(3/(4*(Q155+W155-2)-1)))</f>
        <v>-0.45206668462482402</v>
      </c>
      <c r="AC155" s="61"/>
      <c r="AD155" s="44">
        <v>1</v>
      </c>
      <c r="AE155" s="44"/>
      <c r="AF155" s="14"/>
      <c r="AG155" s="14"/>
      <c r="AH155" s="1"/>
      <c r="AI155" s="62"/>
      <c r="AJ155" s="62"/>
      <c r="AK155" s="14">
        <v>1</v>
      </c>
      <c r="AL155" s="14" t="s">
        <v>116</v>
      </c>
      <c r="AM155" s="1" t="s">
        <v>69</v>
      </c>
      <c r="AN155" s="14" t="s">
        <v>118</v>
      </c>
      <c r="AO155" s="1"/>
    </row>
    <row r="156" spans="1:41" s="13" customFormat="1" ht="15.95" customHeight="1" x14ac:dyDescent="0.25">
      <c r="A156" s="1">
        <v>100</v>
      </c>
      <c r="B156" s="1" t="s">
        <v>34</v>
      </c>
      <c r="C156" s="11" t="s">
        <v>75</v>
      </c>
      <c r="D156" s="11" t="s">
        <v>333</v>
      </c>
      <c r="E156" s="36" t="s">
        <v>36</v>
      </c>
      <c r="F156" s="11" t="s">
        <v>148</v>
      </c>
      <c r="G156" s="1">
        <v>2017</v>
      </c>
      <c r="H156" s="11" t="s">
        <v>620</v>
      </c>
      <c r="I156" s="204"/>
      <c r="J156" s="204"/>
      <c r="K156" s="221" t="s">
        <v>417</v>
      </c>
      <c r="L156" s="222"/>
      <c r="M156" s="220"/>
      <c r="N156" s="220"/>
      <c r="O156" s="57">
        <v>21.4</v>
      </c>
      <c r="P156" s="58">
        <v>6.2</v>
      </c>
      <c r="Q156" s="40">
        <v>37</v>
      </c>
      <c r="R156" s="59">
        <v>720</v>
      </c>
      <c r="S156" s="60"/>
      <c r="T156" s="59"/>
      <c r="U156" s="57">
        <v>25</v>
      </c>
      <c r="V156" s="39">
        <v>5</v>
      </c>
      <c r="W156" s="40">
        <v>30</v>
      </c>
      <c r="X156" s="14"/>
      <c r="Y156" s="55">
        <f>(U156-O156)/SQRT((V156^2+P156^2)/2)</f>
        <v>0.63919874180559166</v>
      </c>
      <c r="Z156" s="55"/>
      <c r="AA156" s="14">
        <v>-1</v>
      </c>
      <c r="AB156" s="43">
        <f>((U156-O156)/V156)*AA156 * (1-(3/(4*(Q156+W156-2)-1)))</f>
        <v>-0.71166023166023196</v>
      </c>
      <c r="AC156" s="61"/>
      <c r="AD156" s="44">
        <v>1</v>
      </c>
      <c r="AE156" s="44"/>
      <c r="AF156" s="14"/>
      <c r="AG156" s="14"/>
      <c r="AH156" s="1"/>
      <c r="AI156" s="62"/>
      <c r="AJ156" s="62"/>
      <c r="AK156" s="14">
        <v>1</v>
      </c>
      <c r="AL156" s="14" t="s">
        <v>116</v>
      </c>
      <c r="AM156" s="1" t="s">
        <v>69</v>
      </c>
      <c r="AN156" s="14" t="s">
        <v>118</v>
      </c>
      <c r="AO156" s="1"/>
    </row>
    <row r="157" spans="1:41" s="13" customFormat="1" ht="15.95" customHeight="1" x14ac:dyDescent="0.25">
      <c r="A157" s="1">
        <v>33</v>
      </c>
      <c r="B157" s="1" t="s">
        <v>34</v>
      </c>
      <c r="C157" s="11" t="s">
        <v>75</v>
      </c>
      <c r="D157" s="11" t="s">
        <v>76</v>
      </c>
      <c r="E157" s="36" t="s">
        <v>36</v>
      </c>
      <c r="F157" s="11" t="s">
        <v>148</v>
      </c>
      <c r="G157" s="1">
        <v>2017</v>
      </c>
      <c r="H157" s="11" t="s">
        <v>551</v>
      </c>
      <c r="I157" s="204"/>
      <c r="J157" s="204"/>
      <c r="K157" s="221" t="s">
        <v>552</v>
      </c>
      <c r="L157" s="222"/>
      <c r="M157" s="220" t="s">
        <v>625</v>
      </c>
      <c r="N157" s="220"/>
      <c r="O157" s="57">
        <v>19</v>
      </c>
      <c r="P157" s="58">
        <v>10.8</v>
      </c>
      <c r="Q157" s="40">
        <v>37</v>
      </c>
      <c r="R157" s="59">
        <v>720</v>
      </c>
      <c r="S157" s="60"/>
      <c r="T157" s="59"/>
      <c r="U157" s="57">
        <v>20.7</v>
      </c>
      <c r="V157" s="39">
        <v>13.3</v>
      </c>
      <c r="W157" s="40">
        <v>30</v>
      </c>
      <c r="X157" s="14"/>
      <c r="Y157" s="55">
        <f>(U157-O157)/SQRT((V157^2+P157^2)/2)</f>
        <v>0.14032584688474611</v>
      </c>
      <c r="Z157" s="55"/>
      <c r="AA157" s="14">
        <v>1</v>
      </c>
      <c r="AB157" s="43">
        <f>((U157-O157)/V157)*AA157 * (1-(3/(4*(Q157+W157-2)-1)))</f>
        <v>0.12633901355705862</v>
      </c>
      <c r="AC157" s="43">
        <f>((V157-P157)/W157)*AB157 * (1-(3/(4*(R157+X157-2)-1)))</f>
        <v>1.0517249822409269E-2</v>
      </c>
      <c r="AD157" s="44">
        <v>1</v>
      </c>
      <c r="AE157" s="44"/>
      <c r="AF157" s="14"/>
      <c r="AG157" s="14"/>
      <c r="AH157" s="1"/>
      <c r="AI157" s="62"/>
      <c r="AJ157" s="62"/>
      <c r="AK157" s="14">
        <v>1</v>
      </c>
      <c r="AL157" s="14" t="s">
        <v>116</v>
      </c>
      <c r="AM157" s="1" t="s">
        <v>69</v>
      </c>
      <c r="AN157" s="14" t="s">
        <v>118</v>
      </c>
      <c r="AO157" s="1"/>
    </row>
    <row r="158" spans="1:41" s="13" customFormat="1" ht="15.95" customHeight="1" x14ac:dyDescent="0.25">
      <c r="A158" s="1">
        <v>37</v>
      </c>
      <c r="B158" s="1" t="s">
        <v>34</v>
      </c>
      <c r="C158" s="11" t="s">
        <v>75</v>
      </c>
      <c r="D158" s="11" t="s">
        <v>76</v>
      </c>
      <c r="E158" s="36" t="s">
        <v>36</v>
      </c>
      <c r="F158" s="72" t="s">
        <v>148</v>
      </c>
      <c r="G158" s="1">
        <v>2017</v>
      </c>
      <c r="H158" s="11" t="s">
        <v>337</v>
      </c>
      <c r="I158" s="204"/>
      <c r="J158" s="204"/>
      <c r="K158" s="221" t="s">
        <v>597</v>
      </c>
      <c r="L158" s="222"/>
      <c r="M158" s="220"/>
      <c r="N158" s="220"/>
      <c r="O158" s="57">
        <v>3.9</v>
      </c>
      <c r="P158" s="58">
        <v>1.2</v>
      </c>
      <c r="Q158" s="40">
        <v>37</v>
      </c>
      <c r="R158" s="59">
        <v>720</v>
      </c>
      <c r="S158" s="60"/>
      <c r="T158" s="59"/>
      <c r="U158" s="57">
        <v>4.4000000000000004</v>
      </c>
      <c r="V158" s="39">
        <v>0.9</v>
      </c>
      <c r="W158" s="40">
        <v>30</v>
      </c>
      <c r="X158" s="14"/>
      <c r="Y158" s="55">
        <f>(U158-O158)/SQRT((V158^2+P158^2)/2)</f>
        <v>0.47140452079103212</v>
      </c>
      <c r="Z158" s="55"/>
      <c r="AA158" s="14">
        <v>-1</v>
      </c>
      <c r="AB158" s="43">
        <f>((U158-O158)/V158)*AA158 * (1-(3/(4*(Q158+W158-2)-1)))</f>
        <v>-0.54912054912054964</v>
      </c>
      <c r="AC158" s="61"/>
      <c r="AD158" s="44">
        <v>1</v>
      </c>
      <c r="AE158" s="44"/>
      <c r="AF158" s="14"/>
      <c r="AG158" s="14"/>
      <c r="AH158" s="1"/>
      <c r="AI158" s="62"/>
      <c r="AJ158" s="62"/>
      <c r="AK158" s="14">
        <v>1</v>
      </c>
      <c r="AL158" s="14" t="s">
        <v>116</v>
      </c>
      <c r="AM158" s="1" t="s">
        <v>69</v>
      </c>
      <c r="AN158" s="14" t="s">
        <v>118</v>
      </c>
      <c r="AO158" s="1"/>
    </row>
    <row r="159" spans="1:41" s="13" customFormat="1" ht="15.95" customHeight="1" x14ac:dyDescent="0.25">
      <c r="A159" s="1">
        <v>38</v>
      </c>
      <c r="B159" s="1" t="s">
        <v>34</v>
      </c>
      <c r="C159" s="11" t="s">
        <v>75</v>
      </c>
      <c r="D159" s="11" t="s">
        <v>76</v>
      </c>
      <c r="E159" s="36" t="s">
        <v>36</v>
      </c>
      <c r="F159" s="72" t="s">
        <v>148</v>
      </c>
      <c r="G159" s="1">
        <v>2017</v>
      </c>
      <c r="H159" s="11" t="s">
        <v>337</v>
      </c>
      <c r="I159" s="204"/>
      <c r="J159" s="204"/>
      <c r="K159" s="210" t="s">
        <v>642</v>
      </c>
      <c r="L159" s="220"/>
      <c r="M159" s="220"/>
      <c r="N159" s="220"/>
      <c r="O159" s="57">
        <v>8.1</v>
      </c>
      <c r="P159" s="58">
        <v>5.0999999999999996</v>
      </c>
      <c r="Q159" s="40">
        <v>37</v>
      </c>
      <c r="R159" s="59">
        <v>720</v>
      </c>
      <c r="S159" s="60"/>
      <c r="T159" s="59"/>
      <c r="U159" s="57">
        <v>6.8</v>
      </c>
      <c r="V159" s="39">
        <v>4.4000000000000004</v>
      </c>
      <c r="W159" s="40">
        <v>30</v>
      </c>
      <c r="X159" s="14"/>
      <c r="Y159" s="55">
        <f>(U159-O159)/SQRT((V159^2+P159^2)/2)</f>
        <v>-0.2729442568277331</v>
      </c>
      <c r="Z159" s="55"/>
      <c r="AA159" s="14">
        <v>1</v>
      </c>
      <c r="AB159" s="43">
        <f>((U159-O159)/V159)*AA159 * (1-(3/(4*(Q159+W159-2)-1)))</f>
        <v>-0.29203229203229197</v>
      </c>
      <c r="AC159" s="61"/>
      <c r="AD159" s="44">
        <v>1</v>
      </c>
      <c r="AE159" s="44"/>
      <c r="AF159" s="14"/>
      <c r="AG159" s="14"/>
      <c r="AH159" s="1"/>
      <c r="AI159" s="62"/>
      <c r="AJ159" s="62"/>
      <c r="AK159" s="71">
        <v>3</v>
      </c>
      <c r="AL159" s="14" t="s">
        <v>116</v>
      </c>
      <c r="AM159" s="1" t="s">
        <v>69</v>
      </c>
      <c r="AN159" s="14" t="s">
        <v>118</v>
      </c>
      <c r="AO159" s="1"/>
    </row>
    <row r="160" spans="1:41" s="13" customFormat="1" ht="15.95" customHeight="1" x14ac:dyDescent="0.25">
      <c r="A160" s="1">
        <v>74</v>
      </c>
      <c r="B160" s="1" t="s">
        <v>34</v>
      </c>
      <c r="C160" s="11" t="s">
        <v>75</v>
      </c>
      <c r="D160" s="11" t="s">
        <v>333</v>
      </c>
      <c r="E160" s="36" t="s">
        <v>36</v>
      </c>
      <c r="F160" s="14" t="s">
        <v>670</v>
      </c>
      <c r="G160" s="1">
        <v>2021</v>
      </c>
      <c r="H160" s="11" t="s">
        <v>334</v>
      </c>
      <c r="I160" s="204"/>
      <c r="J160" s="204"/>
      <c r="K160" s="221" t="s">
        <v>548</v>
      </c>
      <c r="L160" s="222"/>
      <c r="M160" s="220"/>
      <c r="N160" s="220"/>
      <c r="O160" s="57">
        <v>16</v>
      </c>
      <c r="P160" s="58">
        <v>8</v>
      </c>
      <c r="Q160" s="40">
        <v>19</v>
      </c>
      <c r="R160" s="59">
        <v>890</v>
      </c>
      <c r="S160" s="60"/>
      <c r="T160" s="59"/>
      <c r="U160" s="57">
        <v>21</v>
      </c>
      <c r="V160" s="39">
        <v>2.36</v>
      </c>
      <c r="W160" s="40">
        <v>25</v>
      </c>
      <c r="X160" s="14"/>
      <c r="Y160" s="55">
        <f>(U160-O160)/SQRT((V160^2+P160^2)/2)</f>
        <v>0.84776454372811505</v>
      </c>
      <c r="Z160" s="55"/>
      <c r="AA160" s="14">
        <v>-1</v>
      </c>
      <c r="AB160" s="43">
        <f>((U160-O160)/V160)*AA160 * (1-(3/(4*(Q160+W160-2)-1)))</f>
        <v>-2.0805845935248146</v>
      </c>
      <c r="AC160" s="61"/>
      <c r="AD160" s="44">
        <v>1</v>
      </c>
      <c r="AE160" s="44"/>
      <c r="AF160" s="14"/>
      <c r="AG160" s="14"/>
      <c r="AH160" s="1"/>
      <c r="AI160" s="62"/>
      <c r="AJ160" s="62"/>
      <c r="AK160" s="14">
        <v>2</v>
      </c>
      <c r="AL160" s="14"/>
      <c r="AM160" s="1" t="s">
        <v>69</v>
      </c>
      <c r="AN160" s="14" t="s">
        <v>68</v>
      </c>
      <c r="AO160" s="1"/>
    </row>
    <row r="161" spans="1:41" s="13" customFormat="1" ht="15.95" customHeight="1" x14ac:dyDescent="0.25">
      <c r="A161" s="1">
        <v>89</v>
      </c>
      <c r="B161" s="1" t="s">
        <v>34</v>
      </c>
      <c r="C161" s="11" t="s">
        <v>75</v>
      </c>
      <c r="D161" s="11" t="s">
        <v>333</v>
      </c>
      <c r="E161" s="36" t="s">
        <v>36</v>
      </c>
      <c r="F161" s="14" t="s">
        <v>670</v>
      </c>
      <c r="G161" s="1">
        <v>2021</v>
      </c>
      <c r="H161" s="11" t="s">
        <v>336</v>
      </c>
      <c r="I161" s="204"/>
      <c r="J161" s="204"/>
      <c r="K161" s="221" t="s">
        <v>417</v>
      </c>
      <c r="L161" s="222"/>
      <c r="M161" s="220"/>
      <c r="N161" s="220"/>
      <c r="O161" s="57">
        <v>25</v>
      </c>
      <c r="P161" s="58">
        <v>9.61</v>
      </c>
      <c r="Q161" s="40">
        <v>19</v>
      </c>
      <c r="R161" s="59">
        <v>890</v>
      </c>
      <c r="S161" s="60"/>
      <c r="T161" s="59"/>
      <c r="U161" s="57">
        <v>34</v>
      </c>
      <c r="V161" s="39">
        <v>4.72</v>
      </c>
      <c r="W161" s="40">
        <v>25</v>
      </c>
      <c r="X161" s="14"/>
      <c r="Y161" s="55">
        <f>(U161-O161)/SQRT((V161^2+P161^2)/2)</f>
        <v>1.188796215635006</v>
      </c>
      <c r="Z161" s="55"/>
      <c r="AA161" s="14">
        <v>-1</v>
      </c>
      <c r="AB161" s="43">
        <f>((U161-O161)/V161)*AA161 * (1-(3/(4*(Q161+W161-2)-1)))</f>
        <v>-1.8725261341723332</v>
      </c>
      <c r="AC161" s="61"/>
      <c r="AD161" s="44">
        <v>1</v>
      </c>
      <c r="AE161" s="44"/>
      <c r="AF161" s="14"/>
      <c r="AG161" s="14"/>
      <c r="AH161" s="1"/>
      <c r="AI161" s="62"/>
      <c r="AJ161" s="62"/>
      <c r="AK161" s="14">
        <v>2</v>
      </c>
      <c r="AL161" s="14"/>
      <c r="AM161" s="1" t="s">
        <v>69</v>
      </c>
      <c r="AN161" s="14" t="s">
        <v>68</v>
      </c>
      <c r="AO161" s="1"/>
    </row>
    <row r="162" spans="1:41" s="13" customFormat="1" ht="15.95" customHeight="1" x14ac:dyDescent="0.25">
      <c r="A162" s="1">
        <v>29</v>
      </c>
      <c r="B162" s="1" t="s">
        <v>34</v>
      </c>
      <c r="C162" s="11" t="s">
        <v>75</v>
      </c>
      <c r="D162" s="11" t="s">
        <v>76</v>
      </c>
      <c r="E162" s="36" t="s">
        <v>36</v>
      </c>
      <c r="F162" s="14" t="s">
        <v>670</v>
      </c>
      <c r="G162" s="1">
        <v>2021</v>
      </c>
      <c r="H162" s="11" t="s">
        <v>394</v>
      </c>
      <c r="I162" s="204"/>
      <c r="J162" s="204"/>
      <c r="K162" s="224" t="s">
        <v>678</v>
      </c>
      <c r="L162" s="223"/>
      <c r="M162" s="220"/>
      <c r="N162" s="220"/>
      <c r="O162" s="57">
        <v>70</v>
      </c>
      <c r="P162" s="58">
        <v>25.63</v>
      </c>
      <c r="Q162" s="40">
        <v>19</v>
      </c>
      <c r="R162" s="59">
        <v>890</v>
      </c>
      <c r="S162" s="60"/>
      <c r="T162" s="59"/>
      <c r="U162" s="57">
        <v>41</v>
      </c>
      <c r="V162" s="39">
        <v>11</v>
      </c>
      <c r="W162" s="40">
        <v>25</v>
      </c>
      <c r="X162" s="14"/>
      <c r="Y162" s="55">
        <f>(U162-O162)/SQRT((V162^2+P162^2)/2)</f>
        <v>-1.4704558021341929</v>
      </c>
      <c r="Z162" s="55"/>
      <c r="AA162" s="14">
        <v>1</v>
      </c>
      <c r="AB162" s="43">
        <f>((U162-O162)/V162)*AA162 * (1-(3/(4*(Q162+W162-2)-1)))</f>
        <v>-2.5890038105606967</v>
      </c>
      <c r="AC162" s="61"/>
      <c r="AD162" s="44">
        <v>1</v>
      </c>
      <c r="AE162" s="44"/>
      <c r="AF162" s="14"/>
      <c r="AG162" s="14"/>
      <c r="AH162" s="1"/>
      <c r="AI162" s="62"/>
      <c r="AJ162" s="62"/>
      <c r="AK162" s="14">
        <v>2</v>
      </c>
      <c r="AL162" s="14"/>
      <c r="AM162" s="1" t="s">
        <v>69</v>
      </c>
      <c r="AN162" s="14" t="s">
        <v>68</v>
      </c>
      <c r="AO162" s="1"/>
    </row>
    <row r="163" spans="1:41" s="13" customFormat="1" ht="15.95" customHeight="1" x14ac:dyDescent="0.25">
      <c r="A163" s="1">
        <v>39</v>
      </c>
      <c r="B163" s="1" t="s">
        <v>34</v>
      </c>
      <c r="C163" s="11" t="s">
        <v>75</v>
      </c>
      <c r="D163" s="11" t="s">
        <v>76</v>
      </c>
      <c r="E163" s="36" t="s">
        <v>36</v>
      </c>
      <c r="F163" s="14" t="s">
        <v>680</v>
      </c>
      <c r="G163" s="1">
        <v>2017</v>
      </c>
      <c r="H163" s="11" t="s">
        <v>337</v>
      </c>
      <c r="I163" s="204"/>
      <c r="J163" s="204"/>
      <c r="K163" s="210" t="s">
        <v>642</v>
      </c>
      <c r="L163" s="220"/>
      <c r="M163" s="220"/>
      <c r="N163" s="220"/>
      <c r="O163" s="57">
        <v>21</v>
      </c>
      <c r="P163" s="58">
        <v>32</v>
      </c>
      <c r="Q163" s="40">
        <v>25</v>
      </c>
      <c r="R163" s="59">
        <v>1332</v>
      </c>
      <c r="S163" s="60"/>
      <c r="T163" s="59"/>
      <c r="U163" s="57">
        <v>12</v>
      </c>
      <c r="V163" s="39">
        <v>9</v>
      </c>
      <c r="W163" s="40">
        <v>15</v>
      </c>
      <c r="X163" s="14"/>
      <c r="Y163" s="55">
        <f>(U163-O163)/SQRT((V163^2+P163^2)/2)</f>
        <v>-0.38289206683036531</v>
      </c>
      <c r="Z163" s="55"/>
      <c r="AA163" s="14">
        <v>1</v>
      </c>
      <c r="AB163" s="43">
        <f>((U163-O163)/V163)*AA163 * (1-(3/(4*(Q163+W163-2)-1)))</f>
        <v>-0.98013245033112584</v>
      </c>
      <c r="AC163" s="61"/>
      <c r="AD163" s="44">
        <v>1</v>
      </c>
      <c r="AE163" s="44"/>
      <c r="AF163" s="14"/>
      <c r="AG163" s="14"/>
      <c r="AH163" s="1"/>
      <c r="AI163" s="62"/>
      <c r="AJ163" s="62"/>
      <c r="AK163" s="14">
        <v>1</v>
      </c>
      <c r="AL163" s="14" t="s">
        <v>116</v>
      </c>
      <c r="AM163" s="1" t="s">
        <v>69</v>
      </c>
      <c r="AN163" s="14" t="s">
        <v>118</v>
      </c>
      <c r="AO163" s="1"/>
    </row>
    <row r="164" spans="1:41" s="13" customFormat="1" ht="15.95" customHeight="1" x14ac:dyDescent="0.25">
      <c r="A164" s="1">
        <v>20</v>
      </c>
      <c r="B164" s="1" t="s">
        <v>34</v>
      </c>
      <c r="C164" s="11" t="s">
        <v>75</v>
      </c>
      <c r="D164" s="11" t="s">
        <v>76</v>
      </c>
      <c r="E164" s="36" t="s">
        <v>36</v>
      </c>
      <c r="F164" s="11" t="s">
        <v>228</v>
      </c>
      <c r="G164" s="1">
        <v>2020</v>
      </c>
      <c r="H164" s="63" t="s">
        <v>331</v>
      </c>
      <c r="I164" s="203"/>
      <c r="J164" s="203"/>
      <c r="K164" s="221" t="s">
        <v>602</v>
      </c>
      <c r="L164" s="222"/>
      <c r="M164" s="220"/>
      <c r="N164" s="220"/>
      <c r="O164" s="57">
        <v>41.6</v>
      </c>
      <c r="P164" s="58">
        <v>12</v>
      </c>
      <c r="Q164" s="40">
        <v>19</v>
      </c>
      <c r="R164" s="59">
        <v>1042</v>
      </c>
      <c r="S164" s="60"/>
      <c r="T164" s="59"/>
      <c r="U164" s="57">
        <v>39.4</v>
      </c>
      <c r="V164" s="39">
        <v>9.1</v>
      </c>
      <c r="W164" s="40">
        <v>19</v>
      </c>
      <c r="X164" s="1"/>
      <c r="Y164" s="55">
        <f>(U164-O164)/SQRT((V164^2+P164^2)/2)</f>
        <v>-0.20658870789239581</v>
      </c>
      <c r="Z164" s="55"/>
      <c r="AA164" s="14">
        <v>1</v>
      </c>
      <c r="AB164" s="43">
        <f>((U164-O164)/V164)*AA164 * (1-(3/(4*(Q164+W164-2)-1)))</f>
        <v>-0.23668639053254473</v>
      </c>
      <c r="AC164" s="61"/>
      <c r="AD164" s="44">
        <v>1</v>
      </c>
      <c r="AE164" s="44"/>
      <c r="AF164" s="14"/>
      <c r="AG164" s="14"/>
      <c r="AH164" s="1"/>
      <c r="AI164" s="1"/>
      <c r="AJ164" s="1"/>
      <c r="AK164" s="14">
        <v>1</v>
      </c>
      <c r="AL164" s="14" t="s">
        <v>116</v>
      </c>
      <c r="AM164" s="1" t="s">
        <v>69</v>
      </c>
      <c r="AN164" s="14" t="s">
        <v>118</v>
      </c>
    </row>
    <row r="165" spans="1:41" s="13" customFormat="1" ht="15.95" customHeight="1" x14ac:dyDescent="0.25">
      <c r="A165" s="1">
        <v>75</v>
      </c>
      <c r="B165" s="1" t="s">
        <v>34</v>
      </c>
      <c r="C165" s="11" t="s">
        <v>75</v>
      </c>
      <c r="D165" s="11" t="s">
        <v>333</v>
      </c>
      <c r="E165" s="36" t="s">
        <v>36</v>
      </c>
      <c r="F165" s="11" t="s">
        <v>228</v>
      </c>
      <c r="G165" s="1">
        <v>2020</v>
      </c>
      <c r="H165" s="11" t="s">
        <v>334</v>
      </c>
      <c r="I165" s="204"/>
      <c r="J165" s="204"/>
      <c r="K165" s="221" t="s">
        <v>411</v>
      </c>
      <c r="L165" s="222"/>
      <c r="M165" s="220"/>
      <c r="N165" s="220"/>
      <c r="O165" s="57">
        <v>39</v>
      </c>
      <c r="P165" s="58">
        <v>11</v>
      </c>
      <c r="Q165" s="40">
        <v>19</v>
      </c>
      <c r="R165" s="59">
        <v>1042</v>
      </c>
      <c r="S165" s="60"/>
      <c r="T165" s="59"/>
      <c r="U165" s="57">
        <v>47.5</v>
      </c>
      <c r="V165" s="39">
        <v>9.3000000000000007</v>
      </c>
      <c r="W165" s="40">
        <v>19</v>
      </c>
      <c r="X165" s="1"/>
      <c r="Y165" s="55">
        <f>(U165-O165)/SQRT((V165^2+P165^2)/2)</f>
        <v>0.83451728833808958</v>
      </c>
      <c r="Z165" s="55"/>
      <c r="AA165" s="14">
        <v>-1</v>
      </c>
      <c r="AB165" s="43">
        <f>((U165-O165)/V165)*AA165 * (1-(3/(4*(Q165+W165-2)-1)))</f>
        <v>-0.89480412061057224</v>
      </c>
      <c r="AC165" s="61"/>
      <c r="AD165" s="44">
        <v>1</v>
      </c>
      <c r="AE165" s="44"/>
      <c r="AF165" s="14"/>
      <c r="AG165" s="14"/>
      <c r="AH165" s="1"/>
      <c r="AI165" s="62"/>
      <c r="AJ165" s="62"/>
      <c r="AK165" s="14">
        <v>1</v>
      </c>
      <c r="AL165" s="14" t="s">
        <v>116</v>
      </c>
      <c r="AM165" s="1" t="s">
        <v>69</v>
      </c>
      <c r="AN165" s="14" t="s">
        <v>118</v>
      </c>
      <c r="AO165" s="1"/>
    </row>
    <row r="166" spans="1:41" s="13" customFormat="1" ht="15.95" customHeight="1" x14ac:dyDescent="0.25">
      <c r="A166" s="1">
        <v>101</v>
      </c>
      <c r="B166" s="1" t="s">
        <v>34</v>
      </c>
      <c r="C166" s="11" t="s">
        <v>75</v>
      </c>
      <c r="D166" s="11" t="s">
        <v>333</v>
      </c>
      <c r="E166" s="36" t="s">
        <v>36</v>
      </c>
      <c r="F166" s="11" t="s">
        <v>228</v>
      </c>
      <c r="G166" s="1">
        <v>2020</v>
      </c>
      <c r="H166" s="11" t="s">
        <v>620</v>
      </c>
      <c r="I166" s="204"/>
      <c r="J166" s="204"/>
      <c r="K166" s="221" t="s">
        <v>417</v>
      </c>
      <c r="L166" s="222"/>
      <c r="M166" s="220"/>
      <c r="N166" s="220"/>
      <c r="O166" s="57">
        <v>20.100000000000001</v>
      </c>
      <c r="P166" s="58">
        <v>4.8</v>
      </c>
      <c r="Q166" s="40">
        <v>19</v>
      </c>
      <c r="R166" s="59">
        <v>1042</v>
      </c>
      <c r="S166" s="60"/>
      <c r="T166" s="59"/>
      <c r="U166" s="57">
        <v>23.5</v>
      </c>
      <c r="V166" s="39">
        <v>3.6</v>
      </c>
      <c r="W166" s="40">
        <v>19</v>
      </c>
      <c r="X166" s="1"/>
      <c r="Y166" s="55">
        <f>(U166-O166)/SQRT((V166^2+P166^2)/2)</f>
        <v>0.80138768534475358</v>
      </c>
      <c r="Z166" s="55"/>
      <c r="AA166" s="14">
        <v>-1</v>
      </c>
      <c r="AB166" s="43">
        <f>((U166-O166)/V166)*AA166 * (1-(3/(4*(Q166+W166-2)-1)))</f>
        <v>-0.92463092463092422</v>
      </c>
      <c r="AC166" s="61"/>
      <c r="AD166" s="44">
        <v>1</v>
      </c>
      <c r="AE166" s="44"/>
      <c r="AF166" s="14"/>
      <c r="AG166" s="14"/>
      <c r="AH166" s="1"/>
      <c r="AI166" s="62"/>
      <c r="AJ166" s="62"/>
      <c r="AK166" s="14">
        <v>1</v>
      </c>
      <c r="AL166" s="14" t="s">
        <v>116</v>
      </c>
      <c r="AM166" s="1" t="s">
        <v>69</v>
      </c>
      <c r="AN166" s="14" t="s">
        <v>118</v>
      </c>
      <c r="AO166" s="1"/>
    </row>
    <row r="167" spans="1:41" s="13" customFormat="1" ht="15.95" customHeight="1" x14ac:dyDescent="0.25">
      <c r="A167" s="1">
        <v>30</v>
      </c>
      <c r="B167" s="1" t="s">
        <v>34</v>
      </c>
      <c r="C167" s="11" t="s">
        <v>75</v>
      </c>
      <c r="D167" s="11" t="s">
        <v>76</v>
      </c>
      <c r="E167" s="36" t="s">
        <v>36</v>
      </c>
      <c r="F167" s="11" t="s">
        <v>228</v>
      </c>
      <c r="G167" s="1">
        <v>2020</v>
      </c>
      <c r="H167" s="11" t="s">
        <v>394</v>
      </c>
      <c r="I167" s="204"/>
      <c r="J167" s="204"/>
      <c r="K167" s="221" t="s">
        <v>678</v>
      </c>
      <c r="L167" s="222"/>
      <c r="M167" s="220" t="s">
        <v>685</v>
      </c>
      <c r="N167" s="220"/>
      <c r="O167" s="57">
        <v>79.8</v>
      </c>
      <c r="P167" s="58">
        <v>34</v>
      </c>
      <c r="Q167" s="40">
        <v>19</v>
      </c>
      <c r="R167" s="59">
        <v>1042</v>
      </c>
      <c r="S167" s="60"/>
      <c r="T167" s="59"/>
      <c r="U167" s="57">
        <v>54.4</v>
      </c>
      <c r="V167" s="39">
        <v>19.7</v>
      </c>
      <c r="W167" s="40">
        <v>19</v>
      </c>
      <c r="X167" s="1"/>
      <c r="Y167" s="55">
        <f>(U167-O167)/SQRT((V167^2+P167^2)/2)</f>
        <v>-0.9141393611763533</v>
      </c>
      <c r="Z167" s="55"/>
      <c r="AA167" s="14">
        <v>1</v>
      </c>
      <c r="AB167" s="43">
        <f>((U167-O167)/V167)*AA167 * (1-(3/(4*(Q167+W167-2)-1)))</f>
        <v>-1.2622910084839019</v>
      </c>
      <c r="AC167" s="61"/>
      <c r="AD167" s="44">
        <v>1</v>
      </c>
      <c r="AE167" s="44"/>
      <c r="AF167" s="14"/>
      <c r="AG167" s="14"/>
      <c r="AH167" s="1"/>
      <c r="AI167" s="62"/>
      <c r="AJ167" s="62"/>
      <c r="AK167" s="14">
        <v>1</v>
      </c>
      <c r="AL167" s="14" t="s">
        <v>116</v>
      </c>
      <c r="AM167" s="1" t="s">
        <v>69</v>
      </c>
      <c r="AN167" s="14" t="s">
        <v>118</v>
      </c>
      <c r="AO167" s="1"/>
    </row>
    <row r="168" spans="1:41" s="13" customFormat="1" ht="15.95" customHeight="1" x14ac:dyDescent="0.25">
      <c r="A168" s="1">
        <v>40</v>
      </c>
      <c r="B168" s="1" t="s">
        <v>34</v>
      </c>
      <c r="C168" s="11" t="s">
        <v>75</v>
      </c>
      <c r="D168" s="11" t="s">
        <v>76</v>
      </c>
      <c r="E168" s="36" t="s">
        <v>36</v>
      </c>
      <c r="F168" s="11" t="s">
        <v>228</v>
      </c>
      <c r="G168" s="1">
        <v>2020</v>
      </c>
      <c r="H168" s="11" t="s">
        <v>337</v>
      </c>
      <c r="I168" s="204"/>
      <c r="J168" s="204"/>
      <c r="K168" s="221" t="s">
        <v>597</v>
      </c>
      <c r="L168" s="222"/>
      <c r="M168" s="220"/>
      <c r="N168" s="220"/>
      <c r="O168" s="57">
        <v>4</v>
      </c>
      <c r="P168" s="58">
        <v>1.1000000000000001</v>
      </c>
      <c r="Q168" s="40">
        <v>19</v>
      </c>
      <c r="R168" s="59">
        <v>1042</v>
      </c>
      <c r="S168" s="60"/>
      <c r="T168" s="59"/>
      <c r="U168" s="57">
        <v>4.0999999999999996</v>
      </c>
      <c r="V168" s="39">
        <v>1</v>
      </c>
      <c r="W168" s="40">
        <v>19</v>
      </c>
      <c r="X168" s="1"/>
      <c r="Y168" s="55">
        <f>(U168-O168)/SQRT((V168^2+P168^2)/2)</f>
        <v>9.5130298830898477E-2</v>
      </c>
      <c r="Z168" s="55"/>
      <c r="AA168" s="14">
        <v>-1</v>
      </c>
      <c r="AB168" s="43">
        <f>((U168-O168)/V168)*AA168 * (1-(3/(4*(Q168+W168-2)-1)))</f>
        <v>-9.7902097902097557E-2</v>
      </c>
      <c r="AC168" s="61"/>
      <c r="AD168" s="44">
        <v>1</v>
      </c>
      <c r="AE168" s="44"/>
      <c r="AF168" s="14"/>
      <c r="AG168" s="14"/>
      <c r="AH168" s="1"/>
      <c r="AI168" s="62"/>
      <c r="AJ168" s="62"/>
      <c r="AK168" s="14">
        <v>1</v>
      </c>
      <c r="AL168" s="14" t="s">
        <v>116</v>
      </c>
      <c r="AM168" s="1" t="s">
        <v>69</v>
      </c>
      <c r="AN168" s="14" t="s">
        <v>118</v>
      </c>
      <c r="AO168" s="1"/>
    </row>
    <row r="169" spans="1:41" s="13" customFormat="1" ht="15.95" customHeight="1" x14ac:dyDescent="0.25">
      <c r="A169" s="1">
        <v>41</v>
      </c>
      <c r="B169" s="1" t="s">
        <v>34</v>
      </c>
      <c r="C169" s="11" t="s">
        <v>75</v>
      </c>
      <c r="D169" s="11" t="s">
        <v>76</v>
      </c>
      <c r="E169" s="36" t="s">
        <v>36</v>
      </c>
      <c r="F169" s="11" t="s">
        <v>228</v>
      </c>
      <c r="G169" s="1">
        <v>2020</v>
      </c>
      <c r="H169" s="11" t="s">
        <v>337</v>
      </c>
      <c r="I169" s="204"/>
      <c r="J169" s="204"/>
      <c r="K169" s="210" t="s">
        <v>642</v>
      </c>
      <c r="L169" s="220"/>
      <c r="M169" s="220"/>
      <c r="N169" s="220"/>
      <c r="O169" s="57">
        <v>7</v>
      </c>
      <c r="P169" s="58">
        <v>3.1</v>
      </c>
      <c r="Q169" s="40">
        <v>19</v>
      </c>
      <c r="R169" s="59">
        <v>1042</v>
      </c>
      <c r="S169" s="60"/>
      <c r="T169" s="59"/>
      <c r="U169" s="57">
        <v>7.8</v>
      </c>
      <c r="V169" s="39">
        <v>3.3</v>
      </c>
      <c r="W169" s="40">
        <v>19</v>
      </c>
      <c r="X169" s="1"/>
      <c r="Y169" s="55">
        <f>(U169-O169)/SQRT((V169^2+P169^2)/2)</f>
        <v>0.24987801902176965</v>
      </c>
      <c r="Z169" s="55"/>
      <c r="AA169" s="14">
        <v>1</v>
      </c>
      <c r="AB169" s="43">
        <f>((U169-O169)/V169)*AA169 * (1-(3/(4*(Q169+W169-2)-1)))</f>
        <v>0.23733841915660095</v>
      </c>
      <c r="AC169" s="61"/>
      <c r="AD169" s="44">
        <v>1</v>
      </c>
      <c r="AE169" s="44"/>
      <c r="AF169" s="14"/>
      <c r="AG169" s="14"/>
      <c r="AH169" s="1"/>
      <c r="AI169" s="62"/>
      <c r="AJ169" s="62"/>
      <c r="AK169" s="14">
        <v>1</v>
      </c>
      <c r="AL169" s="14" t="s">
        <v>116</v>
      </c>
      <c r="AM169" s="1" t="s">
        <v>69</v>
      </c>
      <c r="AN169" s="14" t="s">
        <v>118</v>
      </c>
      <c r="AO169" s="1"/>
    </row>
    <row r="170" spans="1:41" s="13" customFormat="1" ht="15.95" customHeight="1" x14ac:dyDescent="0.25">
      <c r="A170" s="1">
        <v>42</v>
      </c>
      <c r="B170" s="1" t="s">
        <v>34</v>
      </c>
      <c r="C170" s="11" t="s">
        <v>75</v>
      </c>
      <c r="D170" s="11" t="s">
        <v>76</v>
      </c>
      <c r="E170" s="36" t="s">
        <v>36</v>
      </c>
      <c r="F170" s="14" t="s">
        <v>687</v>
      </c>
      <c r="G170" s="1">
        <v>1996</v>
      </c>
      <c r="H170" s="11" t="s">
        <v>337</v>
      </c>
      <c r="I170" s="204"/>
      <c r="J170" s="204"/>
      <c r="K170" s="221" t="s">
        <v>597</v>
      </c>
      <c r="L170" s="220"/>
      <c r="M170" s="220"/>
      <c r="N170" s="220"/>
      <c r="O170" s="74">
        <v>4.4000000000000004</v>
      </c>
      <c r="P170" s="58">
        <v>1.71</v>
      </c>
      <c r="Q170" s="40">
        <v>11</v>
      </c>
      <c r="R170" s="41">
        <v>1545</v>
      </c>
      <c r="S170" s="39"/>
      <c r="T170" s="41"/>
      <c r="U170" s="57">
        <v>5.59</v>
      </c>
      <c r="V170" s="39">
        <v>1.33</v>
      </c>
      <c r="W170" s="40">
        <v>22</v>
      </c>
      <c r="X170" s="14"/>
      <c r="Y170" s="55">
        <f>(U170-O170)/SQRT((V170^2+P170^2)/2)</f>
        <v>0.77684912716398946</v>
      </c>
      <c r="Z170" s="55"/>
      <c r="AA170" s="14">
        <v>-1</v>
      </c>
      <c r="AB170" s="43">
        <f>((U170-O170)/V170)*AA170 * (1-(3/(4*(Q170+W170-2)-1)))</f>
        <v>-0.8729139922978173</v>
      </c>
      <c r="AC170" s="61"/>
      <c r="AD170" s="44">
        <v>1</v>
      </c>
      <c r="AE170" s="44"/>
      <c r="AF170" s="14"/>
      <c r="AG170" s="14"/>
      <c r="AH170" s="1"/>
      <c r="AI170" s="62"/>
      <c r="AJ170" s="62"/>
      <c r="AK170" s="14">
        <v>1</v>
      </c>
      <c r="AL170" s="71" t="s">
        <v>146</v>
      </c>
      <c r="AM170" s="71" t="s">
        <v>146</v>
      </c>
      <c r="AN170" s="71" t="s">
        <v>146</v>
      </c>
      <c r="AO170" s="1"/>
    </row>
    <row r="171" spans="1:41" s="13" customFormat="1" ht="15.95" customHeight="1" x14ac:dyDescent="0.25">
      <c r="A171" s="1">
        <v>43</v>
      </c>
      <c r="B171" s="1" t="s">
        <v>34</v>
      </c>
      <c r="C171" s="11" t="s">
        <v>75</v>
      </c>
      <c r="D171" s="11" t="s">
        <v>76</v>
      </c>
      <c r="E171" s="36" t="s">
        <v>36</v>
      </c>
      <c r="F171" s="14" t="s">
        <v>687</v>
      </c>
      <c r="G171" s="1">
        <v>1996</v>
      </c>
      <c r="H171" s="11" t="s">
        <v>337</v>
      </c>
      <c r="I171" s="204"/>
      <c r="J171" s="204"/>
      <c r="K171" s="210" t="s">
        <v>596</v>
      </c>
      <c r="L171" s="220"/>
      <c r="M171" s="220"/>
      <c r="N171" s="220"/>
      <c r="O171" s="57">
        <v>23</v>
      </c>
      <c r="P171" s="58">
        <v>10.1</v>
      </c>
      <c r="Q171" s="40">
        <v>11</v>
      </c>
      <c r="R171" s="41">
        <v>1545</v>
      </c>
      <c r="S171" s="39"/>
      <c r="T171" s="41"/>
      <c r="U171" s="57">
        <v>9.68</v>
      </c>
      <c r="V171" s="39">
        <v>8.23</v>
      </c>
      <c r="W171" s="40">
        <v>22</v>
      </c>
      <c r="X171" s="14"/>
      <c r="Y171" s="55">
        <f>(U171-O171)/SQRT((V171^2+P171^2)/2)</f>
        <v>-1.4458505809451692</v>
      </c>
      <c r="Z171" s="55"/>
      <c r="AA171" s="14">
        <v>1</v>
      </c>
      <c r="AB171" s="43">
        <f>((U171-O171)/V171)*AA171 * (1-(3/(4*(Q171+W171-2)-1)))</f>
        <v>-1.5789941617520671</v>
      </c>
      <c r="AC171" s="61"/>
      <c r="AD171" s="44">
        <v>1</v>
      </c>
      <c r="AE171" s="44"/>
      <c r="AF171" s="14"/>
      <c r="AG171" s="14"/>
      <c r="AH171" s="1"/>
      <c r="AI171" s="62"/>
      <c r="AJ171" s="62"/>
      <c r="AK171" s="14">
        <v>1</v>
      </c>
      <c r="AL171" s="71" t="s">
        <v>146</v>
      </c>
      <c r="AM171" s="71" t="s">
        <v>146</v>
      </c>
      <c r="AN171" s="71" t="s">
        <v>146</v>
      </c>
      <c r="AO171" s="1"/>
    </row>
    <row r="172" spans="1:41" s="13" customFormat="1" ht="15.95" customHeight="1" x14ac:dyDescent="0.25">
      <c r="A172" s="1">
        <v>44</v>
      </c>
      <c r="B172" s="1" t="s">
        <v>34</v>
      </c>
      <c r="C172" s="11" t="s">
        <v>75</v>
      </c>
      <c r="D172" s="11" t="s">
        <v>76</v>
      </c>
      <c r="E172" s="36" t="s">
        <v>36</v>
      </c>
      <c r="F172" s="14" t="s">
        <v>697</v>
      </c>
      <c r="G172" s="1">
        <v>1996</v>
      </c>
      <c r="H172" s="11" t="s">
        <v>337</v>
      </c>
      <c r="I172" s="204"/>
      <c r="J172" s="204"/>
      <c r="K172" s="221" t="s">
        <v>597</v>
      </c>
      <c r="L172" s="220"/>
      <c r="M172" s="220"/>
      <c r="N172" s="220"/>
      <c r="O172" s="74">
        <v>6</v>
      </c>
      <c r="P172" s="58">
        <v>1.33</v>
      </c>
      <c r="Q172" s="40">
        <v>11</v>
      </c>
      <c r="R172" s="41">
        <v>566</v>
      </c>
      <c r="S172" s="39"/>
      <c r="T172" s="41"/>
      <c r="U172" s="57">
        <v>5.59</v>
      </c>
      <c r="V172" s="39">
        <v>1.33</v>
      </c>
      <c r="W172" s="40">
        <v>22</v>
      </c>
      <c r="X172" s="14"/>
      <c r="Y172" s="55">
        <f>(U172-O172)/SQRT((V172^2+P172^2)/2)</f>
        <v>-0.30827067669172942</v>
      </c>
      <c r="Z172" s="55"/>
      <c r="AA172" s="14">
        <v>-1</v>
      </c>
      <c r="AB172" s="43">
        <f>((U172-O172)/V172)*AA172 * (1-(3/(4*(Q172+W172-2)-1)))</f>
        <v>0.30075187969924821</v>
      </c>
      <c r="AC172" s="61"/>
      <c r="AD172" s="44">
        <v>1</v>
      </c>
      <c r="AE172" s="44"/>
      <c r="AF172" s="14"/>
      <c r="AG172" s="14"/>
      <c r="AH172" s="1"/>
      <c r="AI172" s="62"/>
      <c r="AJ172" s="62"/>
      <c r="AK172" s="71" t="s">
        <v>146</v>
      </c>
      <c r="AL172" s="71" t="s">
        <v>146</v>
      </c>
      <c r="AM172" s="71" t="s">
        <v>146</v>
      </c>
      <c r="AN172" s="71" t="s">
        <v>146</v>
      </c>
    </row>
    <row r="173" spans="1:41" s="13" customFormat="1" ht="15.95" customHeight="1" x14ac:dyDescent="0.25">
      <c r="A173" s="1">
        <v>45</v>
      </c>
      <c r="B173" s="1" t="s">
        <v>34</v>
      </c>
      <c r="C173" s="11" t="s">
        <v>75</v>
      </c>
      <c r="D173" s="11" t="s">
        <v>76</v>
      </c>
      <c r="E173" s="36" t="s">
        <v>36</v>
      </c>
      <c r="F173" s="14" t="s">
        <v>697</v>
      </c>
      <c r="G173" s="1">
        <v>1996</v>
      </c>
      <c r="H173" s="11" t="s">
        <v>337</v>
      </c>
      <c r="I173" s="204"/>
      <c r="J173" s="204"/>
      <c r="K173" s="210" t="s">
        <v>596</v>
      </c>
      <c r="L173" s="220"/>
      <c r="M173" s="220"/>
      <c r="N173" s="220"/>
      <c r="O173" s="74">
        <v>7.6</v>
      </c>
      <c r="P173" s="58">
        <v>4.29</v>
      </c>
      <c r="Q173" s="40">
        <v>11</v>
      </c>
      <c r="R173" s="41">
        <v>566</v>
      </c>
      <c r="S173" s="39"/>
      <c r="T173" s="41"/>
      <c r="U173" s="57">
        <v>9.68</v>
      </c>
      <c r="V173" s="39">
        <v>8.23</v>
      </c>
      <c r="W173" s="40">
        <v>22</v>
      </c>
      <c r="X173" s="14"/>
      <c r="Y173" s="55">
        <f>(U173-O173)/SQRT((V173^2+P173^2)/2)</f>
        <v>0.31694467663120451</v>
      </c>
      <c r="Z173" s="55"/>
      <c r="AA173" s="14">
        <v>1</v>
      </c>
      <c r="AB173" s="43">
        <f>((U173-O173)/V173)*AA173 * (1-(3/(4*(Q173+W173-2)-1)))</f>
        <v>0.24656965889221466</v>
      </c>
      <c r="AC173" s="61"/>
      <c r="AD173" s="44">
        <v>1</v>
      </c>
      <c r="AE173" s="44"/>
      <c r="AF173" s="14"/>
      <c r="AG173" s="14"/>
      <c r="AH173" s="1"/>
      <c r="AI173" s="62"/>
      <c r="AJ173" s="62"/>
      <c r="AK173" s="71" t="s">
        <v>146</v>
      </c>
      <c r="AL173" s="71" t="s">
        <v>146</v>
      </c>
      <c r="AM173" s="71" t="s">
        <v>146</v>
      </c>
      <c r="AN173" s="71" t="s">
        <v>146</v>
      </c>
      <c r="AO173" s="1"/>
    </row>
    <row r="174" spans="1:41" s="13" customFormat="1" ht="15.95" customHeight="1" x14ac:dyDescent="0.25">
      <c r="A174" s="1">
        <v>31</v>
      </c>
      <c r="B174" s="1" t="s">
        <v>34</v>
      </c>
      <c r="C174" s="11" t="s">
        <v>75</v>
      </c>
      <c r="D174" s="11" t="s">
        <v>76</v>
      </c>
      <c r="E174" s="36" t="s">
        <v>36</v>
      </c>
      <c r="F174" s="1" t="s">
        <v>247</v>
      </c>
      <c r="G174" s="1">
        <v>2020</v>
      </c>
      <c r="H174" s="11" t="s">
        <v>394</v>
      </c>
      <c r="I174" s="204"/>
      <c r="J174" s="204"/>
      <c r="K174" s="224" t="s">
        <v>678</v>
      </c>
      <c r="L174" s="220"/>
      <c r="M174" s="220"/>
      <c r="N174" s="220"/>
      <c r="O174" s="57">
        <v>60.4</v>
      </c>
      <c r="P174" s="58">
        <f>(217-43)/4</f>
        <v>43.5</v>
      </c>
      <c r="Q174" s="40">
        <v>16</v>
      </c>
      <c r="R174" s="42">
        <v>926.2</v>
      </c>
      <c r="S174" s="58"/>
      <c r="T174" s="42"/>
      <c r="U174" s="57">
        <v>53.25</v>
      </c>
      <c r="V174" s="39">
        <f>(65-35.5)/4</f>
        <v>7.375</v>
      </c>
      <c r="W174" s="40">
        <v>17</v>
      </c>
      <c r="X174" s="1"/>
      <c r="Y174" s="55">
        <f>(U174-O174)/SQRT((V174^2+P174^2)/2)</f>
        <v>-0.22918075634604099</v>
      </c>
      <c r="Z174" s="55"/>
      <c r="AA174" s="14">
        <v>1</v>
      </c>
      <c r="AB174" s="43">
        <f>((U174-O174)/V174)*AA174 * (1-(3/(4*(Q174+W174-2)-1)))</f>
        <v>-0.94584539065729623</v>
      </c>
      <c r="AC174" s="61"/>
      <c r="AD174" s="44">
        <v>1</v>
      </c>
      <c r="AE174" s="44"/>
      <c r="AF174" s="14"/>
      <c r="AG174" s="14"/>
      <c r="AH174" s="1"/>
      <c r="AI174" s="62"/>
      <c r="AJ174" s="62"/>
      <c r="AK174" s="1">
        <v>4</v>
      </c>
      <c r="AL174" s="1" t="s">
        <v>249</v>
      </c>
      <c r="AM174" s="71" t="s">
        <v>146</v>
      </c>
      <c r="AN174" s="1" t="s">
        <v>215</v>
      </c>
      <c r="AO174" s="1"/>
    </row>
    <row r="175" spans="1:41" s="13" customFormat="1" ht="15.95" customHeight="1" x14ac:dyDescent="0.25">
      <c r="A175" s="1">
        <v>76</v>
      </c>
      <c r="B175" s="11" t="s">
        <v>43</v>
      </c>
      <c r="C175" s="11" t="s">
        <v>75</v>
      </c>
      <c r="D175" s="11" t="s">
        <v>333</v>
      </c>
      <c r="E175" s="36" t="s">
        <v>81</v>
      </c>
      <c r="F175" s="11" t="s">
        <v>46</v>
      </c>
      <c r="G175" s="11">
        <v>2002</v>
      </c>
      <c r="H175" s="11" t="s">
        <v>334</v>
      </c>
      <c r="I175" s="204"/>
      <c r="J175" s="204"/>
      <c r="K175" s="204" t="s">
        <v>350</v>
      </c>
      <c r="L175" s="207" t="s">
        <v>351</v>
      </c>
      <c r="M175" s="207" t="s">
        <v>352</v>
      </c>
      <c r="N175" s="204"/>
      <c r="O175" s="38">
        <v>21.86</v>
      </c>
      <c r="P175" s="39">
        <v>7.38</v>
      </c>
      <c r="Q175" s="40">
        <v>36</v>
      </c>
      <c r="R175" s="114">
        <f>8.1*60.5364</f>
        <v>490.34483999999998</v>
      </c>
      <c r="S175" s="117">
        <f>6.2*60.5364</f>
        <v>375.32568000000003</v>
      </c>
      <c r="T175" s="41"/>
      <c r="U175" s="115">
        <v>24.38</v>
      </c>
      <c r="V175" s="39">
        <v>5.34</v>
      </c>
      <c r="W175" s="40">
        <v>69</v>
      </c>
      <c r="X175" s="11"/>
      <c r="Y175" s="11"/>
      <c r="Z175" s="11"/>
      <c r="AA175" s="11">
        <v>-1</v>
      </c>
      <c r="AB175" s="43">
        <f>((U175-O175)/V175)*AA175 * (1-(3/(4*(Q175+W175-2)-1)))</f>
        <v>-0.46846551299926181</v>
      </c>
      <c r="AC175" s="61"/>
      <c r="AD175" s="44">
        <v>1</v>
      </c>
      <c r="AE175" s="44"/>
      <c r="AF175" s="118">
        <v>11.18</v>
      </c>
      <c r="AG175" s="118">
        <v>3.4</v>
      </c>
      <c r="AH175" s="87"/>
      <c r="AI175" s="103">
        <v>10.29</v>
      </c>
      <c r="AJ175" s="13">
        <v>3.1</v>
      </c>
      <c r="AK175" s="11"/>
      <c r="AL175" s="11"/>
      <c r="AM175" s="11"/>
      <c r="AN175" s="11"/>
      <c r="AO175" s="1"/>
    </row>
    <row r="176" spans="1:41" s="13" customFormat="1" ht="15" customHeight="1" x14ac:dyDescent="0.25">
      <c r="A176" s="1">
        <v>47</v>
      </c>
      <c r="B176" s="11" t="s">
        <v>43</v>
      </c>
      <c r="C176" s="11" t="s">
        <v>75</v>
      </c>
      <c r="D176" s="11" t="s">
        <v>76</v>
      </c>
      <c r="E176" s="36" t="s">
        <v>81</v>
      </c>
      <c r="F176" s="11" t="s">
        <v>367</v>
      </c>
      <c r="G176" s="11">
        <v>2008</v>
      </c>
      <c r="H176" s="63" t="s">
        <v>331</v>
      </c>
      <c r="I176" s="203"/>
      <c r="J176" s="203"/>
      <c r="K176" s="204" t="s">
        <v>360</v>
      </c>
      <c r="L176" s="207"/>
      <c r="M176" s="207" t="s">
        <v>368</v>
      </c>
      <c r="N176" s="204"/>
      <c r="O176" s="115">
        <v>7.78</v>
      </c>
      <c r="P176" s="39">
        <v>2.8722813232690143</v>
      </c>
      <c r="Q176" s="40">
        <v>33</v>
      </c>
      <c r="R176" s="114"/>
      <c r="S176" s="117"/>
      <c r="T176" s="41"/>
      <c r="U176" s="38">
        <v>10.48</v>
      </c>
      <c r="V176" s="39">
        <v>2.9154759474226504</v>
      </c>
      <c r="W176" s="40">
        <v>34</v>
      </c>
      <c r="X176" s="11"/>
      <c r="Y176" s="55">
        <f>(U176-O176)/SQRT((V176^2+P176^2)/2)</f>
        <v>0.93297789962786903</v>
      </c>
      <c r="Z176" s="11"/>
      <c r="AA176" s="11">
        <v>-1</v>
      </c>
      <c r="AB176" s="43">
        <f>((U176-O176)/V176)*AA176 * (1-(3/(4*(Q176+W176-2)-1)))</f>
        <v>-0.91536542123939857</v>
      </c>
      <c r="AC176" s="61"/>
      <c r="AD176" s="44">
        <v>1</v>
      </c>
      <c r="AE176" s="44"/>
      <c r="AF176" s="11">
        <v>11.18</v>
      </c>
      <c r="AG176" s="87">
        <v>3.4</v>
      </c>
      <c r="AH176" s="87"/>
      <c r="AI176" s="116">
        <v>10.29</v>
      </c>
      <c r="AJ176" s="87">
        <v>3.1</v>
      </c>
      <c r="AK176" s="11"/>
      <c r="AL176" s="11"/>
      <c r="AM176" s="11"/>
      <c r="AN176" s="11"/>
      <c r="AO176" s="1"/>
    </row>
    <row r="177" spans="1:41" s="13" customFormat="1" ht="15.95" customHeight="1" x14ac:dyDescent="0.25">
      <c r="A177" s="1">
        <v>48</v>
      </c>
      <c r="B177" s="11" t="s">
        <v>43</v>
      </c>
      <c r="C177" s="11" t="s">
        <v>75</v>
      </c>
      <c r="D177" s="11" t="s">
        <v>76</v>
      </c>
      <c r="E177" s="36" t="s">
        <v>81</v>
      </c>
      <c r="F177" s="11" t="s">
        <v>267</v>
      </c>
      <c r="G177" s="11">
        <v>2003</v>
      </c>
      <c r="H177" s="63" t="s">
        <v>331</v>
      </c>
      <c r="I177" s="204"/>
      <c r="J177" s="204"/>
      <c r="K177" s="204" t="s">
        <v>370</v>
      </c>
      <c r="L177" s="207"/>
      <c r="M177" s="207" t="s">
        <v>368</v>
      </c>
      <c r="N177" s="204"/>
      <c r="O177" s="38">
        <v>7.8</v>
      </c>
      <c r="P177" s="39">
        <v>2.8</v>
      </c>
      <c r="Q177" s="40">
        <v>46</v>
      </c>
      <c r="R177" s="114">
        <f>8.1*60.5364</f>
        <v>490.34483999999998</v>
      </c>
      <c r="S177" s="117">
        <f>6.2*60.5364</f>
        <v>375.32568000000003</v>
      </c>
      <c r="T177" s="41"/>
      <c r="U177" s="38">
        <v>10.3</v>
      </c>
      <c r="V177" s="39">
        <v>2.1</v>
      </c>
      <c r="W177" s="40">
        <v>18</v>
      </c>
      <c r="X177" s="11"/>
      <c r="Y177" s="55">
        <f>(U177-O177)/SQRT((V177^2+P177^2)/2)</f>
        <v>1.010152544552211</v>
      </c>
      <c r="Z177" s="11"/>
      <c r="AA177" s="11">
        <v>-1</v>
      </c>
      <c r="AB177" s="43">
        <f>((U177-O177)/V177)*AA177 * (1-(3/(4*(Q177+W177-2)-1)))</f>
        <v>-1.17601696549065</v>
      </c>
      <c r="AC177" s="61"/>
      <c r="AD177" s="44">
        <v>1</v>
      </c>
      <c r="AE177" s="44"/>
      <c r="AF177" s="119">
        <f>129/12</f>
        <v>10.75</v>
      </c>
      <c r="AG177" s="118">
        <v>2.1</v>
      </c>
      <c r="AH177" s="119"/>
      <c r="AI177" s="120">
        <v>13.1</v>
      </c>
      <c r="AJ177" s="120">
        <v>3.2</v>
      </c>
      <c r="AK177" s="11"/>
      <c r="AL177" s="11"/>
      <c r="AM177" s="11"/>
      <c r="AN177" s="11"/>
      <c r="AO177" s="1"/>
    </row>
    <row r="178" spans="1:41" s="13" customFormat="1" ht="15.95" customHeight="1" x14ac:dyDescent="0.25">
      <c r="A178" s="1">
        <v>82</v>
      </c>
      <c r="B178" s="11" t="s">
        <v>43</v>
      </c>
      <c r="C178" s="11" t="s">
        <v>75</v>
      </c>
      <c r="D178" s="11" t="s">
        <v>333</v>
      </c>
      <c r="E178" s="36" t="s">
        <v>81</v>
      </c>
      <c r="F178" s="119" t="s">
        <v>380</v>
      </c>
      <c r="G178" s="11">
        <v>2011</v>
      </c>
      <c r="H178" s="11" t="s">
        <v>334</v>
      </c>
      <c r="I178" s="204"/>
      <c r="J178" s="204"/>
      <c r="K178" s="204" t="s">
        <v>350</v>
      </c>
      <c r="L178" s="207"/>
      <c r="M178" s="207"/>
      <c r="N178" s="204"/>
      <c r="O178" s="38">
        <v>8</v>
      </c>
      <c r="P178" s="39">
        <v>3.4</v>
      </c>
      <c r="Q178" s="40">
        <v>36</v>
      </c>
      <c r="R178" s="114">
        <f>8.4*60.5364</f>
        <v>508.50576000000001</v>
      </c>
      <c r="S178" s="117">
        <f>4.7*60.5364</f>
        <v>284.52108000000004</v>
      </c>
      <c r="T178" s="41"/>
      <c r="U178" s="38">
        <v>10.3</v>
      </c>
      <c r="V178" s="39">
        <v>3.5</v>
      </c>
      <c r="W178" s="40">
        <v>41</v>
      </c>
      <c r="X178" s="11"/>
      <c r="Y178" s="11"/>
      <c r="Z178" s="11"/>
      <c r="AA178" s="11">
        <v>-1</v>
      </c>
      <c r="AB178" s="43">
        <f>((U178-O178)/V178)*AA178 * (1-(3/(4*(Q178+W178-2)-1)))</f>
        <v>-0.65054945054945079</v>
      </c>
      <c r="AC178" s="61"/>
      <c r="AD178" s="44">
        <v>1</v>
      </c>
      <c r="AE178" s="44"/>
      <c r="AF178" s="119">
        <v>12.2</v>
      </c>
      <c r="AG178" s="119">
        <v>3.9</v>
      </c>
      <c r="AH178" s="119"/>
      <c r="AI178" s="120">
        <v>13.1</v>
      </c>
      <c r="AJ178" s="120">
        <v>3.2</v>
      </c>
      <c r="AK178" s="11"/>
      <c r="AL178" s="11"/>
      <c r="AM178" s="11"/>
      <c r="AN178" s="11"/>
      <c r="AO178" s="1"/>
    </row>
    <row r="179" spans="1:41" s="13" customFormat="1" ht="15.95" customHeight="1" x14ac:dyDescent="0.25">
      <c r="A179" s="1">
        <v>97</v>
      </c>
      <c r="B179" s="11" t="s">
        <v>43</v>
      </c>
      <c r="C179" s="11" t="s">
        <v>75</v>
      </c>
      <c r="D179" s="11" t="s">
        <v>333</v>
      </c>
      <c r="E179" s="36" t="s">
        <v>81</v>
      </c>
      <c r="F179" s="119" t="s">
        <v>380</v>
      </c>
      <c r="G179" s="11">
        <v>2011</v>
      </c>
      <c r="H179" s="11" t="s">
        <v>336</v>
      </c>
      <c r="I179" s="204"/>
      <c r="J179" s="204"/>
      <c r="K179" s="204" t="s">
        <v>350</v>
      </c>
      <c r="L179" s="207"/>
      <c r="M179" s="207"/>
      <c r="N179" s="204"/>
      <c r="O179" s="38">
        <v>16.850000000000001</v>
      </c>
      <c r="P179" s="39">
        <v>5.55</v>
      </c>
      <c r="Q179" s="40">
        <v>36</v>
      </c>
      <c r="R179" s="114">
        <f>8.4*60.5364</f>
        <v>508.50576000000001</v>
      </c>
      <c r="S179" s="117">
        <f>4.7*60.5364</f>
        <v>284.52108000000004</v>
      </c>
      <c r="T179" s="41"/>
      <c r="U179" s="38">
        <v>17.850000000000001</v>
      </c>
      <c r="V179" s="39">
        <v>6.45</v>
      </c>
      <c r="W179" s="40">
        <v>41</v>
      </c>
      <c r="X179" s="11"/>
      <c r="Y179" s="11"/>
      <c r="Z179" s="11"/>
      <c r="AA179" s="11">
        <v>-1</v>
      </c>
      <c r="AB179" s="43">
        <f>((U179-O179)/V179)*AA179 * (1-(3/(4*(Q179+W179-2)-1)))</f>
        <v>-0.15348318685022427</v>
      </c>
      <c r="AC179" s="61"/>
      <c r="AD179" s="44">
        <v>1</v>
      </c>
      <c r="AE179" s="44"/>
      <c r="AF179" s="119">
        <v>12.2</v>
      </c>
      <c r="AG179" s="119">
        <v>3.9</v>
      </c>
      <c r="AH179" s="119"/>
      <c r="AI179" s="120">
        <v>13.1</v>
      </c>
      <c r="AJ179" s="120">
        <v>3.2</v>
      </c>
      <c r="AK179" s="11"/>
      <c r="AL179" s="11"/>
      <c r="AM179" s="11"/>
      <c r="AN179" s="11"/>
      <c r="AO179" s="1"/>
    </row>
    <row r="180" spans="1:41" s="13" customFormat="1" ht="15.95" customHeight="1" x14ac:dyDescent="0.25">
      <c r="A180" s="1">
        <v>77</v>
      </c>
      <c r="B180" s="11" t="s">
        <v>43</v>
      </c>
      <c r="C180" s="11" t="s">
        <v>75</v>
      </c>
      <c r="D180" s="11" t="s">
        <v>333</v>
      </c>
      <c r="E180" s="36" t="s">
        <v>81</v>
      </c>
      <c r="F180" s="11" t="s">
        <v>386</v>
      </c>
      <c r="G180" s="11">
        <v>2018</v>
      </c>
      <c r="H180" s="11" t="s">
        <v>390</v>
      </c>
      <c r="I180" s="204"/>
      <c r="J180" s="204"/>
      <c r="K180" s="204" t="s">
        <v>350</v>
      </c>
      <c r="L180" s="207"/>
      <c r="M180" s="207"/>
      <c r="N180" s="204"/>
      <c r="O180" s="38">
        <v>23.6</v>
      </c>
      <c r="P180" s="39">
        <v>8</v>
      </c>
      <c r="Q180" s="40">
        <v>11</v>
      </c>
      <c r="R180" s="114">
        <v>743.18</v>
      </c>
      <c r="S180" s="117">
        <v>83.66</v>
      </c>
      <c r="T180" s="41"/>
      <c r="U180" s="38">
        <v>26.9</v>
      </c>
      <c r="V180" s="39">
        <v>9.4</v>
      </c>
      <c r="W180" s="40">
        <v>28</v>
      </c>
      <c r="X180" s="11"/>
      <c r="Y180" s="11"/>
      <c r="Z180" s="11"/>
      <c r="AA180" s="11">
        <v>-1</v>
      </c>
      <c r="AB180" s="43">
        <f>((U180-O180)/V180)*AA180 * (1-(3/(4*(Q180+W180-2)-1)))</f>
        <v>-0.34389926183239222</v>
      </c>
      <c r="AC180" s="61"/>
      <c r="AD180" s="44">
        <v>1</v>
      </c>
      <c r="AE180" s="44"/>
      <c r="AF180" s="121">
        <f>156/12</f>
        <v>13</v>
      </c>
      <c r="AG180" s="121">
        <f>29.8/12</f>
        <v>2.4833333333333334</v>
      </c>
      <c r="AH180" s="121"/>
      <c r="AI180" s="120">
        <f>142/12</f>
        <v>11.833333333333334</v>
      </c>
      <c r="AJ180" s="120">
        <f>29.5/12</f>
        <v>2.4583333333333335</v>
      </c>
      <c r="AK180" s="11"/>
      <c r="AL180" s="11"/>
      <c r="AM180" s="11"/>
      <c r="AN180" s="11"/>
      <c r="AO180" s="1"/>
    </row>
    <row r="181" spans="1:41" s="13" customFormat="1" ht="15.95" customHeight="1" x14ac:dyDescent="0.25">
      <c r="A181" s="1">
        <v>90</v>
      </c>
      <c r="B181" s="11" t="s">
        <v>43</v>
      </c>
      <c r="C181" s="11" t="s">
        <v>75</v>
      </c>
      <c r="D181" s="11" t="s">
        <v>333</v>
      </c>
      <c r="E181" s="36" t="s">
        <v>81</v>
      </c>
      <c r="F181" s="11" t="s">
        <v>386</v>
      </c>
      <c r="G181" s="11">
        <v>2018</v>
      </c>
      <c r="H181" s="11" t="s">
        <v>336</v>
      </c>
      <c r="I181" s="204"/>
      <c r="J181" s="204"/>
      <c r="K181" s="204" t="s">
        <v>350</v>
      </c>
      <c r="L181" s="207"/>
      <c r="M181" s="207"/>
      <c r="N181" s="204"/>
      <c r="O181" s="38">
        <v>49.6</v>
      </c>
      <c r="P181" s="39">
        <v>11.5</v>
      </c>
      <c r="Q181" s="40">
        <v>11</v>
      </c>
      <c r="R181" s="114">
        <v>743.18</v>
      </c>
      <c r="S181" s="117">
        <v>83.66</v>
      </c>
      <c r="T181" s="41"/>
      <c r="U181" s="38">
        <v>53.5</v>
      </c>
      <c r="V181" s="39">
        <v>13.4</v>
      </c>
      <c r="W181" s="40">
        <v>28</v>
      </c>
      <c r="X181" s="11"/>
      <c r="Y181" s="11"/>
      <c r="Z181" s="11"/>
      <c r="AA181" s="11">
        <v>-1</v>
      </c>
      <c r="AB181" s="43">
        <f>((U181-O181)/V181)*AA181 * (1-(3/(4*(Q181+W181-2)-1)))</f>
        <v>-0.28510508681084362</v>
      </c>
      <c r="AC181" s="61"/>
      <c r="AD181" s="44">
        <v>1</v>
      </c>
      <c r="AE181" s="44"/>
      <c r="AF181" s="121">
        <f>156/12</f>
        <v>13</v>
      </c>
      <c r="AG181" s="121">
        <f>29.8/12</f>
        <v>2.4833333333333334</v>
      </c>
      <c r="AH181" s="121"/>
      <c r="AI181" s="120">
        <f>142/12</f>
        <v>11.833333333333334</v>
      </c>
      <c r="AJ181" s="120">
        <f>29.5/12</f>
        <v>2.4583333333333335</v>
      </c>
      <c r="AK181" s="11"/>
      <c r="AL181" s="11"/>
      <c r="AM181" s="11"/>
      <c r="AN181" s="11"/>
      <c r="AO181" s="1"/>
    </row>
    <row r="182" spans="1:41" s="13" customFormat="1" ht="15.95" customHeight="1" x14ac:dyDescent="0.25">
      <c r="A182" s="1">
        <v>52</v>
      </c>
      <c r="B182" s="11" t="s">
        <v>43</v>
      </c>
      <c r="C182" s="11" t="s">
        <v>75</v>
      </c>
      <c r="D182" s="11" t="s">
        <v>76</v>
      </c>
      <c r="E182" s="36" t="s">
        <v>81</v>
      </c>
      <c r="F182" s="11" t="s">
        <v>386</v>
      </c>
      <c r="G182" s="11">
        <v>2018</v>
      </c>
      <c r="H182" s="11" t="s">
        <v>394</v>
      </c>
      <c r="I182" s="204"/>
      <c r="J182" s="204"/>
      <c r="K182" s="204"/>
      <c r="L182" s="207"/>
      <c r="M182" s="207"/>
      <c r="N182" s="204"/>
      <c r="O182" s="38">
        <v>115</v>
      </c>
      <c r="P182" s="39">
        <v>45.9</v>
      </c>
      <c r="Q182" s="40">
        <v>11</v>
      </c>
      <c r="R182" s="114">
        <v>743.18</v>
      </c>
      <c r="S182" s="117">
        <v>83.66</v>
      </c>
      <c r="T182" s="41"/>
      <c r="U182" s="38">
        <v>76.8</v>
      </c>
      <c r="V182" s="39">
        <v>17.600000000000001</v>
      </c>
      <c r="W182" s="40">
        <v>28</v>
      </c>
      <c r="X182" s="11"/>
      <c r="Y182" s="11"/>
      <c r="Z182" s="11"/>
      <c r="AA182" s="11">
        <v>1</v>
      </c>
      <c r="AB182" s="43">
        <f>((U182-O182)/V182)*AA182 * (1-(3/(4*(Q182+W182-2)-1)))</f>
        <v>-2.1261595547309833</v>
      </c>
      <c r="AC182" s="61"/>
      <c r="AD182" s="44">
        <v>1</v>
      </c>
      <c r="AE182" s="44"/>
      <c r="AF182" s="121">
        <f>156/12</f>
        <v>13</v>
      </c>
      <c r="AG182" s="121">
        <f>29.8/12</f>
        <v>2.4833333333333334</v>
      </c>
      <c r="AH182" s="121"/>
      <c r="AI182" s="120">
        <f>142/12</f>
        <v>11.833333333333334</v>
      </c>
      <c r="AJ182" s="120">
        <f>29.5/12</f>
        <v>2.4583333333333335</v>
      </c>
      <c r="AK182" s="11"/>
      <c r="AL182" s="11"/>
      <c r="AM182" s="11"/>
      <c r="AN182" s="11"/>
      <c r="AO182" s="1"/>
    </row>
    <row r="183" spans="1:41" s="13" customFormat="1" ht="15.95" customHeight="1" x14ac:dyDescent="0.25">
      <c r="A183" s="1">
        <v>59</v>
      </c>
      <c r="B183" s="11" t="s">
        <v>43</v>
      </c>
      <c r="C183" s="11" t="s">
        <v>75</v>
      </c>
      <c r="D183" s="11" t="s">
        <v>76</v>
      </c>
      <c r="E183" s="36" t="s">
        <v>81</v>
      </c>
      <c r="F183" s="11" t="s">
        <v>287</v>
      </c>
      <c r="G183" s="11">
        <v>2005</v>
      </c>
      <c r="H183" s="11" t="s">
        <v>337</v>
      </c>
      <c r="I183" s="204"/>
      <c r="J183" s="204"/>
      <c r="K183" s="204" t="s">
        <v>457</v>
      </c>
      <c r="L183" s="207"/>
      <c r="M183" s="207"/>
      <c r="N183" s="204"/>
      <c r="O183" s="38">
        <v>50</v>
      </c>
      <c r="P183" s="39">
        <v>11</v>
      </c>
      <c r="Q183" s="40">
        <v>26</v>
      </c>
      <c r="R183" s="114">
        <f>(449+529)/2</f>
        <v>489</v>
      </c>
      <c r="S183" s="117">
        <f>(220+142)/2</f>
        <v>181</v>
      </c>
      <c r="T183" s="41"/>
      <c r="U183" s="38">
        <v>57</v>
      </c>
      <c r="V183" s="39">
        <v>7</v>
      </c>
      <c r="W183" s="40">
        <v>21</v>
      </c>
      <c r="X183" s="11"/>
      <c r="Y183" s="11"/>
      <c r="Z183" s="11"/>
      <c r="AA183" s="11">
        <v>-1</v>
      </c>
      <c r="AB183" s="43">
        <f>((U183-O183)/V183)*AA183 * (1-(3/(4*(Q183+W183-2)-1)))</f>
        <v>-0.98324022346368711</v>
      </c>
      <c r="AC183" s="61"/>
      <c r="AD183" s="44">
        <v>1</v>
      </c>
      <c r="AE183" s="44"/>
      <c r="AF183" s="119">
        <v>12.3</v>
      </c>
      <c r="AG183" s="119">
        <v>3.7</v>
      </c>
      <c r="AH183" s="119"/>
      <c r="AI183" s="120">
        <v>11.8</v>
      </c>
      <c r="AJ183" s="120">
        <v>3.6</v>
      </c>
      <c r="AK183" s="11"/>
      <c r="AL183" s="11"/>
      <c r="AM183" s="11"/>
      <c r="AN183" s="11"/>
      <c r="AO183" s="1"/>
    </row>
    <row r="184" spans="1:41" s="13" customFormat="1" ht="15.95" customHeight="1" x14ac:dyDescent="0.25">
      <c r="A184" s="1">
        <v>46</v>
      </c>
      <c r="B184" s="11" t="s">
        <v>43</v>
      </c>
      <c r="C184" s="11" t="s">
        <v>75</v>
      </c>
      <c r="D184" s="11" t="s">
        <v>76</v>
      </c>
      <c r="E184" s="36" t="s">
        <v>81</v>
      </c>
      <c r="F184" s="11" t="s">
        <v>292</v>
      </c>
      <c r="G184" s="11">
        <v>1995</v>
      </c>
      <c r="H184" s="11" t="s">
        <v>460</v>
      </c>
      <c r="I184" s="204"/>
      <c r="J184" s="204"/>
      <c r="K184" s="204" t="s">
        <v>461</v>
      </c>
      <c r="L184" s="207"/>
      <c r="M184" s="204"/>
      <c r="N184" s="204"/>
      <c r="O184" s="38">
        <v>11.9</v>
      </c>
      <c r="P184" s="39">
        <v>2.56</v>
      </c>
      <c r="Q184" s="40">
        <v>10</v>
      </c>
      <c r="R184" s="41">
        <v>348</v>
      </c>
      <c r="S184" s="41"/>
      <c r="T184" s="41"/>
      <c r="U184" s="38">
        <v>12.2</v>
      </c>
      <c r="V184" s="41">
        <v>2.35</v>
      </c>
      <c r="W184" s="40">
        <v>10</v>
      </c>
      <c r="X184" s="11"/>
      <c r="Y184" s="11"/>
      <c r="Z184" s="11"/>
      <c r="AA184" s="11">
        <v>-1</v>
      </c>
      <c r="AB184" s="43">
        <f>((U184-O184)/V184)*AA184 * (1-(3/(4*(Q184+W184-2)-1)))</f>
        <v>-0.12226550794126419</v>
      </c>
      <c r="AC184" s="11"/>
      <c r="AD184" s="44">
        <v>1</v>
      </c>
      <c r="AE184" s="11"/>
      <c r="AF184" s="11">
        <v>7.53</v>
      </c>
      <c r="AG184" s="11" t="s">
        <v>117</v>
      </c>
      <c r="AH184" s="11"/>
      <c r="AI184" s="11">
        <v>7.59</v>
      </c>
      <c r="AJ184" s="11" t="s">
        <v>117</v>
      </c>
      <c r="AK184" s="11"/>
      <c r="AL184" s="11" t="s">
        <v>296</v>
      </c>
      <c r="AM184" s="11"/>
      <c r="AN184" s="11"/>
      <c r="AO184" s="11"/>
    </row>
    <row r="185" spans="1:41" s="13" customFormat="1" ht="15.95" customHeight="1" x14ac:dyDescent="0.25">
      <c r="A185" s="1">
        <v>85</v>
      </c>
      <c r="B185" s="11" t="s">
        <v>43</v>
      </c>
      <c r="C185" s="11" t="s">
        <v>75</v>
      </c>
      <c r="D185" s="11" t="s">
        <v>333</v>
      </c>
      <c r="E185" s="36" t="s">
        <v>81</v>
      </c>
      <c r="F185" s="11" t="s">
        <v>292</v>
      </c>
      <c r="G185" s="11">
        <v>1995</v>
      </c>
      <c r="H185" s="119" t="s">
        <v>469</v>
      </c>
      <c r="I185" s="204"/>
      <c r="J185" s="204"/>
      <c r="K185" s="204" t="s">
        <v>470</v>
      </c>
      <c r="L185" s="233" t="s">
        <v>471</v>
      </c>
      <c r="M185" s="204"/>
      <c r="N185" s="204"/>
      <c r="O185" s="38">
        <v>18.8</v>
      </c>
      <c r="P185" s="39">
        <v>8.9499999999999993</v>
      </c>
      <c r="Q185" s="40">
        <v>10</v>
      </c>
      <c r="R185" s="41">
        <v>348</v>
      </c>
      <c r="S185" s="41"/>
      <c r="T185" s="41"/>
      <c r="U185" s="38">
        <v>19</v>
      </c>
      <c r="V185" s="41">
        <v>9.6300000000000008</v>
      </c>
      <c r="W185" s="40">
        <v>10</v>
      </c>
      <c r="X185" s="11"/>
      <c r="Y185" s="11"/>
      <c r="Z185" s="11"/>
      <c r="AA185" s="11">
        <v>-1</v>
      </c>
      <c r="AB185" s="43">
        <f>((U185-O185)/V185)*AA185 * (1-(3/(4*(Q185+W185-2)-1)))</f>
        <v>-1.9890892603805523E-2</v>
      </c>
      <c r="AC185" s="11"/>
      <c r="AD185" s="44">
        <v>1</v>
      </c>
      <c r="AE185" s="11"/>
      <c r="AF185" s="11">
        <v>7.53</v>
      </c>
      <c r="AG185" s="11" t="s">
        <v>117</v>
      </c>
      <c r="AH185" s="11"/>
      <c r="AI185" s="11">
        <v>7.59</v>
      </c>
      <c r="AJ185" s="11" t="s">
        <v>117</v>
      </c>
      <c r="AK185" s="11"/>
      <c r="AL185" s="11" t="s">
        <v>296</v>
      </c>
      <c r="AM185" s="11"/>
      <c r="AN185" s="11"/>
    </row>
    <row r="186" spans="1:41" s="13" customFormat="1" ht="15.95" customHeight="1" x14ac:dyDescent="0.25">
      <c r="A186" s="1">
        <v>50</v>
      </c>
      <c r="B186" s="11" t="s">
        <v>43</v>
      </c>
      <c r="C186" s="11" t="s">
        <v>75</v>
      </c>
      <c r="D186" s="11" t="s">
        <v>76</v>
      </c>
      <c r="E186" s="36" t="s">
        <v>81</v>
      </c>
      <c r="F186" s="11" t="s">
        <v>481</v>
      </c>
      <c r="G186" s="11">
        <v>2014</v>
      </c>
      <c r="H186" s="11" t="s">
        <v>489</v>
      </c>
      <c r="I186" s="204"/>
      <c r="J186" s="204"/>
      <c r="K186" s="204" t="s">
        <v>490</v>
      </c>
      <c r="L186" s="207"/>
      <c r="M186" s="207"/>
      <c r="N186" s="204"/>
      <c r="O186" s="38">
        <f>19.6-4.4</f>
        <v>15.200000000000001</v>
      </c>
      <c r="P186" s="39">
        <f>SQRT((5.4*5.4) + (15*15))</f>
        <v>15.942396306703706</v>
      </c>
      <c r="Q186" s="40">
        <v>21</v>
      </c>
      <c r="R186" s="41">
        <v>590</v>
      </c>
      <c r="S186" s="39">
        <v>248</v>
      </c>
      <c r="T186" s="41"/>
      <c r="U186" s="38">
        <f>10.3-2.1</f>
        <v>8.2000000000000011</v>
      </c>
      <c r="V186" s="39">
        <f>SQRT((8.7*8.7) + (2.9*2.9))</f>
        <v>9.1706052144882992</v>
      </c>
      <c r="W186" s="40">
        <v>73</v>
      </c>
      <c r="X186" s="11"/>
      <c r="Y186" s="11"/>
      <c r="Z186" s="11"/>
      <c r="AA186" s="11">
        <v>1</v>
      </c>
      <c r="AB186" s="43">
        <f>((U186-O186)/V186)*AA186 * (1-(3/(4*(Q186+W186-2)-1)))</f>
        <v>-0.75706882252269381</v>
      </c>
      <c r="AC186" s="61"/>
      <c r="AD186" s="44">
        <v>1</v>
      </c>
      <c r="AE186" s="44"/>
      <c r="AF186" s="11">
        <v>10.6</v>
      </c>
      <c r="AG186" s="11">
        <v>2.5</v>
      </c>
      <c r="AH186" s="11"/>
      <c r="AI186" s="87">
        <v>10.9</v>
      </c>
      <c r="AJ186" s="87">
        <v>2.2000000000000002</v>
      </c>
      <c r="AK186" s="11"/>
      <c r="AL186" s="11"/>
      <c r="AM186" s="11"/>
      <c r="AN186" s="11"/>
      <c r="AO186" s="1"/>
    </row>
    <row r="187" spans="1:41" s="13" customFormat="1" ht="15.95" customHeight="1" x14ac:dyDescent="0.25">
      <c r="A187" s="1">
        <v>53</v>
      </c>
      <c r="B187" s="11" t="s">
        <v>43</v>
      </c>
      <c r="C187" s="11" t="s">
        <v>75</v>
      </c>
      <c r="D187" s="11" t="s">
        <v>76</v>
      </c>
      <c r="E187" s="36" t="s">
        <v>81</v>
      </c>
      <c r="F187" s="11" t="s">
        <v>519</v>
      </c>
      <c r="G187" s="11">
        <v>2004</v>
      </c>
      <c r="H187" s="11" t="s">
        <v>337</v>
      </c>
      <c r="I187" s="204"/>
      <c r="J187" s="204"/>
      <c r="K187" s="204" t="s">
        <v>457</v>
      </c>
      <c r="L187" s="207"/>
      <c r="M187" s="207"/>
      <c r="N187" s="204"/>
      <c r="O187" s="38">
        <v>17.71</v>
      </c>
      <c r="P187" s="39">
        <v>11.68</v>
      </c>
      <c r="Q187" s="40">
        <v>14</v>
      </c>
      <c r="R187" s="114">
        <v>491</v>
      </c>
      <c r="S187" s="117">
        <v>149.19999999999999</v>
      </c>
      <c r="T187" s="41"/>
      <c r="U187" s="38">
        <v>7.61</v>
      </c>
      <c r="V187" s="39">
        <v>3.17</v>
      </c>
      <c r="W187" s="40">
        <v>14</v>
      </c>
      <c r="X187" s="11"/>
      <c r="Y187" s="11"/>
      <c r="Z187" s="11"/>
      <c r="AA187" s="11">
        <v>1</v>
      </c>
      <c r="AB187" s="43">
        <f>((U187-O187)/V187)*AA187 * (1-(3/(4*(Q187+W187-2)-1)))</f>
        <v>-3.0933202658417818</v>
      </c>
      <c r="AC187" s="61"/>
      <c r="AD187" s="44">
        <v>1</v>
      </c>
      <c r="AE187" s="44"/>
      <c r="AF187" s="119">
        <v>10.8</v>
      </c>
      <c r="AG187" s="119">
        <f>(13-8)/4</f>
        <v>1.25</v>
      </c>
      <c r="AH187" s="119"/>
      <c r="AI187" s="120">
        <v>10.9</v>
      </c>
      <c r="AJ187" s="121">
        <f>(13-8)/4</f>
        <v>1.25</v>
      </c>
      <c r="AK187" s="11"/>
      <c r="AL187" s="11"/>
      <c r="AM187" s="11"/>
      <c r="AN187" s="11"/>
      <c r="AO187" s="1"/>
    </row>
    <row r="188" spans="1:41" s="11" customFormat="1" ht="15.95" customHeight="1" x14ac:dyDescent="0.25">
      <c r="A188" s="1">
        <v>54</v>
      </c>
      <c r="B188" s="11" t="s">
        <v>43</v>
      </c>
      <c r="C188" s="11" t="s">
        <v>75</v>
      </c>
      <c r="D188" s="11" t="s">
        <v>76</v>
      </c>
      <c r="E188" s="36" t="s">
        <v>81</v>
      </c>
      <c r="F188" s="11" t="s">
        <v>519</v>
      </c>
      <c r="G188" s="11">
        <v>2004</v>
      </c>
      <c r="H188" s="11" t="s">
        <v>337</v>
      </c>
      <c r="I188" s="204"/>
      <c r="J188" s="204"/>
      <c r="K188" s="204" t="s">
        <v>528</v>
      </c>
      <c r="L188" s="207"/>
      <c r="M188" s="207"/>
      <c r="N188" s="204"/>
      <c r="O188" s="38">
        <v>5.07</v>
      </c>
      <c r="P188" s="39">
        <v>1.32</v>
      </c>
      <c r="Q188" s="40">
        <v>14</v>
      </c>
      <c r="R188" s="114">
        <v>491</v>
      </c>
      <c r="S188" s="117">
        <v>149.19999999999999</v>
      </c>
      <c r="T188" s="41"/>
      <c r="U188" s="38">
        <v>6</v>
      </c>
      <c r="V188" s="39">
        <v>1.3</v>
      </c>
      <c r="W188" s="40">
        <v>14</v>
      </c>
      <c r="AA188" s="11">
        <v>-1</v>
      </c>
      <c r="AB188" s="43">
        <f>((U188-O188)/V188)*AA188 * (1-(3/(4*(Q188+W188-2)-1)))</f>
        <v>-0.69454817027632543</v>
      </c>
      <c r="AC188" s="61"/>
      <c r="AD188" s="44">
        <v>1</v>
      </c>
      <c r="AE188" s="44"/>
      <c r="AF188" s="119">
        <v>10.8</v>
      </c>
      <c r="AG188" s="119">
        <f>(13-8)/4</f>
        <v>1.25</v>
      </c>
      <c r="AH188" s="119"/>
      <c r="AI188" s="120">
        <v>10.9</v>
      </c>
      <c r="AJ188" s="121">
        <f>(13-8)/4</f>
        <v>1.25</v>
      </c>
      <c r="AO188" s="1"/>
    </row>
    <row r="189" spans="1:41" s="13" customFormat="1" ht="15.95" customHeight="1" x14ac:dyDescent="0.25">
      <c r="A189" s="1">
        <v>84</v>
      </c>
      <c r="B189" s="11" t="s">
        <v>43</v>
      </c>
      <c r="C189" s="11" t="s">
        <v>75</v>
      </c>
      <c r="D189" s="11" t="s">
        <v>333</v>
      </c>
      <c r="E189" s="36" t="s">
        <v>81</v>
      </c>
      <c r="F189" s="119" t="s">
        <v>698</v>
      </c>
      <c r="G189" s="11">
        <v>2000</v>
      </c>
      <c r="H189" s="119" t="s">
        <v>469</v>
      </c>
      <c r="I189" s="208"/>
      <c r="J189" s="208"/>
      <c r="K189" s="204" t="s">
        <v>350</v>
      </c>
      <c r="L189" s="208" t="s">
        <v>703</v>
      </c>
      <c r="M189" s="207"/>
      <c r="N189" s="205"/>
      <c r="O189" s="38">
        <v>19.79</v>
      </c>
      <c r="P189" s="117">
        <v>8.74</v>
      </c>
      <c r="Q189" s="40">
        <v>19</v>
      </c>
      <c r="R189" s="41">
        <v>777.2</v>
      </c>
      <c r="S189" s="39">
        <v>199.9</v>
      </c>
      <c r="T189" s="41"/>
      <c r="U189" s="122">
        <v>20.68</v>
      </c>
      <c r="V189" s="39">
        <v>13.44</v>
      </c>
      <c r="W189" s="40">
        <v>19</v>
      </c>
      <c r="X189" s="11"/>
      <c r="Y189" s="11"/>
      <c r="Z189" s="11"/>
      <c r="AA189" s="11">
        <v>-1</v>
      </c>
      <c r="AB189" s="43">
        <f>((U189-O189)/V189)*AA189 * (1-(3/(4*(Q189+W189-2)-1)))</f>
        <v>-6.4831002331002377E-2</v>
      </c>
      <c r="AC189" s="61"/>
      <c r="AD189" s="44">
        <v>1</v>
      </c>
      <c r="AE189" s="44"/>
      <c r="AF189" s="11">
        <v>9.4</v>
      </c>
      <c r="AG189" s="11">
        <v>2.9</v>
      </c>
      <c r="AH189" s="11"/>
      <c r="AI189" s="87">
        <v>9.3000000000000007</v>
      </c>
      <c r="AJ189" s="87">
        <v>2.9</v>
      </c>
      <c r="AK189" s="11"/>
      <c r="AL189" s="11"/>
      <c r="AM189" s="11"/>
      <c r="AN189" s="11"/>
      <c r="AO189" s="1"/>
    </row>
    <row r="190" spans="1:41" s="13" customFormat="1" ht="15.95" customHeight="1" x14ac:dyDescent="0.25">
      <c r="A190" s="1">
        <v>55</v>
      </c>
      <c r="B190" s="11" t="s">
        <v>43</v>
      </c>
      <c r="C190" s="11" t="s">
        <v>75</v>
      </c>
      <c r="D190" s="11" t="s">
        <v>76</v>
      </c>
      <c r="E190" s="36" t="s">
        <v>81</v>
      </c>
      <c r="F190" s="119" t="s">
        <v>698</v>
      </c>
      <c r="G190" s="11">
        <v>2000</v>
      </c>
      <c r="H190" s="119" t="s">
        <v>337</v>
      </c>
      <c r="I190" s="208"/>
      <c r="J190" s="208"/>
      <c r="K190" s="204" t="s">
        <v>457</v>
      </c>
      <c r="L190" s="207" t="s">
        <v>705</v>
      </c>
      <c r="M190" s="207"/>
      <c r="N190" s="204"/>
      <c r="O190" s="38">
        <v>18.25</v>
      </c>
      <c r="P190" s="39">
        <v>8.08</v>
      </c>
      <c r="Q190" s="40">
        <v>19</v>
      </c>
      <c r="R190" s="41">
        <v>777.2</v>
      </c>
      <c r="S190" s="39">
        <v>199.9</v>
      </c>
      <c r="T190" s="41"/>
      <c r="U190" s="38">
        <v>13.77</v>
      </c>
      <c r="V190" s="39">
        <v>7.64</v>
      </c>
      <c r="W190" s="40">
        <v>19</v>
      </c>
      <c r="X190" s="11"/>
      <c r="Y190" s="11"/>
      <c r="Z190" s="11"/>
      <c r="AA190" s="11">
        <v>1</v>
      </c>
      <c r="AB190" s="43">
        <f>((U190-O190)/V190)*AA190 * (1-(3/(4*(Q190+W190-2)-1)))</f>
        <v>-0.57408560026361077</v>
      </c>
      <c r="AC190" s="61"/>
      <c r="AD190" s="44">
        <v>1</v>
      </c>
      <c r="AE190" s="44"/>
      <c r="AF190" s="11">
        <v>9.4</v>
      </c>
      <c r="AG190" s="11">
        <v>2.9</v>
      </c>
      <c r="AH190" s="11"/>
      <c r="AI190" s="87">
        <v>9.3000000000000007</v>
      </c>
      <c r="AJ190" s="87">
        <v>2.9</v>
      </c>
      <c r="AK190" s="11"/>
      <c r="AL190" s="11"/>
      <c r="AM190" s="11"/>
      <c r="AN190" s="11"/>
      <c r="AO190" s="11"/>
    </row>
    <row r="191" spans="1:41" s="13" customFormat="1" ht="15.95" customHeight="1" x14ac:dyDescent="0.25">
      <c r="A191" s="1">
        <v>56</v>
      </c>
      <c r="B191" s="11" t="s">
        <v>43</v>
      </c>
      <c r="C191" s="11" t="s">
        <v>75</v>
      </c>
      <c r="D191" s="11" t="s">
        <v>76</v>
      </c>
      <c r="E191" s="36" t="s">
        <v>81</v>
      </c>
      <c r="F191" s="119" t="s">
        <v>698</v>
      </c>
      <c r="G191" s="11">
        <v>2000</v>
      </c>
      <c r="H191" s="119" t="s">
        <v>337</v>
      </c>
      <c r="I191" s="208"/>
      <c r="J191" s="208"/>
      <c r="K191" s="205" t="s">
        <v>706</v>
      </c>
      <c r="L191" s="208" t="s">
        <v>707</v>
      </c>
      <c r="M191" s="207"/>
      <c r="N191" s="205"/>
      <c r="O191" s="38">
        <v>4.6500000000000004</v>
      </c>
      <c r="P191" s="117">
        <v>1.45</v>
      </c>
      <c r="Q191" s="40">
        <v>19</v>
      </c>
      <c r="R191" s="41">
        <v>777.2</v>
      </c>
      <c r="S191" s="39">
        <v>199.9</v>
      </c>
      <c r="T191" s="41"/>
      <c r="U191" s="122">
        <v>5.47</v>
      </c>
      <c r="V191" s="39">
        <v>1.02</v>
      </c>
      <c r="W191" s="40">
        <v>19</v>
      </c>
      <c r="X191" s="11"/>
      <c r="Y191" s="11"/>
      <c r="Z191" s="11"/>
      <c r="AA191" s="11">
        <v>-1</v>
      </c>
      <c r="AB191" s="43">
        <f>((U191-O191)/V191)*AA191 * (1-(3/(4*(Q191+W191-2)-1)))</f>
        <v>-0.78705608117372761</v>
      </c>
      <c r="AC191" s="61"/>
      <c r="AD191" s="44">
        <v>1</v>
      </c>
      <c r="AE191" s="44"/>
      <c r="AF191" s="11">
        <v>9.4</v>
      </c>
      <c r="AG191" s="11">
        <v>2.9</v>
      </c>
      <c r="AH191" s="11"/>
      <c r="AI191" s="87">
        <v>9.3000000000000007</v>
      </c>
      <c r="AJ191" s="87">
        <v>2.9</v>
      </c>
      <c r="AK191" s="11"/>
      <c r="AL191" s="11"/>
      <c r="AM191" s="11"/>
      <c r="AN191" s="11"/>
      <c r="AO191" s="1"/>
    </row>
    <row r="192" spans="1:41" s="13" customFormat="1" ht="15.95" customHeight="1" x14ac:dyDescent="0.25">
      <c r="A192" s="1">
        <v>57</v>
      </c>
      <c r="B192" s="11" t="s">
        <v>43</v>
      </c>
      <c r="C192" s="11" t="s">
        <v>75</v>
      </c>
      <c r="D192" s="11" t="s">
        <v>76</v>
      </c>
      <c r="E192" s="36" t="s">
        <v>81</v>
      </c>
      <c r="F192" s="11" t="s">
        <v>713</v>
      </c>
      <c r="G192" s="11">
        <v>1999</v>
      </c>
      <c r="H192" s="119" t="s">
        <v>337</v>
      </c>
      <c r="I192" s="208"/>
      <c r="J192" s="208"/>
      <c r="K192" s="205" t="s">
        <v>706</v>
      </c>
      <c r="L192" s="207"/>
      <c r="M192" s="207"/>
      <c r="N192" s="204"/>
      <c r="O192" s="38">
        <v>4.0999999999999996</v>
      </c>
      <c r="P192" s="39">
        <v>1.9</v>
      </c>
      <c r="Q192" s="40">
        <v>36</v>
      </c>
      <c r="R192" s="41">
        <v>455</v>
      </c>
      <c r="S192" s="39">
        <v>250</v>
      </c>
      <c r="T192" s="41"/>
      <c r="U192" s="38">
        <v>4.8</v>
      </c>
      <c r="V192" s="39">
        <v>2</v>
      </c>
      <c r="W192" s="40">
        <v>36</v>
      </c>
      <c r="X192" s="11"/>
      <c r="Y192" s="11"/>
      <c r="Z192" s="11"/>
      <c r="AA192" s="11">
        <v>-1</v>
      </c>
      <c r="AB192" s="43">
        <f>((U192-O192)/V192)*AA192 * (1-(3/(4*(Q192+W192-2)-1)))</f>
        <v>-0.34623655913978502</v>
      </c>
      <c r="AC192" s="61"/>
      <c r="AD192" s="44">
        <v>1</v>
      </c>
      <c r="AE192" s="44"/>
      <c r="AF192" s="11">
        <v>13.3</v>
      </c>
      <c r="AG192" s="11">
        <v>3</v>
      </c>
      <c r="AH192" s="11"/>
      <c r="AI192" s="87">
        <v>13.2</v>
      </c>
      <c r="AJ192" s="87">
        <v>3</v>
      </c>
      <c r="AK192" s="11"/>
      <c r="AL192" s="11"/>
      <c r="AM192" s="11"/>
      <c r="AN192" s="11"/>
      <c r="AO192" s="1"/>
    </row>
    <row r="193" spans="1:41" s="13" customFormat="1" ht="15.95" customHeight="1" x14ac:dyDescent="0.25">
      <c r="A193" s="1">
        <v>58</v>
      </c>
      <c r="B193" s="11" t="s">
        <v>43</v>
      </c>
      <c r="C193" s="11" t="s">
        <v>75</v>
      </c>
      <c r="D193" s="11" t="s">
        <v>76</v>
      </c>
      <c r="E193" s="36" t="s">
        <v>81</v>
      </c>
      <c r="F193" s="11" t="s">
        <v>713</v>
      </c>
      <c r="G193" s="11">
        <v>1999</v>
      </c>
      <c r="H193" s="119" t="s">
        <v>337</v>
      </c>
      <c r="I193" s="208"/>
      <c r="J193" s="208"/>
      <c r="K193" s="204" t="s">
        <v>716</v>
      </c>
      <c r="L193" s="207"/>
      <c r="M193" s="207"/>
      <c r="N193" s="204"/>
      <c r="O193" s="38">
        <v>11.6</v>
      </c>
      <c r="P193" s="39">
        <v>7.9</v>
      </c>
      <c r="Q193" s="40">
        <v>36</v>
      </c>
      <c r="R193" s="41">
        <v>455</v>
      </c>
      <c r="S193" s="39">
        <v>250</v>
      </c>
      <c r="T193" s="41"/>
      <c r="U193" s="38">
        <v>7.8</v>
      </c>
      <c r="V193" s="39">
        <v>4.9000000000000004</v>
      </c>
      <c r="W193" s="40">
        <v>36</v>
      </c>
      <c r="X193" s="11"/>
      <c r="Y193" s="11"/>
      <c r="Z193" s="11"/>
      <c r="AA193" s="11">
        <v>-1</v>
      </c>
      <c r="AB193" s="43">
        <f>((U193-O193)/V193)*AA193 * (1-(3/(4*(Q193+W193-2)-1)))</f>
        <v>0.76717138468290524</v>
      </c>
      <c r="AC193" s="61"/>
      <c r="AD193" s="44">
        <v>1</v>
      </c>
      <c r="AE193" s="44"/>
      <c r="AF193" s="11">
        <v>13.3</v>
      </c>
      <c r="AG193" s="11">
        <v>3</v>
      </c>
      <c r="AH193" s="11"/>
      <c r="AI193" s="87">
        <v>13.2</v>
      </c>
      <c r="AJ193" s="87">
        <v>3</v>
      </c>
      <c r="AK193" s="11"/>
      <c r="AL193" s="11"/>
      <c r="AM193" s="11"/>
      <c r="AN193" s="11"/>
      <c r="AO193" s="1"/>
    </row>
    <row r="194" spans="1:41" s="13" customFormat="1" ht="15.95" customHeight="1" x14ac:dyDescent="0.25">
      <c r="A194" s="1">
        <v>51</v>
      </c>
      <c r="B194" s="11" t="s">
        <v>43</v>
      </c>
      <c r="C194" s="11" t="s">
        <v>75</v>
      </c>
      <c r="D194" s="11" t="s">
        <v>76</v>
      </c>
      <c r="E194" s="36" t="s">
        <v>81</v>
      </c>
      <c r="F194" s="13" t="s">
        <v>720</v>
      </c>
      <c r="G194" s="13">
        <v>2020</v>
      </c>
      <c r="H194" s="13" t="s">
        <v>731</v>
      </c>
      <c r="I194" s="204"/>
      <c r="J194" s="204"/>
      <c r="K194" s="204" t="s">
        <v>732</v>
      </c>
      <c r="L194" s="207" t="s">
        <v>730</v>
      </c>
      <c r="M194" s="204"/>
      <c r="N194" s="204" t="s">
        <v>723</v>
      </c>
      <c r="O194" s="124">
        <v>7</v>
      </c>
      <c r="P194" s="125">
        <f>9/4</f>
        <v>2.25</v>
      </c>
      <c r="Q194" s="126">
        <v>15</v>
      </c>
      <c r="R194" s="41">
        <v>289</v>
      </c>
      <c r="S194" s="39">
        <v>82.8</v>
      </c>
      <c r="T194" s="97"/>
      <c r="U194" s="124">
        <v>10</v>
      </c>
      <c r="V194" s="97">
        <f>9/4</f>
        <v>2.25</v>
      </c>
      <c r="W194" s="126">
        <v>14</v>
      </c>
      <c r="X194" s="127"/>
      <c r="AA194" s="13">
        <v>-1</v>
      </c>
      <c r="AB194" s="43">
        <f>((U194-O194)/V194)*AA194 * (1-(3/(4*(Q194+W194-2)-1)))</f>
        <v>-1.2959501557632398</v>
      </c>
      <c r="AC194" s="128"/>
      <c r="AD194" s="44">
        <v>1</v>
      </c>
      <c r="AE194" s="44"/>
      <c r="AI194" s="129"/>
      <c r="AJ194" s="129"/>
      <c r="AO194" s="1"/>
    </row>
    <row r="195" spans="1:41" s="13" customFormat="1" ht="15.95" customHeight="1" x14ac:dyDescent="0.25">
      <c r="A195" s="1">
        <v>69</v>
      </c>
      <c r="B195" s="11" t="s">
        <v>43</v>
      </c>
      <c r="C195" s="11" t="s">
        <v>75</v>
      </c>
      <c r="D195" s="11" t="s">
        <v>333</v>
      </c>
      <c r="E195" s="36" t="s">
        <v>81</v>
      </c>
      <c r="F195" s="11" t="s">
        <v>322</v>
      </c>
      <c r="G195" s="11">
        <v>2001</v>
      </c>
      <c r="H195" s="11" t="s">
        <v>334</v>
      </c>
      <c r="I195" s="204"/>
      <c r="J195" s="204"/>
      <c r="K195" s="204" t="s">
        <v>350</v>
      </c>
      <c r="L195" s="207"/>
      <c r="M195" s="207"/>
      <c r="N195" s="204"/>
      <c r="O195" s="38">
        <v>4.17</v>
      </c>
      <c r="P195" s="39">
        <v>2.35</v>
      </c>
      <c r="Q195" s="40">
        <v>23</v>
      </c>
      <c r="R195" s="41">
        <v>496.4</v>
      </c>
      <c r="S195" s="39">
        <v>230</v>
      </c>
      <c r="T195" s="41"/>
      <c r="U195" s="38">
        <v>6.43</v>
      </c>
      <c r="V195" s="39">
        <v>3.45</v>
      </c>
      <c r="W195" s="40">
        <v>23</v>
      </c>
      <c r="X195" s="11"/>
      <c r="Y195" s="11"/>
      <c r="Z195" s="11"/>
      <c r="AA195" s="11">
        <v>-1</v>
      </c>
      <c r="AB195" s="43">
        <f>((U195-O195)/V195)*AA195 * (1-(3/(4*(Q195+W195-2)-1)))</f>
        <v>-0.6438426501035196</v>
      </c>
      <c r="AC195" s="61"/>
      <c r="AD195" s="44">
        <v>1</v>
      </c>
      <c r="AE195" s="44"/>
      <c r="AF195" s="11">
        <v>10.7</v>
      </c>
      <c r="AG195" s="11">
        <v>3.4</v>
      </c>
      <c r="AH195" s="11"/>
      <c r="AI195" s="87">
        <v>11.1</v>
      </c>
      <c r="AJ195" s="87">
        <v>3.7</v>
      </c>
      <c r="AK195" s="11"/>
      <c r="AL195" s="11"/>
      <c r="AM195" s="11"/>
      <c r="AN195" s="11"/>
      <c r="AO195" s="11"/>
    </row>
    <row r="196" spans="1:41" s="13" customFormat="1" ht="15.95" customHeight="1" x14ac:dyDescent="0.25">
      <c r="A196" s="1">
        <v>98</v>
      </c>
      <c r="B196" s="11" t="s">
        <v>43</v>
      </c>
      <c r="C196" s="11" t="s">
        <v>75</v>
      </c>
      <c r="D196" s="11" t="s">
        <v>333</v>
      </c>
      <c r="E196" s="36" t="s">
        <v>81</v>
      </c>
      <c r="F196" s="11" t="s">
        <v>322</v>
      </c>
      <c r="G196" s="11">
        <v>2001</v>
      </c>
      <c r="H196" s="11" t="s">
        <v>336</v>
      </c>
      <c r="I196" s="204"/>
      <c r="J196" s="204"/>
      <c r="K196" s="204" t="s">
        <v>350</v>
      </c>
      <c r="L196" s="207"/>
      <c r="M196" s="207"/>
      <c r="N196" s="204"/>
      <c r="O196" s="38">
        <v>16.3</v>
      </c>
      <c r="P196" s="39">
        <v>5.12</v>
      </c>
      <c r="Q196" s="40">
        <v>23</v>
      </c>
      <c r="R196" s="41">
        <v>496.4</v>
      </c>
      <c r="S196" s="39">
        <v>230</v>
      </c>
      <c r="T196" s="41"/>
      <c r="U196" s="38">
        <v>16.57</v>
      </c>
      <c r="V196" s="39">
        <v>6.92</v>
      </c>
      <c r="W196" s="40">
        <v>23</v>
      </c>
      <c r="X196" s="11"/>
      <c r="Y196" s="11"/>
      <c r="Z196" s="11"/>
      <c r="AA196" s="11">
        <v>-1</v>
      </c>
      <c r="AB196" s="43">
        <f>((U196-O196)/V196)*AA196 * (1-(3/(4*(Q196+W196-2)-1)))</f>
        <v>-3.8348472336911583E-2</v>
      </c>
      <c r="AC196" s="61"/>
      <c r="AD196" s="44">
        <v>1</v>
      </c>
      <c r="AE196" s="44"/>
      <c r="AF196" s="11">
        <v>10.7</v>
      </c>
      <c r="AG196" s="11">
        <v>3.4</v>
      </c>
      <c r="AH196" s="11"/>
      <c r="AI196" s="87">
        <v>11.1</v>
      </c>
      <c r="AJ196" s="87">
        <v>3.7</v>
      </c>
      <c r="AK196" s="11"/>
      <c r="AL196" s="11"/>
      <c r="AM196" s="11"/>
      <c r="AN196" s="11"/>
      <c r="AO196" s="1"/>
    </row>
    <row r="197" spans="1:41" s="13" customFormat="1" ht="15.95" customHeight="1" x14ac:dyDescent="0.25">
      <c r="A197" s="1">
        <v>60</v>
      </c>
      <c r="B197" s="11" t="s">
        <v>43</v>
      </c>
      <c r="C197" s="11" t="s">
        <v>75</v>
      </c>
      <c r="D197" s="11" t="s">
        <v>76</v>
      </c>
      <c r="E197" s="36" t="s">
        <v>81</v>
      </c>
      <c r="F197" s="11" t="s">
        <v>322</v>
      </c>
      <c r="G197" s="11">
        <v>2001</v>
      </c>
      <c r="H197" s="11" t="s">
        <v>337</v>
      </c>
      <c r="I197" s="204"/>
      <c r="J197" s="204"/>
      <c r="K197" s="204" t="s">
        <v>771</v>
      </c>
      <c r="L197" s="207"/>
      <c r="M197" s="207"/>
      <c r="N197" s="204"/>
      <c r="O197" s="38">
        <v>68.48</v>
      </c>
      <c r="P197" s="39">
        <v>14.01</v>
      </c>
      <c r="Q197" s="40">
        <v>23</v>
      </c>
      <c r="R197" s="41">
        <v>496.4</v>
      </c>
      <c r="S197" s="39">
        <v>230</v>
      </c>
      <c r="T197" s="41"/>
      <c r="U197" s="38">
        <v>71.09</v>
      </c>
      <c r="V197" s="39">
        <v>9.81</v>
      </c>
      <c r="W197" s="40">
        <v>23</v>
      </c>
      <c r="X197" s="11"/>
      <c r="Y197" s="11"/>
      <c r="Z197" s="11"/>
      <c r="AA197" s="11">
        <v>-1</v>
      </c>
      <c r="AB197" s="43">
        <f>((U197-O197)/V197)*AA197 * (1-(3/(4*(Q197+W197-2)-1)))</f>
        <v>-0.26149410222804709</v>
      </c>
      <c r="AC197" s="61"/>
      <c r="AD197" s="44">
        <v>1</v>
      </c>
      <c r="AE197" s="44"/>
      <c r="AF197" s="11">
        <v>10.7</v>
      </c>
      <c r="AG197" s="11">
        <v>3.4</v>
      </c>
      <c r="AH197" s="11"/>
      <c r="AI197" s="87">
        <v>11.1</v>
      </c>
      <c r="AJ197" s="87">
        <v>3.7</v>
      </c>
      <c r="AK197" s="11"/>
      <c r="AL197" s="11"/>
      <c r="AM197" s="11"/>
      <c r="AN197" s="11"/>
      <c r="AO197" s="1"/>
    </row>
    <row r="198" spans="1:41" s="13" customFormat="1" ht="15.95" customHeight="1" x14ac:dyDescent="0.25">
      <c r="A198" s="1">
        <v>61</v>
      </c>
      <c r="B198" s="11" t="s">
        <v>43</v>
      </c>
      <c r="C198" s="11" t="s">
        <v>75</v>
      </c>
      <c r="D198" s="11" t="s">
        <v>76</v>
      </c>
      <c r="E198" s="36" t="s">
        <v>81</v>
      </c>
      <c r="F198" s="11" t="s">
        <v>322</v>
      </c>
      <c r="G198" s="11">
        <v>2001</v>
      </c>
      <c r="H198" s="11" t="s">
        <v>337</v>
      </c>
      <c r="I198" s="204"/>
      <c r="J198" s="204"/>
      <c r="K198" s="204" t="s">
        <v>457</v>
      </c>
      <c r="L198" s="207"/>
      <c r="M198" s="207"/>
      <c r="N198" s="204"/>
      <c r="O198" s="38">
        <v>18.48</v>
      </c>
      <c r="P198" s="39">
        <v>18.82</v>
      </c>
      <c r="Q198" s="40">
        <v>23</v>
      </c>
      <c r="R198" s="41">
        <v>496.4</v>
      </c>
      <c r="S198" s="39">
        <v>230</v>
      </c>
      <c r="T198" s="41"/>
      <c r="U198" s="38">
        <v>17.91</v>
      </c>
      <c r="V198" s="39">
        <v>13.44</v>
      </c>
      <c r="W198" s="40">
        <v>23</v>
      </c>
      <c r="X198" s="11"/>
      <c r="Y198" s="11"/>
      <c r="Z198" s="11"/>
      <c r="AA198" s="11">
        <v>1</v>
      </c>
      <c r="AB198" s="43">
        <f>((U198-O198)/V198)*AA198 * (1-(3/(4*(Q198+W198-2)-1)))</f>
        <v>-4.1683673469387776E-2</v>
      </c>
      <c r="AC198" s="61"/>
      <c r="AD198" s="44">
        <v>1</v>
      </c>
      <c r="AE198" s="44"/>
      <c r="AF198" s="11">
        <v>10.7</v>
      </c>
      <c r="AG198" s="11">
        <v>3.4</v>
      </c>
      <c r="AH198" s="11"/>
      <c r="AI198" s="87">
        <v>11.1</v>
      </c>
      <c r="AJ198" s="87">
        <v>3.7</v>
      </c>
      <c r="AK198" s="11"/>
      <c r="AL198" s="11"/>
      <c r="AM198" s="11"/>
      <c r="AN198" s="11"/>
      <c r="AO198" s="1"/>
    </row>
    <row r="199" spans="1:41" s="13" customFormat="1" ht="15.95" customHeight="1" x14ac:dyDescent="0.25">
      <c r="A199" s="1">
        <v>66</v>
      </c>
      <c r="B199" s="11" t="s">
        <v>54</v>
      </c>
      <c r="C199" s="11" t="s">
        <v>75</v>
      </c>
      <c r="D199" s="11" t="s">
        <v>76</v>
      </c>
      <c r="E199" s="36"/>
      <c r="F199" s="11" t="s">
        <v>287</v>
      </c>
      <c r="G199" s="11">
        <v>2005</v>
      </c>
      <c r="H199" s="11" t="s">
        <v>394</v>
      </c>
      <c r="I199" s="204"/>
      <c r="J199" s="204"/>
      <c r="K199" s="204"/>
      <c r="L199" s="207"/>
      <c r="M199" s="207"/>
      <c r="N199" s="204"/>
      <c r="O199" s="38">
        <v>45</v>
      </c>
      <c r="P199" s="39">
        <v>13</v>
      </c>
      <c r="Q199" s="40">
        <v>26</v>
      </c>
      <c r="R199" s="114">
        <f>(449+529)/2</f>
        <v>489</v>
      </c>
      <c r="S199" s="117">
        <f>(220+142)/2</f>
        <v>181</v>
      </c>
      <c r="T199" s="41"/>
      <c r="U199" s="38">
        <v>53</v>
      </c>
      <c r="V199" s="39">
        <v>11</v>
      </c>
      <c r="W199" s="40">
        <v>21</v>
      </c>
      <c r="X199" s="11"/>
      <c r="Y199" s="11"/>
      <c r="Z199" s="11"/>
      <c r="AA199" s="11">
        <v>-1</v>
      </c>
      <c r="AB199" s="43">
        <f>((U199-O199)/V199)*AA199 * (1-(3/(4*(Q199+W199-2)-1)))</f>
        <v>-0.71508379888268159</v>
      </c>
      <c r="AC199" s="61"/>
      <c r="AD199" s="44">
        <v>1</v>
      </c>
      <c r="AE199" s="44"/>
      <c r="AF199" s="119">
        <v>12.3</v>
      </c>
      <c r="AG199" s="119">
        <v>3.7</v>
      </c>
      <c r="AH199" s="119"/>
      <c r="AI199" s="120">
        <v>11.8</v>
      </c>
      <c r="AJ199" s="120">
        <v>3.6</v>
      </c>
      <c r="AK199" s="11"/>
      <c r="AL199" s="11"/>
      <c r="AM199" s="11"/>
      <c r="AN199" s="11"/>
      <c r="AO199" s="1"/>
    </row>
    <row r="200" spans="1:41" s="11" customFormat="1" ht="15.95" customHeight="1" x14ac:dyDescent="0.25">
      <c r="A200" s="1">
        <v>68</v>
      </c>
      <c r="B200" s="11" t="s">
        <v>54</v>
      </c>
      <c r="C200" s="11" t="s">
        <v>75</v>
      </c>
      <c r="D200" s="11" t="s">
        <v>76</v>
      </c>
      <c r="E200" s="36"/>
      <c r="F200" s="11" t="s">
        <v>292</v>
      </c>
      <c r="G200" s="11">
        <v>1995</v>
      </c>
      <c r="H200" s="11" t="s">
        <v>460</v>
      </c>
      <c r="I200" s="204"/>
      <c r="J200" s="204"/>
      <c r="K200" s="204" t="s">
        <v>461</v>
      </c>
      <c r="L200" s="207" t="s">
        <v>462</v>
      </c>
      <c r="M200" s="207"/>
      <c r="N200" s="204"/>
      <c r="O200" s="38">
        <v>18.2</v>
      </c>
      <c r="P200" s="39">
        <v>3.43</v>
      </c>
      <c r="Q200" s="40">
        <v>10</v>
      </c>
      <c r="R200" s="41">
        <v>1014</v>
      </c>
      <c r="S200" s="41">
        <v>216</v>
      </c>
      <c r="T200" s="41"/>
      <c r="U200" s="38">
        <v>24.5</v>
      </c>
      <c r="V200" s="41">
        <v>3.41</v>
      </c>
      <c r="W200" s="40">
        <v>10</v>
      </c>
      <c r="Z200" s="143"/>
      <c r="AA200" s="11">
        <v>-1</v>
      </c>
      <c r="AB200" s="43">
        <f>((U200-O200)/V200)*AA200 * (1-(3/(4*(Q200+W200-2)-1)))</f>
        <v>-1.7694436413200614</v>
      </c>
      <c r="AD200" s="44">
        <v>1</v>
      </c>
      <c r="AF200" s="1">
        <v>20.6</v>
      </c>
      <c r="AG200" s="1">
        <f>(28.6-13.4)/4</f>
        <v>3.8000000000000003</v>
      </c>
      <c r="AH200" s="163" t="s">
        <v>297</v>
      </c>
      <c r="AO200" s="13"/>
    </row>
    <row r="201" spans="1:41" s="11" customFormat="1" ht="15.95" customHeight="1" x14ac:dyDescent="0.25">
      <c r="A201" s="1">
        <v>86</v>
      </c>
      <c r="B201" s="11" t="s">
        <v>54</v>
      </c>
      <c r="C201" s="11" t="s">
        <v>75</v>
      </c>
      <c r="D201" s="11" t="s">
        <v>333</v>
      </c>
      <c r="E201" s="36"/>
      <c r="F201" s="11" t="s">
        <v>292</v>
      </c>
      <c r="G201" s="11">
        <v>1995</v>
      </c>
      <c r="H201" s="119" t="s">
        <v>469</v>
      </c>
      <c r="I201" s="204"/>
      <c r="J201" s="204"/>
      <c r="K201" s="204" t="s">
        <v>470</v>
      </c>
      <c r="L201" s="233" t="s">
        <v>471</v>
      </c>
      <c r="M201" s="207"/>
      <c r="N201" s="204"/>
      <c r="O201" s="38">
        <v>33.799999999999997</v>
      </c>
      <c r="P201" s="39">
        <v>9.43</v>
      </c>
      <c r="Q201" s="40">
        <v>10</v>
      </c>
      <c r="R201" s="41">
        <v>1014</v>
      </c>
      <c r="S201" s="41">
        <v>216</v>
      </c>
      <c r="T201" s="41"/>
      <c r="U201" s="38">
        <v>38.9</v>
      </c>
      <c r="V201" s="41">
        <v>8.6300000000000008</v>
      </c>
      <c r="W201" s="40">
        <v>10</v>
      </c>
      <c r="Z201" s="143"/>
      <c r="AA201" s="11">
        <v>-1</v>
      </c>
      <c r="AB201" s="43">
        <f>((U201-O201)/V201)*AA201 * (1-(3/(4*(Q201+W201-2)-1)))</f>
        <v>-0.56599154603169444</v>
      </c>
      <c r="AD201" s="44">
        <v>1</v>
      </c>
      <c r="AF201" s="18">
        <v>20.6</v>
      </c>
      <c r="AG201" s="1">
        <f>(28.6-13.4)/4</f>
        <v>3.8000000000000003</v>
      </c>
      <c r="AH201" s="163" t="s">
        <v>297</v>
      </c>
      <c r="AO201" s="1"/>
    </row>
    <row r="202" spans="1:41" s="11" customFormat="1" ht="15.95" customHeight="1" x14ac:dyDescent="0.25">
      <c r="A202" s="1">
        <v>67</v>
      </c>
      <c r="B202" s="11" t="s">
        <v>54</v>
      </c>
      <c r="C202" s="11" t="s">
        <v>75</v>
      </c>
      <c r="D202" s="11" t="s">
        <v>76</v>
      </c>
      <c r="E202" s="36"/>
      <c r="F202" s="11" t="s">
        <v>137</v>
      </c>
      <c r="G202" s="11">
        <v>2001</v>
      </c>
      <c r="H202" s="11" t="s">
        <v>337</v>
      </c>
      <c r="I202" s="204"/>
      <c r="J202" s="204"/>
      <c r="K202" s="204" t="s">
        <v>545</v>
      </c>
      <c r="L202" s="207"/>
      <c r="M202" s="207" t="s">
        <v>546</v>
      </c>
      <c r="N202" s="204"/>
      <c r="O202" s="38">
        <v>7.9249999999999998</v>
      </c>
      <c r="P202" s="39">
        <v>7.1505000000000001</v>
      </c>
      <c r="Q202" s="40">
        <v>18</v>
      </c>
      <c r="R202" s="156" t="s">
        <v>58</v>
      </c>
      <c r="S202" s="66"/>
      <c r="T202" s="41"/>
      <c r="U202" s="38">
        <v>7.15</v>
      </c>
      <c r="V202" s="39">
        <v>5.89</v>
      </c>
      <c r="W202" s="40">
        <v>16</v>
      </c>
      <c r="AA202" s="11">
        <v>1</v>
      </c>
      <c r="AB202" s="43">
        <f>((U202-O202)/V202)*AA202 * (1-(3/(4*(Q202+W202-2)-1)))</f>
        <v>-0.12847078325735589</v>
      </c>
      <c r="AC202" s="61" t="e">
        <f>AVERAGE(AC194,AC198:AC201)</f>
        <v>#DIV/0!</v>
      </c>
      <c r="AD202" s="44">
        <v>1</v>
      </c>
      <c r="AE202" s="44"/>
      <c r="AF202" s="118">
        <v>17.88</v>
      </c>
      <c r="AG202" s="118">
        <v>2.74</v>
      </c>
      <c r="AI202" s="155">
        <v>16.32</v>
      </c>
      <c r="AJ202" s="155">
        <v>2.92</v>
      </c>
      <c r="AO202" s="1"/>
    </row>
    <row r="203" spans="1:41" s="1" customFormat="1" ht="15.95" customHeight="1" x14ac:dyDescent="0.25">
      <c r="A203" s="1">
        <v>62</v>
      </c>
      <c r="B203" s="11" t="s">
        <v>54</v>
      </c>
      <c r="C203" s="11" t="s">
        <v>75</v>
      </c>
      <c r="D203" s="11" t="s">
        <v>76</v>
      </c>
      <c r="E203" s="36"/>
      <c r="F203" s="11" t="s">
        <v>251</v>
      </c>
      <c r="G203" s="11">
        <v>2007</v>
      </c>
      <c r="H203" s="11" t="s">
        <v>738</v>
      </c>
      <c r="I203" s="204"/>
      <c r="J203" s="204"/>
      <c r="K203" s="204" t="s">
        <v>739</v>
      </c>
      <c r="L203" s="207"/>
      <c r="M203" s="207" t="s">
        <v>254</v>
      </c>
      <c r="N203" s="204"/>
      <c r="O203" s="38">
        <v>8.8699999999999992</v>
      </c>
      <c r="P203" s="39">
        <v>2.5299999999999998</v>
      </c>
      <c r="Q203" s="40">
        <v>15</v>
      </c>
      <c r="R203" s="114">
        <v>660</v>
      </c>
      <c r="S203" s="39">
        <v>337</v>
      </c>
      <c r="T203" s="41"/>
      <c r="U203" s="38">
        <v>10</v>
      </c>
      <c r="V203" s="39">
        <v>3</v>
      </c>
      <c r="W203" s="40">
        <v>20</v>
      </c>
      <c r="X203" s="11"/>
      <c r="Y203" s="55">
        <f>(U203-O203)/SQRT((V203^2+P203^2)/2)</f>
        <v>0.40721183426513241</v>
      </c>
      <c r="Z203" s="11"/>
      <c r="AA203" s="11">
        <v>-1</v>
      </c>
      <c r="AB203" s="43">
        <f>((U203-O203)/V203)*AA203 * (1-(3/(4*(Q203+W203-2)-1)))</f>
        <v>-0.36804071246819364</v>
      </c>
      <c r="AC203" s="61"/>
      <c r="AD203" s="44">
        <v>1</v>
      </c>
      <c r="AE203" s="44"/>
      <c r="AF203" s="119">
        <v>14.8</v>
      </c>
      <c r="AG203" s="11">
        <f>(20-8)/4</f>
        <v>3</v>
      </c>
      <c r="AH203" s="11"/>
      <c r="AI203" s="87"/>
      <c r="AJ203" s="87"/>
      <c r="AK203" s="11"/>
      <c r="AL203" s="11"/>
      <c r="AM203" s="11"/>
      <c r="AN203" s="11"/>
    </row>
    <row r="204" spans="1:41" s="1" customFormat="1" ht="15.95" customHeight="1" x14ac:dyDescent="0.25">
      <c r="A204" s="1">
        <v>63</v>
      </c>
      <c r="B204" s="11" t="s">
        <v>54</v>
      </c>
      <c r="C204" s="11" t="s">
        <v>75</v>
      </c>
      <c r="D204" s="11" t="s">
        <v>76</v>
      </c>
      <c r="E204" s="36"/>
      <c r="F204" s="11" t="s">
        <v>251</v>
      </c>
      <c r="G204" s="11">
        <v>2007</v>
      </c>
      <c r="H204" s="11" t="s">
        <v>738</v>
      </c>
      <c r="I204" s="204"/>
      <c r="J204" s="204"/>
      <c r="K204" s="204" t="s">
        <v>740</v>
      </c>
      <c r="L204" s="207"/>
      <c r="M204" s="207" t="s">
        <v>254</v>
      </c>
      <c r="N204" s="204"/>
      <c r="O204" s="38">
        <v>9.1999999999999993</v>
      </c>
      <c r="P204" s="39">
        <v>2.08</v>
      </c>
      <c r="Q204" s="40">
        <v>15</v>
      </c>
      <c r="R204" s="114">
        <v>660</v>
      </c>
      <c r="S204" s="39">
        <v>337</v>
      </c>
      <c r="T204" s="41"/>
      <c r="U204" s="38">
        <v>10</v>
      </c>
      <c r="V204" s="39">
        <v>3</v>
      </c>
      <c r="W204" s="40">
        <v>20</v>
      </c>
      <c r="X204" s="11"/>
      <c r="Y204" s="55">
        <f>(U204-O204)/SQRT((V204^2+P204^2)/2)</f>
        <v>0.30991925718145613</v>
      </c>
      <c r="Z204" s="11"/>
      <c r="AA204" s="11">
        <v>-1</v>
      </c>
      <c r="AB204" s="43">
        <f>((U204-O204)/V204)*AA204 * (1-(3/(4*(Q204+W204-2)-1)))</f>
        <v>-0.26055979643765925</v>
      </c>
      <c r="AC204" s="61"/>
      <c r="AD204" s="44">
        <v>1</v>
      </c>
      <c r="AE204" s="44"/>
      <c r="AF204" s="119">
        <v>14.8</v>
      </c>
      <c r="AG204" s="11">
        <f>(20-8)/4</f>
        <v>3</v>
      </c>
      <c r="AH204" s="11"/>
      <c r="AI204" s="87"/>
      <c r="AJ204" s="87"/>
      <c r="AK204" s="11"/>
      <c r="AL204" s="11"/>
      <c r="AM204" s="11"/>
      <c r="AN204" s="11"/>
    </row>
    <row r="205" spans="1:41" s="1" customFormat="1" ht="15.95" customHeight="1" x14ac:dyDescent="0.25">
      <c r="A205" s="1">
        <v>64</v>
      </c>
      <c r="B205" s="11" t="s">
        <v>54</v>
      </c>
      <c r="C205" s="11" t="s">
        <v>75</v>
      </c>
      <c r="D205" s="11" t="s">
        <v>76</v>
      </c>
      <c r="E205" s="36"/>
      <c r="F205" s="11" t="s">
        <v>251</v>
      </c>
      <c r="G205" s="11">
        <v>2007</v>
      </c>
      <c r="H205" s="11" t="s">
        <v>738</v>
      </c>
      <c r="I205" s="204"/>
      <c r="J205" s="204"/>
      <c r="K205" s="204" t="s">
        <v>741</v>
      </c>
      <c r="L205" s="207"/>
      <c r="M205" s="207"/>
      <c r="N205" s="204"/>
      <c r="O205" s="38">
        <v>6.15</v>
      </c>
      <c r="P205" s="39">
        <v>3.87</v>
      </c>
      <c r="Q205" s="40">
        <v>15</v>
      </c>
      <c r="R205" s="114">
        <v>660</v>
      </c>
      <c r="S205" s="39">
        <v>337</v>
      </c>
      <c r="T205" s="41"/>
      <c r="U205" s="38">
        <v>10</v>
      </c>
      <c r="V205" s="39">
        <v>3</v>
      </c>
      <c r="W205" s="40">
        <v>20</v>
      </c>
      <c r="X205" s="11"/>
      <c r="Y205" s="55">
        <f>(U205-O205)/SQRT((V205^2+P205^2)/2)</f>
        <v>1.111934515500504</v>
      </c>
      <c r="Z205" s="11"/>
      <c r="AA205" s="11">
        <v>-1</v>
      </c>
      <c r="AB205" s="43">
        <f>((U205-O205)/V205)*AA205 * (1-(3/(4*(Q205+W205-2)-1)))</f>
        <v>-1.253944020356234</v>
      </c>
      <c r="AC205" s="61"/>
      <c r="AD205" s="44">
        <v>1</v>
      </c>
      <c r="AE205" s="44"/>
      <c r="AF205" s="119">
        <v>14.8</v>
      </c>
      <c r="AG205" s="11">
        <f>(20-8)/4</f>
        <v>3</v>
      </c>
      <c r="AH205" s="11"/>
      <c r="AI205" s="87"/>
      <c r="AJ205" s="87"/>
      <c r="AK205" s="11"/>
      <c r="AL205" s="11"/>
      <c r="AM205" s="11"/>
      <c r="AN205" s="11"/>
    </row>
    <row r="206" spans="1:41" s="1" customFormat="1" ht="15.95" customHeight="1" x14ac:dyDescent="0.25">
      <c r="A206" s="1">
        <v>78</v>
      </c>
      <c r="B206" s="11" t="s">
        <v>54</v>
      </c>
      <c r="C206" s="11" t="s">
        <v>75</v>
      </c>
      <c r="D206" s="11" t="s">
        <v>333</v>
      </c>
      <c r="E206" s="36"/>
      <c r="F206" s="11" t="s">
        <v>251</v>
      </c>
      <c r="G206" s="11">
        <v>2007</v>
      </c>
      <c r="H206" s="11" t="s">
        <v>390</v>
      </c>
      <c r="I206" s="204"/>
      <c r="J206" s="204"/>
      <c r="K206" s="204" t="s">
        <v>350</v>
      </c>
      <c r="L206" s="207"/>
      <c r="M206" s="207" t="s">
        <v>254</v>
      </c>
      <c r="N206" s="204"/>
      <c r="O206" s="38">
        <v>10.47</v>
      </c>
      <c r="P206" s="39">
        <v>3.64</v>
      </c>
      <c r="Q206" s="40">
        <v>15</v>
      </c>
      <c r="R206" s="114">
        <v>660</v>
      </c>
      <c r="S206" s="39">
        <v>337</v>
      </c>
      <c r="T206" s="41"/>
      <c r="U206" s="38">
        <v>10</v>
      </c>
      <c r="V206" s="39">
        <v>3</v>
      </c>
      <c r="W206" s="40">
        <v>20</v>
      </c>
      <c r="X206" s="11"/>
      <c r="Y206" s="11"/>
      <c r="Z206" s="11"/>
      <c r="AA206" s="11">
        <v>-1</v>
      </c>
      <c r="AB206" s="43">
        <f>((U206-O206)/V206)*AA206 * (1-(3/(4*(Q206+W206-2)-1)))</f>
        <v>0.15307888040712486</v>
      </c>
      <c r="AC206" s="61"/>
      <c r="AD206" s="44">
        <v>1</v>
      </c>
      <c r="AE206" s="44"/>
      <c r="AF206" s="119">
        <v>14.8</v>
      </c>
      <c r="AG206" s="11">
        <f>(20-8)/4</f>
        <v>3</v>
      </c>
      <c r="AH206" s="11"/>
      <c r="AI206" s="87"/>
      <c r="AJ206" s="87"/>
      <c r="AK206" s="11"/>
      <c r="AL206" s="11"/>
      <c r="AM206" s="11"/>
      <c r="AN206" s="11"/>
    </row>
    <row r="207" spans="1:41" s="1" customFormat="1" ht="15.95" customHeight="1" x14ac:dyDescent="0.25">
      <c r="A207" s="1">
        <v>93</v>
      </c>
      <c r="B207" s="11" t="s">
        <v>54</v>
      </c>
      <c r="C207" s="11" t="s">
        <v>75</v>
      </c>
      <c r="D207" s="11" t="s">
        <v>333</v>
      </c>
      <c r="E207" s="36"/>
      <c r="F207" s="11" t="s">
        <v>251</v>
      </c>
      <c r="G207" s="11">
        <v>2007</v>
      </c>
      <c r="H207" s="11" t="s">
        <v>336</v>
      </c>
      <c r="I207" s="204"/>
      <c r="J207" s="204"/>
      <c r="K207" s="204" t="s">
        <v>350</v>
      </c>
      <c r="L207" s="207"/>
      <c r="M207" s="207" t="s">
        <v>254</v>
      </c>
      <c r="N207" s="204"/>
      <c r="O207" s="38">
        <v>11</v>
      </c>
      <c r="P207" s="39">
        <v>3.92</v>
      </c>
      <c r="Q207" s="40">
        <v>15</v>
      </c>
      <c r="R207" s="114">
        <v>660</v>
      </c>
      <c r="S207" s="39">
        <v>337</v>
      </c>
      <c r="T207" s="41"/>
      <c r="U207" s="38">
        <v>10</v>
      </c>
      <c r="V207" s="39">
        <v>3</v>
      </c>
      <c r="W207" s="40">
        <v>20</v>
      </c>
      <c r="X207" s="11"/>
      <c r="Y207" s="11"/>
      <c r="Z207" s="11"/>
      <c r="AA207" s="11">
        <v>-1</v>
      </c>
      <c r="AB207" s="43">
        <f>((U207-O207)/V207)*AA207 * (1-(3/(4*(Q207+W207-2)-1)))</f>
        <v>0.32569974554707376</v>
      </c>
      <c r="AC207" s="61"/>
      <c r="AD207" s="44">
        <v>1</v>
      </c>
      <c r="AE207" s="44"/>
      <c r="AF207" s="119">
        <v>14.8</v>
      </c>
      <c r="AG207" s="11">
        <f>(20-8)/4</f>
        <v>3</v>
      </c>
      <c r="AH207" s="11"/>
      <c r="AI207" s="87"/>
      <c r="AJ207" s="87"/>
      <c r="AK207" s="11"/>
      <c r="AL207" s="11"/>
      <c r="AM207" s="11"/>
      <c r="AN207" s="11"/>
    </row>
    <row r="208" spans="1:41" s="1" customFormat="1" ht="15.95" customHeight="1" x14ac:dyDescent="0.25">
      <c r="A208" s="1">
        <v>65</v>
      </c>
      <c r="B208" s="11" t="s">
        <v>54</v>
      </c>
      <c r="C208" s="11" t="s">
        <v>75</v>
      </c>
      <c r="D208" s="11" t="s">
        <v>76</v>
      </c>
      <c r="E208" s="36"/>
      <c r="F208" s="11" t="s">
        <v>251</v>
      </c>
      <c r="G208" s="11">
        <v>2007</v>
      </c>
      <c r="H208" s="11" t="s">
        <v>394</v>
      </c>
      <c r="I208" s="204"/>
      <c r="J208" s="204"/>
      <c r="K208" s="204" t="s">
        <v>746</v>
      </c>
      <c r="L208" s="207"/>
      <c r="M208" s="207" t="s">
        <v>254</v>
      </c>
      <c r="N208" s="204"/>
      <c r="O208" s="38">
        <v>8.07</v>
      </c>
      <c r="P208" s="39">
        <v>2.74</v>
      </c>
      <c r="Q208" s="40">
        <v>15</v>
      </c>
      <c r="R208" s="114">
        <v>660</v>
      </c>
      <c r="S208" s="39">
        <v>337</v>
      </c>
      <c r="T208" s="41"/>
      <c r="U208" s="38">
        <v>10</v>
      </c>
      <c r="V208" s="39">
        <v>3</v>
      </c>
      <c r="W208" s="40">
        <v>20</v>
      </c>
      <c r="X208" s="11"/>
      <c r="Y208" s="11"/>
      <c r="Z208" s="11"/>
      <c r="AA208" s="11">
        <v>-1</v>
      </c>
      <c r="AB208" s="43">
        <f>((U208-O208)/V208)*AA208 * (1-(3/(4*(Q208+W208-2)-1)))</f>
        <v>-0.62860050890585228</v>
      </c>
      <c r="AC208" s="43"/>
      <c r="AD208" s="44">
        <v>1</v>
      </c>
      <c r="AE208" s="44"/>
      <c r="AF208" s="119">
        <v>14.8</v>
      </c>
      <c r="AG208" s="11">
        <f>(20-8)/4</f>
        <v>3</v>
      </c>
      <c r="AH208" s="11"/>
      <c r="AI208" s="87"/>
      <c r="AJ208" s="87"/>
      <c r="AK208" s="11"/>
      <c r="AL208" s="11"/>
      <c r="AM208" s="11"/>
      <c r="AN208" s="11"/>
      <c r="AO208" s="11"/>
    </row>
    <row r="209" spans="1:41" s="1" customFormat="1" ht="15.95" customHeight="1" x14ac:dyDescent="0.25">
      <c r="A209" s="178">
        <v>172</v>
      </c>
      <c r="B209" s="178" t="s">
        <v>34</v>
      </c>
      <c r="C209" s="179" t="s">
        <v>44</v>
      </c>
      <c r="D209" s="179" t="s">
        <v>44</v>
      </c>
      <c r="E209" s="180" t="s">
        <v>36</v>
      </c>
      <c r="F209" s="179" t="s">
        <v>65</v>
      </c>
      <c r="G209" s="178">
        <v>2005</v>
      </c>
      <c r="H209" s="178" t="s">
        <v>72</v>
      </c>
      <c r="I209" s="211" t="s">
        <v>39</v>
      </c>
      <c r="J209" s="211" t="s">
        <v>39</v>
      </c>
      <c r="K209" s="211" t="s">
        <v>73</v>
      </c>
      <c r="L209" s="227"/>
      <c r="M209" s="227"/>
      <c r="N209" s="227"/>
      <c r="O209" s="182">
        <v>97.65</v>
      </c>
      <c r="P209" s="183">
        <v>3.41</v>
      </c>
      <c r="Q209" s="184">
        <v>25</v>
      </c>
      <c r="R209" s="185">
        <v>758.79</v>
      </c>
      <c r="S209" s="186"/>
      <c r="T209" s="185"/>
      <c r="U209" s="182">
        <v>97.1</v>
      </c>
      <c r="V209" s="187">
        <v>2.86</v>
      </c>
      <c r="W209" s="184">
        <v>25</v>
      </c>
      <c r="X209" s="178"/>
      <c r="Y209" s="188">
        <f>(U209-O209)/SQRT((V209^2+P209^2)/2)</f>
        <v>-0.17476749542969167</v>
      </c>
      <c r="Z209" s="188"/>
      <c r="AA209" s="179">
        <v>1</v>
      </c>
      <c r="AB209" s="189">
        <f>((U209-O209)/V209)*AA209 * (1-(3/(4*(Q209+W209-2)-1)))</f>
        <v>-0.18928715263794191</v>
      </c>
      <c r="AC209" s="190"/>
      <c r="AD209" s="191">
        <v>1</v>
      </c>
      <c r="AE209" s="191"/>
      <c r="AF209" s="179"/>
      <c r="AG209" s="179"/>
      <c r="AH209" s="178"/>
      <c r="AI209" s="192"/>
      <c r="AJ209" s="192"/>
      <c r="AK209" s="179"/>
      <c r="AL209" s="179"/>
      <c r="AM209" s="178"/>
      <c r="AN209" s="179"/>
      <c r="AO209" s="178"/>
    </row>
    <row r="210" spans="1:41" s="11" customFormat="1" ht="15.95" customHeight="1" x14ac:dyDescent="0.25">
      <c r="A210" s="178">
        <v>173</v>
      </c>
      <c r="B210" s="178" t="s">
        <v>34</v>
      </c>
      <c r="C210" s="179" t="s">
        <v>44</v>
      </c>
      <c r="D210" s="179" t="s">
        <v>44</v>
      </c>
      <c r="E210" s="180" t="s">
        <v>36</v>
      </c>
      <c r="F210" s="179" t="s">
        <v>65</v>
      </c>
      <c r="G210" s="178">
        <v>2005</v>
      </c>
      <c r="H210" s="178" t="s">
        <v>72</v>
      </c>
      <c r="I210" s="211" t="s">
        <v>41</v>
      </c>
      <c r="J210" s="211" t="s">
        <v>41</v>
      </c>
      <c r="K210" s="228" t="s">
        <v>74</v>
      </c>
      <c r="L210" s="227"/>
      <c r="M210" s="227"/>
      <c r="N210" s="227"/>
      <c r="O210" s="182">
        <v>0.47</v>
      </c>
      <c r="P210" s="183">
        <v>0.05</v>
      </c>
      <c r="Q210" s="184">
        <v>25</v>
      </c>
      <c r="R210" s="185">
        <v>758.79</v>
      </c>
      <c r="S210" s="186"/>
      <c r="T210" s="185"/>
      <c r="U210" s="182">
        <v>0.44</v>
      </c>
      <c r="V210" s="187">
        <v>0.05</v>
      </c>
      <c r="W210" s="184">
        <v>25</v>
      </c>
      <c r="X210" s="178"/>
      <c r="Y210" s="188"/>
      <c r="Z210" s="188"/>
      <c r="AA210" s="179">
        <v>1</v>
      </c>
      <c r="AB210" s="189">
        <f>((U210-O210)/V210)*AA210 * (1-(3/(4*(Q210+W210-2)-1)))</f>
        <v>-0.59057591623036598</v>
      </c>
      <c r="AC210" s="190"/>
      <c r="AD210" s="191">
        <v>1</v>
      </c>
      <c r="AE210" s="191"/>
      <c r="AF210" s="179"/>
      <c r="AG210" s="179"/>
      <c r="AH210" s="178"/>
      <c r="AI210" s="192"/>
      <c r="AJ210" s="192"/>
      <c r="AK210" s="179"/>
      <c r="AL210" s="179"/>
      <c r="AM210" s="178"/>
      <c r="AN210" s="179"/>
      <c r="AO210" s="181"/>
    </row>
    <row r="211" spans="1:41" s="1" customFormat="1" ht="15.95" customHeight="1" x14ac:dyDescent="0.25">
      <c r="A211" s="178">
        <v>174</v>
      </c>
      <c r="B211" s="178" t="s">
        <v>34</v>
      </c>
      <c r="C211" s="179" t="s">
        <v>44</v>
      </c>
      <c r="D211" s="179" t="s">
        <v>44</v>
      </c>
      <c r="E211" s="180" t="s">
        <v>36</v>
      </c>
      <c r="F211" s="179" t="s">
        <v>87</v>
      </c>
      <c r="G211" s="178">
        <v>2007</v>
      </c>
      <c r="H211" s="178" t="s">
        <v>72</v>
      </c>
      <c r="I211" s="211" t="s">
        <v>39</v>
      </c>
      <c r="J211" s="211" t="s">
        <v>39</v>
      </c>
      <c r="K211" s="228" t="s">
        <v>89</v>
      </c>
      <c r="L211" s="227"/>
      <c r="M211" s="227"/>
      <c r="N211" s="227"/>
      <c r="O211" s="182">
        <v>97.05</v>
      </c>
      <c r="P211" s="183">
        <v>2.2799999999999998</v>
      </c>
      <c r="Q211" s="184">
        <v>25</v>
      </c>
      <c r="R211" s="185">
        <v>1285.68</v>
      </c>
      <c r="S211" s="186"/>
      <c r="T211" s="185"/>
      <c r="U211" s="182">
        <v>97.22</v>
      </c>
      <c r="V211" s="187">
        <v>2.82</v>
      </c>
      <c r="W211" s="184">
        <v>45</v>
      </c>
      <c r="X211" s="178"/>
      <c r="Y211" s="188"/>
      <c r="Z211" s="188"/>
      <c r="AA211" s="179">
        <v>-1</v>
      </c>
      <c r="AB211" s="189">
        <f>((U211-O211)/V211)*AA211 * (1-(3/(4*(Q211+W211-2)-1)))</f>
        <v>-5.961634084426011E-2</v>
      </c>
      <c r="AC211" s="190"/>
      <c r="AD211" s="191">
        <v>1</v>
      </c>
      <c r="AE211" s="191"/>
      <c r="AF211" s="179"/>
      <c r="AG211" s="179"/>
      <c r="AH211" s="178"/>
      <c r="AI211" s="192"/>
      <c r="AJ211" s="192"/>
      <c r="AK211" s="179"/>
      <c r="AL211" s="179"/>
      <c r="AM211" s="178"/>
      <c r="AN211" s="179"/>
      <c r="AO211" s="178"/>
    </row>
    <row r="212" spans="1:41" s="1" customFormat="1" ht="15.95" customHeight="1" x14ac:dyDescent="0.25">
      <c r="A212" s="178">
        <v>175</v>
      </c>
      <c r="B212" s="178" t="s">
        <v>34</v>
      </c>
      <c r="C212" s="179" t="s">
        <v>44</v>
      </c>
      <c r="D212" s="179" t="s">
        <v>44</v>
      </c>
      <c r="E212" s="180" t="s">
        <v>36</v>
      </c>
      <c r="F212" s="179" t="s">
        <v>87</v>
      </c>
      <c r="G212" s="178">
        <v>2007</v>
      </c>
      <c r="H212" s="178" t="s">
        <v>72</v>
      </c>
      <c r="I212" s="211" t="s">
        <v>41</v>
      </c>
      <c r="J212" s="211" t="s">
        <v>41</v>
      </c>
      <c r="K212" s="228" t="s">
        <v>74</v>
      </c>
      <c r="L212" s="227"/>
      <c r="M212" s="227"/>
      <c r="N212" s="227"/>
      <c r="O212" s="182">
        <v>0.52</v>
      </c>
      <c r="P212" s="183">
        <v>0.08</v>
      </c>
      <c r="Q212" s="184">
        <v>25</v>
      </c>
      <c r="R212" s="185">
        <v>1286.68</v>
      </c>
      <c r="S212" s="186"/>
      <c r="T212" s="185"/>
      <c r="U212" s="182">
        <v>0.46</v>
      </c>
      <c r="V212" s="187">
        <v>0.06</v>
      </c>
      <c r="W212" s="184">
        <v>45</v>
      </c>
      <c r="X212" s="178"/>
      <c r="Y212" s="188"/>
      <c r="Z212" s="188"/>
      <c r="AA212" s="179">
        <v>1</v>
      </c>
      <c r="AB212" s="189">
        <f>((U212-O212)/V212)*AA212 * (1-(3/(4*(Q212+W212-2)-1)))</f>
        <v>-0.98892988929889303</v>
      </c>
      <c r="AC212" s="194"/>
      <c r="AD212" s="191">
        <v>1</v>
      </c>
      <c r="AE212" s="191"/>
      <c r="AF212" s="179"/>
      <c r="AG212" s="179"/>
      <c r="AH212" s="178"/>
      <c r="AI212" s="192"/>
      <c r="AJ212" s="192"/>
      <c r="AK212" s="179"/>
      <c r="AL212" s="179"/>
      <c r="AM212" s="178"/>
      <c r="AN212" s="179"/>
      <c r="AO212" s="178"/>
    </row>
    <row r="213" spans="1:41" s="1" customFormat="1" ht="15.95" customHeight="1" x14ac:dyDescent="0.25">
      <c r="A213" s="178">
        <v>183</v>
      </c>
      <c r="B213" s="178" t="s">
        <v>34</v>
      </c>
      <c r="C213" s="179" t="s">
        <v>44</v>
      </c>
      <c r="D213" s="179" t="s">
        <v>44</v>
      </c>
      <c r="E213" s="180" t="s">
        <v>36</v>
      </c>
      <c r="F213" s="178" t="s">
        <v>143</v>
      </c>
      <c r="G213" s="178">
        <v>2007</v>
      </c>
      <c r="H213" s="181" t="s">
        <v>101</v>
      </c>
      <c r="I213" s="211" t="s">
        <v>39</v>
      </c>
      <c r="J213" s="211" t="s">
        <v>39</v>
      </c>
      <c r="K213" s="228" t="s">
        <v>144</v>
      </c>
      <c r="L213" s="227"/>
      <c r="M213" s="227"/>
      <c r="N213" s="227"/>
      <c r="O213" s="182">
        <v>33.299999999999997</v>
      </c>
      <c r="P213" s="183">
        <f>(44-22)/1.35</f>
        <v>16.296296296296294</v>
      </c>
      <c r="Q213" s="184">
        <v>9</v>
      </c>
      <c r="R213" s="195">
        <v>1000</v>
      </c>
      <c r="S213" s="196">
        <f>258.45 * SQRT(9)</f>
        <v>775.34999999999991</v>
      </c>
      <c r="T213" s="195"/>
      <c r="U213" s="182">
        <v>19.2</v>
      </c>
      <c r="V213" s="187">
        <f>(30-16)/1.35</f>
        <v>10.37037037037037</v>
      </c>
      <c r="W213" s="184">
        <v>9</v>
      </c>
      <c r="X213" s="178"/>
      <c r="Y213" s="188">
        <f>(U213-O213)/SQRT((V213^2+P213^2)/2)</f>
        <v>-1.0323178161445299</v>
      </c>
      <c r="Z213" s="188"/>
      <c r="AA213" s="179">
        <v>1</v>
      </c>
      <c r="AB213" s="189">
        <f>((U213-O213)/V213)*AA213 * (1-(3/(4*(Q213+W213-2)-1)))</f>
        <v>-1.2948979591836731</v>
      </c>
      <c r="AC213" s="190"/>
      <c r="AD213" s="191">
        <v>1</v>
      </c>
      <c r="AE213" s="191"/>
      <c r="AF213" s="179"/>
      <c r="AG213" s="179"/>
      <c r="AH213" s="178"/>
      <c r="AI213" s="192"/>
      <c r="AJ213" s="192"/>
      <c r="AK213" s="178">
        <v>1</v>
      </c>
      <c r="AL213" s="178"/>
      <c r="AM213" s="178" t="s">
        <v>69</v>
      </c>
      <c r="AN213" s="179" t="s">
        <v>118</v>
      </c>
      <c r="AO213" s="178"/>
    </row>
    <row r="214" spans="1:41" s="1" customFormat="1" ht="15.95" customHeight="1" x14ac:dyDescent="0.25">
      <c r="A214" s="178">
        <v>184</v>
      </c>
      <c r="B214" s="178" t="s">
        <v>34</v>
      </c>
      <c r="C214" s="179" t="s">
        <v>44</v>
      </c>
      <c r="D214" s="179" t="s">
        <v>44</v>
      </c>
      <c r="E214" s="180" t="s">
        <v>36</v>
      </c>
      <c r="F214" s="178" t="s">
        <v>143</v>
      </c>
      <c r="G214" s="178">
        <v>2007</v>
      </c>
      <c r="H214" s="181" t="s">
        <v>101</v>
      </c>
      <c r="I214" s="211" t="s">
        <v>41</v>
      </c>
      <c r="J214" s="211" t="s">
        <v>41</v>
      </c>
      <c r="K214" s="228" t="s">
        <v>145</v>
      </c>
      <c r="L214" s="227"/>
      <c r="M214" s="227"/>
      <c r="N214" s="227"/>
      <c r="O214" s="182">
        <v>316</v>
      </c>
      <c r="P214" s="183">
        <f>(330-282)/1.35</f>
        <v>35.55555555555555</v>
      </c>
      <c r="Q214" s="184">
        <v>9</v>
      </c>
      <c r="R214" s="195">
        <v>1000</v>
      </c>
      <c r="S214" s="196">
        <f>258.45 * SQRT(9)</f>
        <v>775.34999999999991</v>
      </c>
      <c r="T214" s="195"/>
      <c r="U214" s="182">
        <v>284</v>
      </c>
      <c r="V214" s="187">
        <f>(300-279)/1.35</f>
        <v>15.555555555555555</v>
      </c>
      <c r="W214" s="184">
        <v>9</v>
      </c>
      <c r="X214" s="178"/>
      <c r="Y214" s="188">
        <f>(U214-O214)/SQRT((V214^2+P214^2)/2)</f>
        <v>-1.1660779154576393</v>
      </c>
      <c r="Z214" s="188"/>
      <c r="AA214" s="179">
        <v>1</v>
      </c>
      <c r="AB214" s="189">
        <f>((U214-O214)/V214)*AA214 * (1-(3/(4*(Q214+W214-2)-1)))</f>
        <v>-1.9591836734693879</v>
      </c>
      <c r="AC214" s="190"/>
      <c r="AD214" s="191">
        <v>1</v>
      </c>
      <c r="AE214" s="191"/>
      <c r="AF214" s="179"/>
      <c r="AG214" s="179"/>
      <c r="AH214" s="178"/>
      <c r="AI214" s="192"/>
      <c r="AJ214" s="192"/>
      <c r="AK214" s="197" t="s">
        <v>146</v>
      </c>
      <c r="AL214" s="178"/>
      <c r="AM214" s="178" t="s">
        <v>69</v>
      </c>
      <c r="AN214" s="179" t="s">
        <v>147</v>
      </c>
      <c r="AO214" s="181"/>
    </row>
    <row r="215" spans="1:41" s="1" customFormat="1" ht="15.95" customHeight="1" x14ac:dyDescent="0.25">
      <c r="A215" s="178">
        <v>190</v>
      </c>
      <c r="B215" s="178" t="s">
        <v>34</v>
      </c>
      <c r="C215" s="179" t="s">
        <v>44</v>
      </c>
      <c r="D215" s="179" t="s">
        <v>44</v>
      </c>
      <c r="E215" s="180" t="s">
        <v>36</v>
      </c>
      <c r="F215" s="181" t="s">
        <v>148</v>
      </c>
      <c r="G215" s="178">
        <v>2017</v>
      </c>
      <c r="H215" s="181" t="s">
        <v>179</v>
      </c>
      <c r="I215" s="211" t="s">
        <v>39</v>
      </c>
      <c r="J215" s="211" t="s">
        <v>39</v>
      </c>
      <c r="K215" s="228" t="s">
        <v>180</v>
      </c>
      <c r="L215" s="227"/>
      <c r="M215" s="227"/>
      <c r="N215" s="227"/>
      <c r="O215" s="182">
        <v>1.3</v>
      </c>
      <c r="P215" s="183">
        <v>2</v>
      </c>
      <c r="Q215" s="184">
        <v>37</v>
      </c>
      <c r="R215" s="185">
        <v>720</v>
      </c>
      <c r="S215" s="186"/>
      <c r="T215" s="185"/>
      <c r="U215" s="182">
        <v>1.1000000000000001</v>
      </c>
      <c r="V215" s="187">
        <v>1.6</v>
      </c>
      <c r="W215" s="184">
        <v>30</v>
      </c>
      <c r="X215" s="178"/>
      <c r="Y215" s="188">
        <f>(U215-O215)/SQRT((V215^2+P215^2)/2)</f>
        <v>-0.11043152607484651</v>
      </c>
      <c r="Z215" s="188"/>
      <c r="AA215" s="179">
        <v>1</v>
      </c>
      <c r="AB215" s="189">
        <f>((U215-O215)/V215)*AA215 * (1-(3/(4*(Q215+W215-2)-1)))</f>
        <v>-0.12355212355212353</v>
      </c>
      <c r="AC215" s="190"/>
      <c r="AD215" s="191">
        <v>1</v>
      </c>
      <c r="AE215" s="191"/>
      <c r="AF215" s="179"/>
      <c r="AG215" s="179"/>
      <c r="AH215" s="178"/>
      <c r="AI215" s="192"/>
      <c r="AJ215" s="192"/>
      <c r="AK215" s="179">
        <v>1</v>
      </c>
      <c r="AL215" s="179" t="s">
        <v>116</v>
      </c>
      <c r="AM215" s="178" t="s">
        <v>69</v>
      </c>
      <c r="AN215" s="179" t="s">
        <v>118</v>
      </c>
      <c r="AO215" s="178"/>
    </row>
    <row r="216" spans="1:41" s="1" customFormat="1" ht="15.95" customHeight="1" x14ac:dyDescent="0.25">
      <c r="A216" s="178">
        <v>189</v>
      </c>
      <c r="B216" s="178" t="s">
        <v>34</v>
      </c>
      <c r="C216" s="179" t="s">
        <v>44</v>
      </c>
      <c r="D216" s="179" t="s">
        <v>44</v>
      </c>
      <c r="E216" s="180" t="s">
        <v>36</v>
      </c>
      <c r="F216" s="181" t="s">
        <v>148</v>
      </c>
      <c r="G216" s="178">
        <v>2017</v>
      </c>
      <c r="H216" s="181" t="s">
        <v>179</v>
      </c>
      <c r="I216" s="211" t="s">
        <v>41</v>
      </c>
      <c r="J216" s="211" t="s">
        <v>41</v>
      </c>
      <c r="K216" s="228" t="s">
        <v>181</v>
      </c>
      <c r="L216" s="227"/>
      <c r="M216" s="227"/>
      <c r="N216" s="227"/>
      <c r="O216" s="182">
        <v>173</v>
      </c>
      <c r="P216" s="183">
        <v>94.6</v>
      </c>
      <c r="Q216" s="184">
        <v>37</v>
      </c>
      <c r="R216" s="185">
        <v>720</v>
      </c>
      <c r="S216" s="186"/>
      <c r="T216" s="185"/>
      <c r="U216" s="182">
        <v>145</v>
      </c>
      <c r="V216" s="187">
        <v>62.9</v>
      </c>
      <c r="W216" s="184">
        <v>30</v>
      </c>
      <c r="X216" s="178"/>
      <c r="Y216" s="188">
        <f>(U216-O216)/SQRT((V216^2+P216^2)/2)</f>
        <v>-0.34856552736054808</v>
      </c>
      <c r="Z216" s="188"/>
      <c r="AA216" s="179">
        <v>1</v>
      </c>
      <c r="AB216" s="189">
        <f>((U216-O216)/V216)*AA216 * (1-(3/(4*(Q216+W216-2)-1)))</f>
        <v>-0.43999484381042409</v>
      </c>
      <c r="AC216" s="190"/>
      <c r="AD216" s="191">
        <v>1</v>
      </c>
      <c r="AE216" s="191"/>
      <c r="AF216" s="179"/>
      <c r="AG216" s="179"/>
      <c r="AH216" s="178"/>
      <c r="AI216" s="192"/>
      <c r="AJ216" s="192"/>
      <c r="AK216" s="179">
        <v>1</v>
      </c>
      <c r="AL216" s="179" t="s">
        <v>116</v>
      </c>
      <c r="AM216" s="178" t="s">
        <v>69</v>
      </c>
      <c r="AN216" s="179" t="s">
        <v>118</v>
      </c>
      <c r="AO216" s="193"/>
    </row>
    <row r="217" spans="1:41" s="13" customFormat="1" ht="15.95" customHeight="1" x14ac:dyDescent="0.25">
      <c r="A217" s="178">
        <v>178</v>
      </c>
      <c r="B217" s="178" t="s">
        <v>34</v>
      </c>
      <c r="C217" s="179" t="s">
        <v>44</v>
      </c>
      <c r="D217" s="179" t="s">
        <v>44</v>
      </c>
      <c r="E217" s="180" t="s">
        <v>36</v>
      </c>
      <c r="F217" s="181" t="s">
        <v>148</v>
      </c>
      <c r="G217" s="178">
        <v>2018</v>
      </c>
      <c r="H217" s="181" t="s">
        <v>196</v>
      </c>
      <c r="I217" s="211" t="s">
        <v>39</v>
      </c>
      <c r="J217" s="211" t="s">
        <v>39</v>
      </c>
      <c r="K217" s="228" t="s">
        <v>192</v>
      </c>
      <c r="L217" s="227"/>
      <c r="M217" s="227"/>
      <c r="N217" s="227"/>
      <c r="O217" s="182">
        <v>2.4</v>
      </c>
      <c r="P217" s="198">
        <v>1.8</v>
      </c>
      <c r="Q217" s="198">
        <v>22</v>
      </c>
      <c r="R217" s="185">
        <v>751.2</v>
      </c>
      <c r="S217" s="198"/>
      <c r="T217" s="198"/>
      <c r="U217" s="182">
        <v>1.2</v>
      </c>
      <c r="V217" s="198">
        <v>2.6</v>
      </c>
      <c r="W217" s="198">
        <v>25</v>
      </c>
      <c r="X217" s="178">
        <v>25</v>
      </c>
      <c r="Y217" s="178"/>
      <c r="Z217" s="178"/>
      <c r="AA217" s="179">
        <v>1</v>
      </c>
      <c r="AB217" s="189">
        <f>((U217-O217)/V217)*AA217 * (1-(3/(4*(Q217+W217-2)-1)))</f>
        <v>-0.45380318006016324</v>
      </c>
      <c r="AC217" s="189">
        <f>((U217-O217)/V217)*AB217* (1-(3/(4*(Q217+X217-2)-1)))</f>
        <v>0.20593732623271693</v>
      </c>
      <c r="AD217" s="191">
        <v>1</v>
      </c>
      <c r="AE217" s="191">
        <v>1</v>
      </c>
      <c r="AF217" s="191"/>
      <c r="AG217" s="179"/>
      <c r="AH217" s="179"/>
      <c r="AI217" s="178"/>
      <c r="AJ217" s="192"/>
      <c r="AK217" s="192"/>
      <c r="AL217" s="179">
        <v>1</v>
      </c>
      <c r="AM217" s="179" t="s">
        <v>116</v>
      </c>
      <c r="AN217" s="178" t="s">
        <v>69</v>
      </c>
      <c r="AO217" s="179" t="s">
        <v>118</v>
      </c>
    </row>
    <row r="218" spans="1:41" s="1" customFormat="1" ht="15.95" customHeight="1" x14ac:dyDescent="0.25">
      <c r="A218" s="178">
        <v>179</v>
      </c>
      <c r="B218" s="178" t="s">
        <v>34</v>
      </c>
      <c r="C218" s="179" t="s">
        <v>44</v>
      </c>
      <c r="D218" s="179" t="s">
        <v>44</v>
      </c>
      <c r="E218" s="180" t="s">
        <v>36</v>
      </c>
      <c r="F218" s="181" t="s">
        <v>148</v>
      </c>
      <c r="G218" s="178">
        <v>2018</v>
      </c>
      <c r="H218" s="181" t="s">
        <v>197</v>
      </c>
      <c r="I218" s="211" t="s">
        <v>41</v>
      </c>
      <c r="J218" s="211" t="s">
        <v>41</v>
      </c>
      <c r="K218" s="228" t="s">
        <v>195</v>
      </c>
      <c r="L218" s="227"/>
      <c r="M218" s="227"/>
      <c r="N218" s="227"/>
      <c r="O218" s="182">
        <v>48</v>
      </c>
      <c r="P218" s="183">
        <v>37.1</v>
      </c>
      <c r="Q218" s="198">
        <v>22</v>
      </c>
      <c r="R218" s="185">
        <v>751.2</v>
      </c>
      <c r="S218" s="186"/>
      <c r="T218" s="185"/>
      <c r="U218" s="182">
        <v>29.6</v>
      </c>
      <c r="V218" s="187">
        <v>17</v>
      </c>
      <c r="W218" s="198">
        <v>25</v>
      </c>
      <c r="X218" s="178">
        <v>25</v>
      </c>
      <c r="Y218" s="178"/>
      <c r="Z218" s="188">
        <f>(U218-O218)/SQRT((V218^2+P218^2)/2)</f>
        <v>-0.63763513096003166</v>
      </c>
      <c r="AA218" s="179">
        <v>1</v>
      </c>
      <c r="AB218" s="189">
        <f>((U218-O218)/V218)*AA218 * (1-(3/(4*(Q218+W218-2)-1)))</f>
        <v>-1.0642129477489319</v>
      </c>
      <c r="AC218" s="189">
        <f>((U218-O218)/V218)*AB218* (1-(3/(4*(Q218+X218-2)-1)))</f>
        <v>1.1325491981564708</v>
      </c>
      <c r="AD218" s="191">
        <v>1</v>
      </c>
      <c r="AE218" s="191">
        <v>1</v>
      </c>
      <c r="AF218" s="191"/>
      <c r="AG218" s="179"/>
      <c r="AH218" s="179"/>
      <c r="AI218" s="178"/>
      <c r="AJ218" s="192"/>
      <c r="AK218" s="192"/>
      <c r="AL218" s="179">
        <v>1</v>
      </c>
      <c r="AM218" s="179" t="s">
        <v>116</v>
      </c>
      <c r="AN218" s="178" t="s">
        <v>69</v>
      </c>
      <c r="AO218" s="179" t="s">
        <v>118</v>
      </c>
    </row>
    <row r="219" spans="1:41" s="1" customFormat="1" ht="15.95" customHeight="1" x14ac:dyDescent="0.25">
      <c r="A219" s="178">
        <v>196</v>
      </c>
      <c r="B219" s="178" t="s">
        <v>34</v>
      </c>
      <c r="C219" s="179" t="s">
        <v>44</v>
      </c>
      <c r="D219" s="179" t="s">
        <v>44</v>
      </c>
      <c r="E219" s="180" t="s">
        <v>36</v>
      </c>
      <c r="F219" s="179" t="s">
        <v>235</v>
      </c>
      <c r="G219" s="178">
        <v>2011</v>
      </c>
      <c r="H219" s="181" t="s">
        <v>243</v>
      </c>
      <c r="I219" s="211" t="s">
        <v>39</v>
      </c>
      <c r="J219" s="211"/>
      <c r="K219" s="228" t="s">
        <v>244</v>
      </c>
      <c r="L219" s="227" t="s">
        <v>238</v>
      </c>
      <c r="M219" s="211"/>
      <c r="N219" s="227"/>
      <c r="O219" s="182">
        <v>2</v>
      </c>
      <c r="P219" s="183"/>
      <c r="Q219" s="184">
        <v>9</v>
      </c>
      <c r="R219" s="185">
        <v>1140</v>
      </c>
      <c r="S219" s="186">
        <v>310</v>
      </c>
      <c r="T219" s="185"/>
      <c r="U219" s="182">
        <v>2</v>
      </c>
      <c r="V219" s="187"/>
      <c r="W219" s="184">
        <v>15</v>
      </c>
      <c r="X219" s="178"/>
      <c r="Y219" s="188" t="e">
        <f>(U219-O219)/SQRT((V219^2+P219^2)/2)</f>
        <v>#DIV/0!</v>
      </c>
      <c r="Z219" s="188"/>
      <c r="AA219" s="179">
        <v>1</v>
      </c>
      <c r="AB219" s="189" t="e">
        <f>((U219-O219)/V219)*AA219 * (1-(3/(4*(Q219+W219-2)-1)))</f>
        <v>#DIV/0!</v>
      </c>
      <c r="AC219" s="190"/>
      <c r="AD219" s="191">
        <v>1</v>
      </c>
      <c r="AE219" s="191"/>
      <c r="AF219" s="181"/>
      <c r="AG219" s="181"/>
      <c r="AH219" s="181"/>
      <c r="AI219" s="199"/>
      <c r="AJ219" s="199"/>
      <c r="AK219" s="179">
        <v>1</v>
      </c>
      <c r="AL219" s="179" t="s">
        <v>116</v>
      </c>
      <c r="AM219" s="179" t="s">
        <v>239</v>
      </c>
      <c r="AN219" s="179" t="s">
        <v>118</v>
      </c>
      <c r="AO219" s="178"/>
    </row>
    <row r="220" spans="1:41" s="1" customFormat="1" ht="15.95" customHeight="1" x14ac:dyDescent="0.25">
      <c r="A220" s="178">
        <v>197</v>
      </c>
      <c r="B220" s="178" t="s">
        <v>34</v>
      </c>
      <c r="C220" s="179" t="s">
        <v>44</v>
      </c>
      <c r="D220" s="179" t="s">
        <v>44</v>
      </c>
      <c r="E220" s="180" t="s">
        <v>36</v>
      </c>
      <c r="F220" s="179" t="s">
        <v>235</v>
      </c>
      <c r="G220" s="178">
        <v>2011</v>
      </c>
      <c r="H220" s="181" t="s">
        <v>243</v>
      </c>
      <c r="I220" s="211" t="s">
        <v>41</v>
      </c>
      <c r="J220" s="211"/>
      <c r="K220" s="228" t="s">
        <v>245</v>
      </c>
      <c r="L220" s="227" t="s">
        <v>238</v>
      </c>
      <c r="M220" s="211"/>
      <c r="N220" s="227"/>
      <c r="O220" s="182">
        <v>167.6</v>
      </c>
      <c r="P220" s="183">
        <v>81.3</v>
      </c>
      <c r="Q220" s="184">
        <v>9</v>
      </c>
      <c r="R220" s="185">
        <v>1140</v>
      </c>
      <c r="S220" s="186">
        <v>310</v>
      </c>
      <c r="T220" s="185"/>
      <c r="U220" s="182">
        <v>157.19999999999999</v>
      </c>
      <c r="V220" s="187">
        <v>80.900000000000006</v>
      </c>
      <c r="W220" s="184">
        <v>15</v>
      </c>
      <c r="X220" s="178"/>
      <c r="Y220" s="188">
        <f>(U220-O220)/SQRT((V220^2+P220^2)/2)</f>
        <v>-0.12823635481865464</v>
      </c>
      <c r="Z220" s="188"/>
      <c r="AA220" s="179">
        <v>1</v>
      </c>
      <c r="AB220" s="189">
        <f>((U220-O220)/V220)*AA220 * (1-(3/(4*(Q220+W220-2)-1)))</f>
        <v>-0.1241208814628533</v>
      </c>
      <c r="AC220" s="190"/>
      <c r="AD220" s="191">
        <v>1</v>
      </c>
      <c r="AE220" s="191"/>
      <c r="AF220" s="181"/>
      <c r="AG220" s="181"/>
      <c r="AH220" s="181"/>
      <c r="AI220" s="199"/>
      <c r="AJ220" s="199"/>
      <c r="AK220" s="179">
        <v>1</v>
      </c>
      <c r="AL220" s="179" t="s">
        <v>116</v>
      </c>
      <c r="AM220" s="179" t="s">
        <v>239</v>
      </c>
      <c r="AN220" s="179" t="s">
        <v>118</v>
      </c>
      <c r="AO220" s="178"/>
    </row>
    <row r="221" spans="1:41" s="1" customFormat="1" ht="15.95" customHeight="1" x14ac:dyDescent="0.25">
      <c r="A221" s="178">
        <v>198</v>
      </c>
      <c r="B221" s="178" t="s">
        <v>34</v>
      </c>
      <c r="C221" s="179" t="s">
        <v>44</v>
      </c>
      <c r="D221" s="179" t="s">
        <v>44</v>
      </c>
      <c r="E221" s="180" t="s">
        <v>36</v>
      </c>
      <c r="F221" s="179" t="s">
        <v>235</v>
      </c>
      <c r="G221" s="178">
        <v>2011</v>
      </c>
      <c r="H221" s="181" t="s">
        <v>243</v>
      </c>
      <c r="I221" s="211" t="s">
        <v>41</v>
      </c>
      <c r="J221" s="211"/>
      <c r="K221" s="228" t="s">
        <v>246</v>
      </c>
      <c r="L221" s="227" t="s">
        <v>238</v>
      </c>
      <c r="M221" s="211"/>
      <c r="N221" s="227"/>
      <c r="O221" s="182">
        <v>121.5</v>
      </c>
      <c r="P221" s="183">
        <v>64</v>
      </c>
      <c r="Q221" s="184">
        <v>9</v>
      </c>
      <c r="R221" s="185">
        <v>1210</v>
      </c>
      <c r="S221" s="186">
        <v>320</v>
      </c>
      <c r="T221" s="185"/>
      <c r="U221" s="182">
        <v>124.1</v>
      </c>
      <c r="V221" s="187">
        <v>98.6</v>
      </c>
      <c r="W221" s="184">
        <v>15</v>
      </c>
      <c r="X221" s="178"/>
      <c r="Y221" s="188">
        <f>(U221-O221)/SQRT((V221^2+P221^2)/2)</f>
        <v>3.1279973771031075E-2</v>
      </c>
      <c r="Z221" s="188"/>
      <c r="AA221" s="179">
        <v>1</v>
      </c>
      <c r="AB221" s="189">
        <f>((U221-O221)/V221)*AA221 * (1-(3/(4*(Q221+W221-2)-1)))</f>
        <v>2.5459886689515231E-2</v>
      </c>
      <c r="AC221" s="190"/>
      <c r="AD221" s="191">
        <v>1</v>
      </c>
      <c r="AE221" s="178"/>
      <c r="AF221" s="181"/>
      <c r="AG221" s="181"/>
      <c r="AH221" s="181"/>
      <c r="AI221" s="199"/>
      <c r="AJ221" s="199"/>
      <c r="AK221" s="179">
        <v>1</v>
      </c>
      <c r="AL221" s="179" t="s">
        <v>116</v>
      </c>
      <c r="AM221" s="179" t="s">
        <v>239</v>
      </c>
      <c r="AN221" s="179" t="s">
        <v>118</v>
      </c>
      <c r="AO221" s="193"/>
    </row>
    <row r="222" spans="1:41" s="1" customFormat="1" ht="15.95" customHeight="1" x14ac:dyDescent="0.25">
      <c r="A222" s="178">
        <v>204</v>
      </c>
      <c r="B222" s="178" t="s">
        <v>34</v>
      </c>
      <c r="C222" s="179" t="s">
        <v>44</v>
      </c>
      <c r="D222" s="179" t="s">
        <v>44</v>
      </c>
      <c r="E222" s="180" t="s">
        <v>36</v>
      </c>
      <c r="F222" s="178" t="s">
        <v>247</v>
      </c>
      <c r="G222" s="178">
        <v>2020</v>
      </c>
      <c r="H222" s="181" t="s">
        <v>101</v>
      </c>
      <c r="I222" s="211" t="s">
        <v>39</v>
      </c>
      <c r="J222" s="211" t="s">
        <v>39</v>
      </c>
      <c r="K222" s="228" t="s">
        <v>248</v>
      </c>
      <c r="L222" s="227"/>
      <c r="M222" s="227"/>
      <c r="N222" s="227"/>
      <c r="O222" s="182">
        <v>18.100000000000001</v>
      </c>
      <c r="P222" s="183">
        <v>13.4</v>
      </c>
      <c r="Q222" s="184">
        <v>16</v>
      </c>
      <c r="R222" s="195">
        <v>926.2</v>
      </c>
      <c r="S222" s="187"/>
      <c r="T222" s="195"/>
      <c r="U222" s="182">
        <v>10.1</v>
      </c>
      <c r="V222" s="187">
        <v>6.5</v>
      </c>
      <c r="W222" s="184">
        <v>17</v>
      </c>
      <c r="X222" s="178"/>
      <c r="Y222" s="188">
        <f>(U222-O222)/SQRT((V222^2+P222^2)/2)</f>
        <v>-0.7596515422967951</v>
      </c>
      <c r="Z222" s="188"/>
      <c r="AA222" s="179">
        <v>1</v>
      </c>
      <c r="AB222" s="189">
        <f>((U222-O222)/V222)*AA222 * (1-(3/(4*(Q222+W222-2)-1)))</f>
        <v>-1.2007504690431523</v>
      </c>
      <c r="AC222" s="190"/>
      <c r="AD222" s="191">
        <v>1</v>
      </c>
      <c r="AE222" s="191"/>
      <c r="AF222" s="179"/>
      <c r="AG222" s="179"/>
      <c r="AH222" s="178"/>
      <c r="AI222" s="192"/>
      <c r="AJ222" s="192"/>
      <c r="AK222" s="178">
        <v>4</v>
      </c>
      <c r="AL222" s="178" t="s">
        <v>249</v>
      </c>
      <c r="AM222" s="197" t="s">
        <v>146</v>
      </c>
      <c r="AN222" s="178" t="s">
        <v>249</v>
      </c>
      <c r="AO222" s="178"/>
    </row>
    <row r="223" spans="1:41" s="1" customFormat="1" ht="15.95" customHeight="1" x14ac:dyDescent="0.25">
      <c r="A223" s="178">
        <v>205</v>
      </c>
      <c r="B223" s="178" t="s">
        <v>34</v>
      </c>
      <c r="C223" s="179" t="s">
        <v>44</v>
      </c>
      <c r="D223" s="179" t="s">
        <v>44</v>
      </c>
      <c r="E223" s="180" t="s">
        <v>36</v>
      </c>
      <c r="F223" s="178" t="s">
        <v>247</v>
      </c>
      <c r="G223" s="178">
        <v>2020</v>
      </c>
      <c r="H223" s="181" t="s">
        <v>101</v>
      </c>
      <c r="I223" s="211" t="s">
        <v>41</v>
      </c>
      <c r="J223" s="211" t="s">
        <v>41</v>
      </c>
      <c r="K223" s="228" t="s">
        <v>250</v>
      </c>
      <c r="L223" s="227"/>
      <c r="M223" s="227"/>
      <c r="N223" s="227"/>
      <c r="O223" s="182">
        <v>471.1</v>
      </c>
      <c r="P223" s="183">
        <f>(598.4-418.5)/4</f>
        <v>44.974999999999994</v>
      </c>
      <c r="Q223" s="184">
        <v>16</v>
      </c>
      <c r="R223" s="195">
        <v>926.2</v>
      </c>
      <c r="S223" s="187"/>
      <c r="T223" s="195"/>
      <c r="U223" s="182">
        <v>448.58</v>
      </c>
      <c r="V223" s="187">
        <f>(690.9-400.26)/4</f>
        <v>72.66</v>
      </c>
      <c r="W223" s="184">
        <v>17</v>
      </c>
      <c r="X223" s="178"/>
      <c r="Y223" s="188">
        <f>(U223-O223)/SQRT((V223^2+P223^2)/2)</f>
        <v>-0.37269686730625295</v>
      </c>
      <c r="Z223" s="188"/>
      <c r="AA223" s="179">
        <v>1</v>
      </c>
      <c r="AB223" s="189">
        <f>((U223-O223)/V223)*AA223 * (1-(3/(4*(Q223+W223-2)-1)))</f>
        <v>-0.30237725994105574</v>
      </c>
      <c r="AC223" s="190"/>
      <c r="AD223" s="191">
        <v>1</v>
      </c>
      <c r="AE223" s="200" t="e">
        <f>AVERAGE(AB206:AB223)</f>
        <v>#DIV/0!</v>
      </c>
      <c r="AF223" s="179"/>
      <c r="AG223" s="179"/>
      <c r="AH223" s="178"/>
      <c r="AI223" s="192"/>
      <c r="AJ223" s="192"/>
      <c r="AK223" s="178">
        <v>4</v>
      </c>
      <c r="AL223" s="178" t="s">
        <v>249</v>
      </c>
      <c r="AM223" s="197" t="s">
        <v>146</v>
      </c>
      <c r="AN223" s="178" t="s">
        <v>249</v>
      </c>
      <c r="AO223" s="193"/>
    </row>
    <row r="224" spans="1:41" s="1" customFormat="1" ht="15.95" customHeight="1" x14ac:dyDescent="0.25">
      <c r="A224" s="178">
        <v>185</v>
      </c>
      <c r="B224" s="181" t="s">
        <v>34</v>
      </c>
      <c r="C224" s="179" t="s">
        <v>44</v>
      </c>
      <c r="D224" s="179" t="s">
        <v>44</v>
      </c>
      <c r="E224" s="180" t="s">
        <v>36</v>
      </c>
      <c r="F224" s="181" t="s">
        <v>301</v>
      </c>
      <c r="G224" s="181">
        <v>2022</v>
      </c>
      <c r="H224" s="181" t="s">
        <v>308</v>
      </c>
      <c r="I224" s="211" t="s">
        <v>41</v>
      </c>
      <c r="J224" s="211"/>
      <c r="K224" s="211" t="s">
        <v>309</v>
      </c>
      <c r="L224" s="229"/>
      <c r="M224" s="211" t="s">
        <v>310</v>
      </c>
      <c r="N224" s="211" t="s">
        <v>311</v>
      </c>
      <c r="O224" s="201">
        <v>10</v>
      </c>
      <c r="P224" s="187">
        <v>2.5</v>
      </c>
      <c r="Q224" s="184">
        <v>30</v>
      </c>
      <c r="R224" s="195">
        <v>741</v>
      </c>
      <c r="S224" s="187">
        <f>358/1.35</f>
        <v>265.18518518518516</v>
      </c>
      <c r="T224" s="187" t="s">
        <v>307</v>
      </c>
      <c r="U224" s="201">
        <v>11</v>
      </c>
      <c r="V224" s="195">
        <v>3.8</v>
      </c>
      <c r="W224" s="184">
        <v>54</v>
      </c>
      <c r="X224" s="181">
        <v>54</v>
      </c>
      <c r="Y224" s="181">
        <v>0.19</v>
      </c>
      <c r="Z224" s="181"/>
      <c r="AA224" s="181">
        <v>-1</v>
      </c>
      <c r="AB224" s="189">
        <f>((U224-O224)/V224)*AA224 * (1-(3/(4*(Q224+W224-2)-1)))</f>
        <v>-0.26074360212457748</v>
      </c>
      <c r="AC224" s="181"/>
      <c r="AD224" s="191">
        <v>1</v>
      </c>
      <c r="AE224" s="191"/>
      <c r="AF224" s="181">
        <v>10.75</v>
      </c>
      <c r="AG224" s="181">
        <v>12.1</v>
      </c>
      <c r="AH224" s="181"/>
      <c r="AI224" s="181">
        <v>13.1</v>
      </c>
      <c r="AJ224" s="181">
        <v>3.2</v>
      </c>
      <c r="AK224" s="181"/>
      <c r="AL224" s="181"/>
      <c r="AM224" s="181"/>
      <c r="AN224" s="181"/>
      <c r="AO224" s="178"/>
    </row>
    <row r="225" spans="1:41" s="1" customFormat="1" ht="15.95" customHeight="1" x14ac:dyDescent="0.25">
      <c r="A225" s="178">
        <v>188</v>
      </c>
      <c r="B225" s="181" t="s">
        <v>34</v>
      </c>
      <c r="C225" s="179" t="s">
        <v>44</v>
      </c>
      <c r="D225" s="179" t="s">
        <v>44</v>
      </c>
      <c r="E225" s="180" t="s">
        <v>36</v>
      </c>
      <c r="F225" s="181" t="s">
        <v>301</v>
      </c>
      <c r="G225" s="181">
        <v>2022</v>
      </c>
      <c r="H225" s="181" t="s">
        <v>312</v>
      </c>
      <c r="I225" s="211" t="s">
        <v>41</v>
      </c>
      <c r="J225" s="211"/>
      <c r="K225" s="211" t="s">
        <v>313</v>
      </c>
      <c r="L225" s="229"/>
      <c r="M225" s="211" t="s">
        <v>314</v>
      </c>
      <c r="N225" s="211" t="s">
        <v>311</v>
      </c>
      <c r="O225" s="201">
        <v>10</v>
      </c>
      <c r="P225" s="187">
        <v>2</v>
      </c>
      <c r="Q225" s="184">
        <v>30</v>
      </c>
      <c r="R225" s="195">
        <v>741</v>
      </c>
      <c r="S225" s="187">
        <f>358/1.35</f>
        <v>265.18518518518516</v>
      </c>
      <c r="T225" s="187" t="s">
        <v>307</v>
      </c>
      <c r="U225" s="201">
        <v>12</v>
      </c>
      <c r="V225" s="195">
        <v>3</v>
      </c>
      <c r="W225" s="184">
        <v>54</v>
      </c>
      <c r="X225" s="181">
        <v>54</v>
      </c>
      <c r="Y225" s="181">
        <v>0.44</v>
      </c>
      <c r="Z225" s="181"/>
      <c r="AA225" s="181">
        <v>-1</v>
      </c>
      <c r="AB225" s="189">
        <f>((U225-O225)/V225)*AA225 * (1-(3/(4*(Q225+W225-2)-1)))</f>
        <v>-0.66055045871559637</v>
      </c>
      <c r="AC225" s="181"/>
      <c r="AD225" s="191">
        <v>1</v>
      </c>
      <c r="AE225" s="191"/>
      <c r="AF225" s="181" t="s">
        <v>58</v>
      </c>
      <c r="AG225" s="181"/>
      <c r="AH225" s="181"/>
      <c r="AI225" s="181"/>
      <c r="AJ225" s="181"/>
      <c r="AK225" s="181"/>
      <c r="AL225" s="181"/>
      <c r="AM225" s="181"/>
      <c r="AN225" s="181"/>
      <c r="AO225" s="178"/>
    </row>
    <row r="226" spans="1:41" s="1" customFormat="1" ht="15.95" customHeight="1" x14ac:dyDescent="0.25">
      <c r="A226" s="178">
        <v>177</v>
      </c>
      <c r="B226" s="178" t="s">
        <v>34</v>
      </c>
      <c r="C226" s="179" t="s">
        <v>44</v>
      </c>
      <c r="D226" s="179" t="s">
        <v>44</v>
      </c>
      <c r="E226" s="180" t="s">
        <v>36</v>
      </c>
      <c r="F226" s="181" t="s">
        <v>148</v>
      </c>
      <c r="G226" s="178">
        <v>2018</v>
      </c>
      <c r="H226" s="181" t="s">
        <v>162</v>
      </c>
      <c r="I226" s="211" t="s">
        <v>41</v>
      </c>
      <c r="J226" s="211"/>
      <c r="K226" s="228" t="s">
        <v>315</v>
      </c>
      <c r="L226" s="227"/>
      <c r="M226" s="230"/>
      <c r="N226" s="230"/>
      <c r="O226" s="182">
        <v>85.9</v>
      </c>
      <c r="P226" s="183">
        <v>16.7</v>
      </c>
      <c r="Q226" s="184">
        <v>15</v>
      </c>
      <c r="R226" s="185">
        <v>751.2</v>
      </c>
      <c r="S226" s="186"/>
      <c r="T226" s="185"/>
      <c r="U226" s="182">
        <v>75.7</v>
      </c>
      <c r="V226" s="187">
        <v>19.2</v>
      </c>
      <c r="W226" s="184">
        <v>24</v>
      </c>
      <c r="X226" s="178"/>
      <c r="Y226" s="188">
        <f>(U226-O226)/SQRT((V226^2+P226^2)/2)</f>
        <v>-0.56687228263993794</v>
      </c>
      <c r="Z226" s="188"/>
      <c r="AA226" s="179">
        <v>1</v>
      </c>
      <c r="AB226" s="189">
        <f>((U226-O226)/V226)*AA226 * (1-(3/(4*(Q226+W226-2)-1)))</f>
        <v>-0.52040816326530637</v>
      </c>
      <c r="AC226" s="190"/>
      <c r="AD226" s="191">
        <v>1</v>
      </c>
      <c r="AE226" s="191"/>
      <c r="AF226" s="179"/>
      <c r="AG226" s="179"/>
      <c r="AH226" s="178"/>
      <c r="AI226" s="192"/>
      <c r="AJ226" s="192"/>
      <c r="AK226" s="179">
        <v>1</v>
      </c>
      <c r="AL226" s="179" t="s">
        <v>116</v>
      </c>
      <c r="AM226" s="178" t="s">
        <v>69</v>
      </c>
      <c r="AN226" s="179" t="s">
        <v>118</v>
      </c>
      <c r="AO226" s="178"/>
    </row>
    <row r="227" spans="1:41" s="1" customFormat="1" ht="15.95" customHeight="1" x14ac:dyDescent="0.25">
      <c r="A227" s="178">
        <v>171</v>
      </c>
      <c r="B227" s="178" t="s">
        <v>34</v>
      </c>
      <c r="C227" s="179" t="s">
        <v>44</v>
      </c>
      <c r="D227" s="179" t="s">
        <v>44</v>
      </c>
      <c r="E227" s="180" t="s">
        <v>36</v>
      </c>
      <c r="F227" s="179" t="s">
        <v>406</v>
      </c>
      <c r="G227" s="178">
        <v>2004</v>
      </c>
      <c r="H227" s="181" t="s">
        <v>196</v>
      </c>
      <c r="I227" s="211"/>
      <c r="J227" s="211"/>
      <c r="K227" s="228" t="s">
        <v>410</v>
      </c>
      <c r="L227" s="227"/>
      <c r="M227" s="227"/>
      <c r="N227" s="227"/>
      <c r="O227" s="182">
        <v>0.56999999999999995</v>
      </c>
      <c r="P227" s="183">
        <v>0.32</v>
      </c>
      <c r="Q227" s="184">
        <v>20</v>
      </c>
      <c r="R227" s="185">
        <v>858.5</v>
      </c>
      <c r="S227" s="186"/>
      <c r="T227" s="185"/>
      <c r="U227" s="182">
        <v>0.75</v>
      </c>
      <c r="V227" s="187">
        <v>0.53</v>
      </c>
      <c r="W227" s="184">
        <v>20</v>
      </c>
      <c r="X227" s="178"/>
      <c r="Y227" s="188">
        <f>(U227-O227)/SQRT((V227^2+P227^2)/2)</f>
        <v>0.4111668505267474</v>
      </c>
      <c r="Z227" s="188"/>
      <c r="AA227" s="179">
        <v>-1</v>
      </c>
      <c r="AB227" s="189">
        <f>((U227-O227)/V227)*AA227 * (1-(3/(4*(Q227+W227-2)-1)))</f>
        <v>-0.33287517181057114</v>
      </c>
      <c r="AC227" s="190"/>
      <c r="AD227" s="191">
        <v>1</v>
      </c>
      <c r="AE227" s="191"/>
      <c r="AF227" s="179"/>
      <c r="AG227" s="179"/>
      <c r="AH227" s="178"/>
      <c r="AI227" s="192"/>
      <c r="AJ227" s="192"/>
      <c r="AK227" s="179">
        <v>2</v>
      </c>
      <c r="AL227" s="179" t="s">
        <v>68</v>
      </c>
      <c r="AM227" s="178" t="s">
        <v>69</v>
      </c>
      <c r="AN227" s="179" t="s">
        <v>68</v>
      </c>
      <c r="AO227" s="178"/>
    </row>
    <row r="228" spans="1:41" s="1" customFormat="1" ht="15.95" customHeight="1" x14ac:dyDescent="0.25">
      <c r="A228" s="178">
        <v>176</v>
      </c>
      <c r="B228" s="181" t="s">
        <v>34</v>
      </c>
      <c r="C228" s="181" t="s">
        <v>44</v>
      </c>
      <c r="D228" s="181" t="s">
        <v>44</v>
      </c>
      <c r="E228" s="180" t="s">
        <v>36</v>
      </c>
      <c r="F228" s="181" t="s">
        <v>274</v>
      </c>
      <c r="G228" s="181">
        <v>2023</v>
      </c>
      <c r="H228" s="181" t="s">
        <v>439</v>
      </c>
      <c r="I228" s="211"/>
      <c r="J228" s="211"/>
      <c r="K228" s="211" t="s">
        <v>437</v>
      </c>
      <c r="L228" s="229" t="s">
        <v>440</v>
      </c>
      <c r="M228" s="211" t="s">
        <v>277</v>
      </c>
      <c r="N228" s="211"/>
      <c r="O228" s="201">
        <v>40</v>
      </c>
      <c r="P228" s="187">
        <v>7.7</v>
      </c>
      <c r="Q228" s="184">
        <v>40</v>
      </c>
      <c r="R228" s="195">
        <v>589</v>
      </c>
      <c r="S228" s="187">
        <v>444</v>
      </c>
      <c r="T228" s="195"/>
      <c r="U228" s="201">
        <v>43</v>
      </c>
      <c r="V228" s="195">
        <v>9.6</v>
      </c>
      <c r="W228" s="184">
        <v>32</v>
      </c>
      <c r="X228" s="181" t="s">
        <v>58</v>
      </c>
      <c r="Y228" s="181"/>
      <c r="Z228" s="181"/>
      <c r="AA228" s="181">
        <v>-1</v>
      </c>
      <c r="AB228" s="189">
        <f>((U228-O228)/V228)*AA228 * (1-(3/(4*(Q228+W228-2)-1)))</f>
        <v>-0.30913978494623656</v>
      </c>
      <c r="AC228" s="181"/>
      <c r="AD228" s="191">
        <v>1</v>
      </c>
      <c r="AE228" s="191"/>
      <c r="AF228" s="181">
        <v>11.18</v>
      </c>
      <c r="AG228" s="181">
        <v>3.4</v>
      </c>
      <c r="AH228" s="181"/>
      <c r="AI228" s="181">
        <v>10.3</v>
      </c>
      <c r="AJ228" s="181">
        <v>3.1</v>
      </c>
      <c r="AK228" s="181"/>
      <c r="AL228" s="181"/>
      <c r="AM228" s="181"/>
      <c r="AN228" s="181"/>
      <c r="AO228" s="178"/>
    </row>
    <row r="229" spans="1:41" s="1" customFormat="1" ht="15.95" customHeight="1" x14ac:dyDescent="0.25">
      <c r="A229" s="178">
        <v>191</v>
      </c>
      <c r="B229" s="178" t="s">
        <v>34</v>
      </c>
      <c r="C229" s="179" t="s">
        <v>44</v>
      </c>
      <c r="D229" s="179" t="s">
        <v>44</v>
      </c>
      <c r="E229" s="180" t="s">
        <v>36</v>
      </c>
      <c r="F229" s="181" t="s">
        <v>148</v>
      </c>
      <c r="G229" s="178">
        <v>2017</v>
      </c>
      <c r="H229" s="181" t="s">
        <v>621</v>
      </c>
      <c r="I229" s="211"/>
      <c r="J229" s="211"/>
      <c r="K229" s="228" t="s">
        <v>622</v>
      </c>
      <c r="L229" s="227"/>
      <c r="M229" s="227"/>
      <c r="N229" s="227"/>
      <c r="O229" s="182">
        <v>0.5</v>
      </c>
      <c r="P229" s="183">
        <v>1.1000000000000001</v>
      </c>
      <c r="Q229" s="184">
        <v>37</v>
      </c>
      <c r="R229" s="185">
        <v>720</v>
      </c>
      <c r="S229" s="186"/>
      <c r="T229" s="185"/>
      <c r="U229" s="182">
        <v>0.8</v>
      </c>
      <c r="V229" s="187">
        <v>1</v>
      </c>
      <c r="W229" s="184">
        <v>30</v>
      </c>
      <c r="X229" s="178"/>
      <c r="Y229" s="188">
        <f>(U229-O229)/SQRT((V229^2+P229^2)/2)</f>
        <v>0.2853908964926965</v>
      </c>
      <c r="Z229" s="188"/>
      <c r="AA229" s="179">
        <v>1</v>
      </c>
      <c r="AB229" s="189">
        <f>((U229-O229)/V229)*AA229 * (1-(3/(4*(Q229+W229-2)-1)))</f>
        <v>0.29652509652509657</v>
      </c>
      <c r="AC229" s="190"/>
      <c r="AD229" s="191">
        <v>1</v>
      </c>
      <c r="AE229" s="191"/>
      <c r="AF229" s="179"/>
      <c r="AG229" s="179"/>
      <c r="AH229" s="178"/>
      <c r="AI229" s="192"/>
      <c r="AJ229" s="192"/>
      <c r="AK229" s="179">
        <v>1</v>
      </c>
      <c r="AL229" s="179" t="s">
        <v>116</v>
      </c>
      <c r="AM229" s="178" t="s">
        <v>69</v>
      </c>
      <c r="AN229" s="179" t="s">
        <v>118</v>
      </c>
      <c r="AO229" s="193"/>
    </row>
    <row r="230" spans="1:41" s="1" customFormat="1" ht="15.95" customHeight="1" x14ac:dyDescent="0.25">
      <c r="A230" s="178">
        <v>192</v>
      </c>
      <c r="B230" s="178" t="s">
        <v>34</v>
      </c>
      <c r="C230" s="179" t="s">
        <v>44</v>
      </c>
      <c r="D230" s="179" t="s">
        <v>44</v>
      </c>
      <c r="E230" s="180" t="s">
        <v>36</v>
      </c>
      <c r="F230" s="181" t="s">
        <v>148</v>
      </c>
      <c r="G230" s="178">
        <v>2017</v>
      </c>
      <c r="H230" s="181" t="s">
        <v>623</v>
      </c>
      <c r="I230" s="211"/>
      <c r="J230" s="211"/>
      <c r="K230" s="228" t="s">
        <v>624</v>
      </c>
      <c r="L230" s="227"/>
      <c r="M230" s="227"/>
      <c r="N230" s="227"/>
      <c r="O230" s="182">
        <v>111.3</v>
      </c>
      <c r="P230" s="183">
        <v>86.7</v>
      </c>
      <c r="Q230" s="184">
        <v>37</v>
      </c>
      <c r="R230" s="185">
        <v>720</v>
      </c>
      <c r="S230" s="186"/>
      <c r="T230" s="185"/>
      <c r="U230" s="182">
        <v>94.3</v>
      </c>
      <c r="V230" s="187">
        <v>51.9</v>
      </c>
      <c r="W230" s="184">
        <v>30</v>
      </c>
      <c r="X230" s="178"/>
      <c r="Y230" s="188">
        <f>(U230-O230)/SQRT((V230^2+P230^2)/2)</f>
        <v>-0.23792518429246062</v>
      </c>
      <c r="Z230" s="188"/>
      <c r="AA230" s="179">
        <v>1</v>
      </c>
      <c r="AB230" s="189">
        <f>((U230-O230)/V230)*AA230 * (1-(3/(4*(Q230+W230-2)-1)))</f>
        <v>-0.32375893647569948</v>
      </c>
      <c r="AC230" s="178"/>
      <c r="AD230" s="191">
        <v>1</v>
      </c>
      <c r="AE230" s="191"/>
      <c r="AF230" s="181"/>
      <c r="AG230" s="181"/>
      <c r="AH230" s="181"/>
      <c r="AI230" s="199"/>
      <c r="AJ230" s="199"/>
      <c r="AK230" s="179">
        <v>1</v>
      </c>
      <c r="AL230" s="179" t="s">
        <v>116</v>
      </c>
      <c r="AM230" s="178" t="s">
        <v>69</v>
      </c>
      <c r="AN230" s="179" t="s">
        <v>118</v>
      </c>
      <c r="AO230" s="178"/>
    </row>
    <row r="231" spans="1:41" s="1" customFormat="1" ht="15.95" customHeight="1" x14ac:dyDescent="0.25">
      <c r="A231" s="1">
        <v>207</v>
      </c>
      <c r="B231" s="11" t="s">
        <v>43</v>
      </c>
      <c r="C231" s="11" t="s">
        <v>44</v>
      </c>
      <c r="D231" s="11" t="s">
        <v>44</v>
      </c>
      <c r="E231" s="36" t="s">
        <v>45</v>
      </c>
      <c r="F231" s="11" t="s">
        <v>46</v>
      </c>
      <c r="G231" s="11">
        <v>2002</v>
      </c>
      <c r="H231" s="11" t="s">
        <v>47</v>
      </c>
      <c r="I231" s="204" t="s">
        <v>39</v>
      </c>
      <c r="J231" s="204" t="s">
        <v>39</v>
      </c>
      <c r="K231" s="204" t="s">
        <v>48</v>
      </c>
      <c r="L231" s="207"/>
      <c r="M231" s="207"/>
      <c r="N231" s="204"/>
      <c r="O231" s="38">
        <v>7.77</v>
      </c>
      <c r="P231" s="39">
        <v>5.6999999999999993</v>
      </c>
      <c r="Q231" s="40">
        <v>36</v>
      </c>
      <c r="R231" s="41"/>
      <c r="S231" s="39"/>
      <c r="T231" s="41"/>
      <c r="U231" s="115">
        <v>3.52</v>
      </c>
      <c r="V231" s="39">
        <v>3.96</v>
      </c>
      <c r="W231" s="40">
        <v>69</v>
      </c>
      <c r="X231" s="11"/>
      <c r="Y231" s="11"/>
      <c r="Z231" s="11"/>
      <c r="AA231" s="11">
        <v>1</v>
      </c>
      <c r="AB231" s="43">
        <f>((U231-O231)/V231)*AA231 * (1-(3/(4*(Q231+W231-2)-1)))</f>
        <v>-1.0653985106539852</v>
      </c>
      <c r="AC231" s="43"/>
      <c r="AD231" s="44">
        <v>1</v>
      </c>
      <c r="AE231" s="44"/>
      <c r="AF231" s="118">
        <v>11.18</v>
      </c>
      <c r="AG231" s="118">
        <v>3.4</v>
      </c>
      <c r="AH231" s="87"/>
      <c r="AI231" s="103">
        <v>10.29</v>
      </c>
      <c r="AJ231" s="13">
        <v>3.1</v>
      </c>
      <c r="AK231" s="11"/>
      <c r="AL231" s="11"/>
      <c r="AM231" s="11"/>
      <c r="AN231" s="11"/>
    </row>
    <row r="232" spans="1:41" s="1" customFormat="1" ht="15.95" customHeight="1" x14ac:dyDescent="0.25">
      <c r="A232" s="1">
        <v>209</v>
      </c>
      <c r="B232" s="11" t="s">
        <v>43</v>
      </c>
      <c r="C232" s="11" t="s">
        <v>44</v>
      </c>
      <c r="D232" s="11" t="s">
        <v>44</v>
      </c>
      <c r="E232" s="36" t="s">
        <v>45</v>
      </c>
      <c r="F232" s="11" t="s">
        <v>46</v>
      </c>
      <c r="G232" s="11">
        <v>2002</v>
      </c>
      <c r="H232" s="11" t="s">
        <v>47</v>
      </c>
      <c r="I232" s="204" t="s">
        <v>41</v>
      </c>
      <c r="J232" s="204" t="s">
        <v>41</v>
      </c>
      <c r="K232" s="204" t="s">
        <v>49</v>
      </c>
      <c r="L232" s="207"/>
      <c r="M232" s="207"/>
      <c r="N232" s="204"/>
      <c r="O232" s="38">
        <v>160.4</v>
      </c>
      <c r="P232" s="39">
        <v>44.400000000000006</v>
      </c>
      <c r="Q232" s="40">
        <v>36</v>
      </c>
      <c r="R232" s="41"/>
      <c r="S232" s="39"/>
      <c r="T232" s="41"/>
      <c r="U232" s="115">
        <v>133.41</v>
      </c>
      <c r="V232" s="39">
        <v>30.660000000000004</v>
      </c>
      <c r="W232" s="40">
        <v>69</v>
      </c>
      <c r="X232" s="11"/>
      <c r="Y232" s="11"/>
      <c r="Z232" s="11"/>
      <c r="AA232" s="11">
        <v>1</v>
      </c>
      <c r="AB232" s="43">
        <f>((U232-O232)/V232)*AA232 * (1-(3/(4*(Q232+W232-2)-1)))</f>
        <v>-0.87387451731017385</v>
      </c>
      <c r="AC232" s="43"/>
      <c r="AD232" s="44">
        <v>1</v>
      </c>
      <c r="AE232" s="44"/>
      <c r="AF232" s="118">
        <v>11.18</v>
      </c>
      <c r="AG232" s="118">
        <v>3.4</v>
      </c>
      <c r="AH232" s="87"/>
      <c r="AI232" s="103">
        <v>10.29</v>
      </c>
      <c r="AJ232" s="13">
        <v>3.1</v>
      </c>
      <c r="AK232" s="11"/>
      <c r="AL232" s="11"/>
      <c r="AM232" s="11"/>
      <c r="AN232" s="11"/>
    </row>
    <row r="233" spans="1:41" s="1" customFormat="1" ht="15.95" customHeight="1" x14ac:dyDescent="0.25">
      <c r="A233" s="1">
        <v>211</v>
      </c>
      <c r="B233" s="11" t="s">
        <v>43</v>
      </c>
      <c r="C233" s="11" t="s">
        <v>44</v>
      </c>
      <c r="D233" s="11" t="s">
        <v>44</v>
      </c>
      <c r="E233" s="36" t="s">
        <v>45</v>
      </c>
      <c r="F233" s="11" t="s">
        <v>95</v>
      </c>
      <c r="G233" s="11">
        <v>2006</v>
      </c>
      <c r="H233" s="11" t="s">
        <v>96</v>
      </c>
      <c r="I233" s="204" t="s">
        <v>39</v>
      </c>
      <c r="J233" s="204" t="s">
        <v>39</v>
      </c>
      <c r="K233" s="204" t="s">
        <v>97</v>
      </c>
      <c r="L233" s="207"/>
      <c r="M233" s="207"/>
      <c r="N233" s="204"/>
      <c r="O233" s="38">
        <v>12.1</v>
      </c>
      <c r="P233" s="39">
        <v>11.5</v>
      </c>
      <c r="Q233" s="40">
        <v>26</v>
      </c>
      <c r="R233" s="41">
        <v>423.8</v>
      </c>
      <c r="S233" s="39">
        <v>339</v>
      </c>
      <c r="T233" s="41"/>
      <c r="U233" s="38">
        <v>8.9</v>
      </c>
      <c r="V233" s="39">
        <v>7.6</v>
      </c>
      <c r="W233" s="40">
        <v>25</v>
      </c>
      <c r="X233" s="11"/>
      <c r="Y233" s="11"/>
      <c r="Z233" s="11"/>
      <c r="AA233" s="11">
        <v>1</v>
      </c>
      <c r="AB233" s="43">
        <f>((U233-O233)/V233)*AA233 * (1-(3/(4*(Q233+W233-2)-1)))</f>
        <v>-0.41457489878542503</v>
      </c>
      <c r="AC233" s="61"/>
      <c r="AD233" s="44">
        <v>1</v>
      </c>
      <c r="AE233" s="44"/>
      <c r="AF233" s="11">
        <v>11.2</v>
      </c>
      <c r="AG233" s="11">
        <v>3.1</v>
      </c>
      <c r="AH233" s="11"/>
      <c r="AI233" s="87">
        <v>11.3</v>
      </c>
      <c r="AJ233" s="87">
        <v>3.4</v>
      </c>
      <c r="AK233" s="11"/>
      <c r="AL233" s="11"/>
      <c r="AM233" s="11"/>
      <c r="AN233" s="11"/>
    </row>
    <row r="234" spans="1:41" s="1" customFormat="1" ht="15.95" customHeight="1" x14ac:dyDescent="0.25">
      <c r="A234" s="1">
        <v>212</v>
      </c>
      <c r="B234" s="11" t="s">
        <v>43</v>
      </c>
      <c r="C234" s="11" t="s">
        <v>44</v>
      </c>
      <c r="D234" s="11" t="s">
        <v>44</v>
      </c>
      <c r="E234" s="36" t="s">
        <v>45</v>
      </c>
      <c r="F234" s="11" t="s">
        <v>95</v>
      </c>
      <c r="G234" s="11">
        <v>2006</v>
      </c>
      <c r="H234" s="11" t="s">
        <v>96</v>
      </c>
      <c r="I234" s="204" t="s">
        <v>41</v>
      </c>
      <c r="J234" s="204" t="s">
        <v>41</v>
      </c>
      <c r="K234" s="204" t="s">
        <v>98</v>
      </c>
      <c r="L234" s="207"/>
      <c r="M234" s="207"/>
      <c r="N234" s="204"/>
      <c r="O234" s="38">
        <v>392</v>
      </c>
      <c r="P234" s="39">
        <v>77</v>
      </c>
      <c r="Q234" s="40">
        <v>26</v>
      </c>
      <c r="R234" s="41">
        <v>423.8</v>
      </c>
      <c r="S234" s="39">
        <v>339</v>
      </c>
      <c r="T234" s="41"/>
      <c r="U234" s="38">
        <v>353</v>
      </c>
      <c r="V234" s="39">
        <v>65</v>
      </c>
      <c r="W234" s="40">
        <v>25</v>
      </c>
      <c r="X234" s="11"/>
      <c r="Y234" s="11"/>
      <c r="Z234" s="11"/>
      <c r="AA234" s="11">
        <v>1</v>
      </c>
      <c r="AB234" s="43">
        <f>((U234-O234)/V234)*AA234 * (1-(3/(4*(Q234+W234-2)-1)))</f>
        <v>-0.59076923076923082</v>
      </c>
      <c r="AC234" s="61"/>
      <c r="AD234" s="44">
        <v>1</v>
      </c>
      <c r="AE234" s="44"/>
      <c r="AF234" s="11">
        <v>11.2</v>
      </c>
      <c r="AG234" s="11">
        <v>3.1</v>
      </c>
      <c r="AH234" s="11"/>
      <c r="AI234" s="87">
        <v>11.3</v>
      </c>
      <c r="AJ234" s="87">
        <v>3.4</v>
      </c>
      <c r="AK234" s="11"/>
      <c r="AL234" s="11"/>
      <c r="AM234" s="11"/>
      <c r="AN234" s="11"/>
    </row>
    <row r="235" spans="1:41" s="1" customFormat="1" ht="15.95" customHeight="1" x14ac:dyDescent="0.25">
      <c r="A235" s="1">
        <v>215</v>
      </c>
      <c r="B235" s="11" t="s">
        <v>43</v>
      </c>
      <c r="C235" s="14" t="s">
        <v>44</v>
      </c>
      <c r="D235" s="14" t="s">
        <v>44</v>
      </c>
      <c r="E235" s="36" t="s">
        <v>45</v>
      </c>
      <c r="F235" s="11" t="s">
        <v>95</v>
      </c>
      <c r="G235" s="11">
        <v>2006</v>
      </c>
      <c r="H235" s="1" t="s">
        <v>72</v>
      </c>
      <c r="I235" s="204" t="s">
        <v>39</v>
      </c>
      <c r="J235" s="204" t="s">
        <v>39</v>
      </c>
      <c r="K235" s="204" t="s">
        <v>97</v>
      </c>
      <c r="L235" s="207"/>
      <c r="M235" s="207"/>
      <c r="N235" s="204"/>
      <c r="O235" s="38">
        <v>7.1</v>
      </c>
      <c r="P235" s="39">
        <v>8.9</v>
      </c>
      <c r="Q235" s="40">
        <v>26</v>
      </c>
      <c r="R235" s="41">
        <v>423.8</v>
      </c>
      <c r="S235" s="39">
        <v>339</v>
      </c>
      <c r="T235" s="41"/>
      <c r="U235" s="38">
        <v>8.9</v>
      </c>
      <c r="V235" s="39">
        <v>7.5</v>
      </c>
      <c r="W235" s="40">
        <v>25</v>
      </c>
      <c r="X235" s="11"/>
      <c r="Y235" s="11"/>
      <c r="Z235" s="11"/>
      <c r="AA235" s="11">
        <v>1</v>
      </c>
      <c r="AB235" s="43">
        <f>((U235-O235)/V235)*AA235 * (1-(3/(4*(Q235+W235-2)-1)))</f>
        <v>0.23630769230769241</v>
      </c>
      <c r="AC235" s="61"/>
      <c r="AD235" s="44">
        <v>1</v>
      </c>
      <c r="AE235" s="44"/>
      <c r="AF235" s="11">
        <v>11.2</v>
      </c>
      <c r="AG235" s="11">
        <v>3.1</v>
      </c>
      <c r="AH235" s="11"/>
      <c r="AI235" s="87">
        <v>11.3</v>
      </c>
      <c r="AJ235" s="87">
        <v>3.4</v>
      </c>
      <c r="AK235" s="11"/>
      <c r="AL235" s="11"/>
      <c r="AM235" s="11"/>
      <c r="AN235" s="11"/>
    </row>
    <row r="236" spans="1:41" s="11" customFormat="1" ht="18" customHeight="1" x14ac:dyDescent="0.25">
      <c r="A236" s="1">
        <v>217</v>
      </c>
      <c r="B236" s="11" t="s">
        <v>43</v>
      </c>
      <c r="C236" s="14" t="s">
        <v>44</v>
      </c>
      <c r="D236" s="14" t="s">
        <v>44</v>
      </c>
      <c r="E236" s="36" t="s">
        <v>45</v>
      </c>
      <c r="F236" s="11" t="s">
        <v>95</v>
      </c>
      <c r="G236" s="11">
        <v>2006</v>
      </c>
      <c r="H236" s="1" t="s">
        <v>72</v>
      </c>
      <c r="I236" s="204" t="s">
        <v>41</v>
      </c>
      <c r="J236" s="204" t="s">
        <v>41</v>
      </c>
      <c r="K236" s="204" t="s">
        <v>98</v>
      </c>
      <c r="L236" s="207"/>
      <c r="M236" s="207"/>
      <c r="N236" s="204"/>
      <c r="O236" s="38">
        <v>777</v>
      </c>
      <c r="P236" s="39">
        <v>219</v>
      </c>
      <c r="Q236" s="40">
        <v>26</v>
      </c>
      <c r="R236" s="41">
        <v>423.8</v>
      </c>
      <c r="S236" s="39">
        <v>339</v>
      </c>
      <c r="T236" s="41"/>
      <c r="U236" s="38">
        <v>736</v>
      </c>
      <c r="V236" s="39">
        <v>231</v>
      </c>
      <c r="W236" s="40">
        <v>25</v>
      </c>
      <c r="AA236" s="11">
        <v>1</v>
      </c>
      <c r="AB236" s="43">
        <f>((U236-O236)/V236)*AA236 * (1-(3/(4*(Q236+W236-2)-1)))</f>
        <v>-0.17475857475857479</v>
      </c>
      <c r="AC236" s="61"/>
      <c r="AD236" s="44">
        <v>1</v>
      </c>
      <c r="AE236" s="44"/>
      <c r="AF236" s="11">
        <v>11.2</v>
      </c>
      <c r="AG236" s="11">
        <v>3.1</v>
      </c>
      <c r="AI236" s="87">
        <v>11.3</v>
      </c>
      <c r="AJ236" s="87">
        <v>3.4</v>
      </c>
      <c r="AO236" s="1"/>
    </row>
    <row r="237" spans="1:41" s="11" customFormat="1" ht="18" customHeight="1" x14ac:dyDescent="0.25">
      <c r="A237" s="1">
        <v>213</v>
      </c>
      <c r="B237" s="11" t="s">
        <v>43</v>
      </c>
      <c r="C237" s="11" t="s">
        <v>44</v>
      </c>
      <c r="D237" s="11" t="s">
        <v>44</v>
      </c>
      <c r="E237" s="36" t="s">
        <v>45</v>
      </c>
      <c r="F237" s="11" t="s">
        <v>95</v>
      </c>
      <c r="G237" s="11">
        <v>2006</v>
      </c>
      <c r="H237" s="11" t="s">
        <v>101</v>
      </c>
      <c r="I237" s="204" t="s">
        <v>39</v>
      </c>
      <c r="J237" s="204" t="s">
        <v>39</v>
      </c>
      <c r="K237" s="204" t="s">
        <v>97</v>
      </c>
      <c r="L237" s="207"/>
      <c r="M237" s="207"/>
      <c r="N237" s="204"/>
      <c r="O237" s="38">
        <v>31.7</v>
      </c>
      <c r="P237" s="39">
        <v>17.399999999999999</v>
      </c>
      <c r="Q237" s="40">
        <v>26</v>
      </c>
      <c r="R237" s="41">
        <v>423.8</v>
      </c>
      <c r="S237" s="39">
        <v>339</v>
      </c>
      <c r="T237" s="41"/>
      <c r="U237" s="38">
        <v>25.1</v>
      </c>
      <c r="V237" s="39">
        <v>14.4</v>
      </c>
      <c r="W237" s="40">
        <v>25</v>
      </c>
      <c r="AA237" s="11">
        <v>1</v>
      </c>
      <c r="AB237" s="43">
        <f>((U237-O237)/V237)*AA237 * (1-(3/(4*(Q237+W237-2)-1)))</f>
        <v>-0.45128205128205112</v>
      </c>
      <c r="AC237" s="61"/>
      <c r="AD237" s="44">
        <v>1</v>
      </c>
      <c r="AE237" s="44"/>
      <c r="AF237" s="11">
        <v>11.2</v>
      </c>
      <c r="AG237" s="11">
        <v>3.1</v>
      </c>
      <c r="AI237" s="87">
        <v>11.3</v>
      </c>
      <c r="AJ237" s="87">
        <v>3.4</v>
      </c>
      <c r="AO237" s="1"/>
    </row>
    <row r="238" spans="1:41" s="11" customFormat="1" ht="18" customHeight="1" x14ac:dyDescent="0.25">
      <c r="A238" s="1">
        <v>214</v>
      </c>
      <c r="B238" s="11" t="s">
        <v>43</v>
      </c>
      <c r="C238" s="11" t="s">
        <v>44</v>
      </c>
      <c r="D238" s="11" t="s">
        <v>44</v>
      </c>
      <c r="E238" s="36" t="s">
        <v>45</v>
      </c>
      <c r="F238" s="11" t="s">
        <v>95</v>
      </c>
      <c r="G238" s="11">
        <v>2006</v>
      </c>
      <c r="H238" s="11" t="s">
        <v>101</v>
      </c>
      <c r="I238" s="204" t="s">
        <v>41</v>
      </c>
      <c r="J238" s="204" t="s">
        <v>41</v>
      </c>
      <c r="K238" s="204" t="s">
        <v>98</v>
      </c>
      <c r="L238" s="207"/>
      <c r="M238" s="207"/>
      <c r="N238" s="204"/>
      <c r="O238" s="38">
        <v>443</v>
      </c>
      <c r="P238" s="39">
        <v>67</v>
      </c>
      <c r="Q238" s="40">
        <v>26</v>
      </c>
      <c r="R238" s="41">
        <v>423.8</v>
      </c>
      <c r="S238" s="39">
        <v>339</v>
      </c>
      <c r="T238" s="41"/>
      <c r="U238" s="38">
        <v>439</v>
      </c>
      <c r="V238" s="39">
        <v>79</v>
      </c>
      <c r="W238" s="40">
        <v>25</v>
      </c>
      <c r="AA238" s="11">
        <v>1</v>
      </c>
      <c r="AB238" s="43">
        <f>((U238-O238)/V238)*AA238 * (1-(3/(4*(Q238+W238-2)-1)))</f>
        <v>-4.9853943524829601E-2</v>
      </c>
      <c r="AC238" s="61"/>
      <c r="AD238" s="44">
        <v>1</v>
      </c>
      <c r="AE238" s="44"/>
      <c r="AF238" s="11">
        <v>11.2</v>
      </c>
      <c r="AG238" s="11">
        <v>3.1</v>
      </c>
      <c r="AI238" s="87">
        <v>11.3</v>
      </c>
      <c r="AJ238" s="87">
        <v>3.4</v>
      </c>
      <c r="AO238" s="1"/>
    </row>
    <row r="239" spans="1:41" s="11" customFormat="1" ht="18" customHeight="1" x14ac:dyDescent="0.25">
      <c r="A239" s="1">
        <v>224</v>
      </c>
      <c r="B239" s="11" t="s">
        <v>43</v>
      </c>
      <c r="C239" s="14" t="s">
        <v>44</v>
      </c>
      <c r="D239" s="14" t="s">
        <v>44</v>
      </c>
      <c r="E239" s="36" t="s">
        <v>45</v>
      </c>
      <c r="F239" s="11" t="s">
        <v>260</v>
      </c>
      <c r="G239" s="11">
        <v>1996</v>
      </c>
      <c r="H239" s="11" t="s">
        <v>257</v>
      </c>
      <c r="I239" s="204" t="s">
        <v>39</v>
      </c>
      <c r="J239" s="204" t="s">
        <v>39</v>
      </c>
      <c r="K239" s="204" t="s">
        <v>261</v>
      </c>
      <c r="L239" s="204" t="s">
        <v>262</v>
      </c>
      <c r="M239" s="207"/>
      <c r="N239" s="204"/>
      <c r="O239" s="38">
        <v>15.4</v>
      </c>
      <c r="P239" s="39">
        <v>14.2</v>
      </c>
      <c r="Q239" s="137">
        <v>20</v>
      </c>
      <c r="R239" s="41">
        <v>583</v>
      </c>
      <c r="S239" s="39">
        <v>372</v>
      </c>
      <c r="T239" s="41"/>
      <c r="U239" s="38">
        <v>7.5</v>
      </c>
      <c r="V239" s="39">
        <v>9.1</v>
      </c>
      <c r="W239" s="40">
        <v>20</v>
      </c>
      <c r="AA239" s="11">
        <v>1</v>
      </c>
      <c r="AB239" s="43">
        <f>((U239-O239)/V239)*AA239 * (1-(3/(4*(Q239+W239-2)-1)))</f>
        <v>-0.8508842151226258</v>
      </c>
      <c r="AC239" s="61"/>
      <c r="AD239" s="44">
        <v>1</v>
      </c>
      <c r="AE239" s="44"/>
      <c r="AF239" s="87">
        <f>131/12</f>
        <v>10.916666666666666</v>
      </c>
      <c r="AG239" s="87">
        <v>1.3</v>
      </c>
      <c r="AH239" s="87"/>
      <c r="AI239" s="87">
        <v>11</v>
      </c>
      <c r="AJ239" s="87">
        <v>1.1000000000000001</v>
      </c>
      <c r="AO239" s="1"/>
    </row>
    <row r="240" spans="1:41" s="1" customFormat="1" ht="15.95" customHeight="1" x14ac:dyDescent="0.25">
      <c r="A240" s="1">
        <v>206</v>
      </c>
      <c r="B240" s="11" t="s">
        <v>43</v>
      </c>
      <c r="C240" s="14" t="s">
        <v>44</v>
      </c>
      <c r="D240" s="14" t="s">
        <v>44</v>
      </c>
      <c r="E240" s="36" t="s">
        <v>45</v>
      </c>
      <c r="F240" s="11" t="s">
        <v>260</v>
      </c>
      <c r="G240" s="11">
        <v>1996</v>
      </c>
      <c r="H240" s="11" t="s">
        <v>257</v>
      </c>
      <c r="I240" s="204" t="s">
        <v>41</v>
      </c>
      <c r="J240" s="204" t="s">
        <v>41</v>
      </c>
      <c r="K240" s="204" t="s">
        <v>261</v>
      </c>
      <c r="L240" s="204" t="s">
        <v>263</v>
      </c>
      <c r="M240" s="220"/>
      <c r="N240" s="220"/>
      <c r="O240" s="57">
        <v>153.69999999999999</v>
      </c>
      <c r="P240" s="58">
        <v>45.9</v>
      </c>
      <c r="Q240" s="40">
        <v>20</v>
      </c>
      <c r="R240" s="41">
        <v>583</v>
      </c>
      <c r="S240" s="39">
        <v>372</v>
      </c>
      <c r="T240" s="59"/>
      <c r="U240" s="57">
        <v>114.4</v>
      </c>
      <c r="V240" s="39">
        <v>41.6</v>
      </c>
      <c r="W240" s="40">
        <v>20</v>
      </c>
      <c r="Y240" s="55"/>
      <c r="Z240" s="55"/>
      <c r="AA240" s="14">
        <v>1</v>
      </c>
      <c r="AB240" s="43">
        <f>((U240-O240)/V240)*AA240 * (1-(3/(4*(Q240+W240-2)-1)))</f>
        <v>-0.92594243504839491</v>
      </c>
      <c r="AC240" s="61"/>
      <c r="AD240" s="44">
        <v>1</v>
      </c>
      <c r="AE240" s="44"/>
      <c r="AF240" s="11" t="s">
        <v>264</v>
      </c>
      <c r="AG240" s="11"/>
      <c r="AH240" s="11"/>
      <c r="AI240" s="87"/>
      <c r="AJ240" s="87"/>
      <c r="AK240" s="68"/>
      <c r="AL240" s="68"/>
      <c r="AN240" s="68"/>
    </row>
    <row r="241" spans="1:41" s="1" customFormat="1" ht="15.95" customHeight="1" x14ac:dyDescent="0.25">
      <c r="A241" s="1">
        <v>225</v>
      </c>
      <c r="B241" s="11" t="s">
        <v>43</v>
      </c>
      <c r="C241" s="14" t="s">
        <v>44</v>
      </c>
      <c r="D241" s="14" t="s">
        <v>44</v>
      </c>
      <c r="E241" s="36" t="s">
        <v>45</v>
      </c>
      <c r="F241" s="11" t="s">
        <v>260</v>
      </c>
      <c r="G241" s="11">
        <v>1999</v>
      </c>
      <c r="H241" s="11" t="s">
        <v>257</v>
      </c>
      <c r="I241" s="204" t="s">
        <v>39</v>
      </c>
      <c r="J241" s="204" t="s">
        <v>39</v>
      </c>
      <c r="K241" s="204" t="s">
        <v>265</v>
      </c>
      <c r="L241" s="204" t="s">
        <v>262</v>
      </c>
      <c r="M241" s="204"/>
      <c r="N241" s="204"/>
      <c r="O241" s="38">
        <v>11.6</v>
      </c>
      <c r="P241" s="39">
        <v>11.7</v>
      </c>
      <c r="Q241" s="40">
        <v>20</v>
      </c>
      <c r="R241" s="41">
        <v>744</v>
      </c>
      <c r="S241" s="39">
        <v>456</v>
      </c>
      <c r="T241" s="41"/>
      <c r="U241" s="38">
        <v>4.5</v>
      </c>
      <c r="V241" s="39">
        <v>3.4</v>
      </c>
      <c r="W241" s="40">
        <v>20</v>
      </c>
      <c r="X241" s="11"/>
      <c r="Y241" s="11"/>
      <c r="Z241" s="11"/>
      <c r="AA241" s="11">
        <v>1</v>
      </c>
      <c r="AB241" s="43">
        <f>((U241-O241)/V241)*AA241 * (1-(3/(4*(Q241+W241-2)-1)))</f>
        <v>-2.0467471756914688</v>
      </c>
      <c r="AC241" s="61"/>
      <c r="AD241" s="44">
        <v>1</v>
      </c>
      <c r="AE241" s="101">
        <f>AVERAGE(AB230:AB241)</f>
        <v>-0.62762806642623048</v>
      </c>
      <c r="AF241" s="11">
        <v>13.9</v>
      </c>
      <c r="AG241" s="11">
        <v>1.3</v>
      </c>
      <c r="AH241" s="11"/>
      <c r="AI241" s="87">
        <v>14</v>
      </c>
      <c r="AJ241" s="87">
        <v>1.1000000000000001</v>
      </c>
      <c r="AK241" s="11"/>
      <c r="AL241" s="11"/>
      <c r="AM241" s="11"/>
      <c r="AN241" s="11"/>
    </row>
    <row r="242" spans="1:41" s="13" customFormat="1" ht="15.95" customHeight="1" x14ac:dyDescent="0.25">
      <c r="A242" s="1">
        <v>226</v>
      </c>
      <c r="B242" s="11" t="s">
        <v>43</v>
      </c>
      <c r="C242" s="14" t="s">
        <v>44</v>
      </c>
      <c r="D242" s="14" t="s">
        <v>44</v>
      </c>
      <c r="E242" s="36" t="s">
        <v>45</v>
      </c>
      <c r="F242" s="11" t="s">
        <v>260</v>
      </c>
      <c r="G242" s="11">
        <v>1999</v>
      </c>
      <c r="H242" s="11" t="s">
        <v>257</v>
      </c>
      <c r="I242" s="204" t="s">
        <v>41</v>
      </c>
      <c r="J242" s="204" t="s">
        <v>41</v>
      </c>
      <c r="K242" s="204" t="s">
        <v>266</v>
      </c>
      <c r="L242" s="204" t="s">
        <v>263</v>
      </c>
      <c r="M242" s="207"/>
      <c r="N242" s="204"/>
      <c r="O242" s="38">
        <v>110.6</v>
      </c>
      <c r="P242" s="39">
        <v>24.2</v>
      </c>
      <c r="Q242" s="137">
        <v>20</v>
      </c>
      <c r="R242" s="41">
        <v>744</v>
      </c>
      <c r="S242" s="39">
        <v>456</v>
      </c>
      <c r="T242" s="41"/>
      <c r="U242" s="38">
        <v>103.5</v>
      </c>
      <c r="V242" s="39">
        <v>22.2</v>
      </c>
      <c r="W242" s="40">
        <v>20</v>
      </c>
      <c r="X242" s="11"/>
      <c r="Y242" s="11"/>
      <c r="Z242" s="11"/>
      <c r="AA242" s="11">
        <v>1</v>
      </c>
      <c r="AB242" s="43">
        <f>((U242-O242)/V242)*AA242 * (1-(3/(4*(Q242+W242-2)-1)))</f>
        <v>-0.31346578366445887</v>
      </c>
      <c r="AC242" s="61"/>
      <c r="AD242" s="44">
        <v>1</v>
      </c>
      <c r="AE242" s="101">
        <f>AVERAGE(AB231:AB242)</f>
        <v>-0.62677030369196052</v>
      </c>
      <c r="AF242" s="87"/>
      <c r="AG242" s="87"/>
      <c r="AH242" s="87"/>
      <c r="AI242" s="87"/>
      <c r="AJ242" s="87"/>
      <c r="AK242" s="11"/>
      <c r="AL242" s="11"/>
      <c r="AM242" s="11"/>
      <c r="AN242" s="11"/>
      <c r="AO242" s="1"/>
    </row>
    <row r="243" spans="1:41" s="1" customFormat="1" ht="15.95" customHeight="1" x14ac:dyDescent="0.25">
      <c r="A243" s="1">
        <v>210</v>
      </c>
      <c r="B243" s="11" t="s">
        <v>43</v>
      </c>
      <c r="C243" s="14" t="s">
        <v>44</v>
      </c>
      <c r="D243" s="14" t="s">
        <v>44</v>
      </c>
      <c r="E243" s="36" t="s">
        <v>45</v>
      </c>
      <c r="F243" s="11" t="s">
        <v>267</v>
      </c>
      <c r="G243" s="11">
        <v>2003</v>
      </c>
      <c r="H243" s="11" t="s">
        <v>257</v>
      </c>
      <c r="I243" s="204" t="s">
        <v>41</v>
      </c>
      <c r="J243" s="204"/>
      <c r="K243" s="204" t="s">
        <v>269</v>
      </c>
      <c r="L243" s="204"/>
      <c r="M243" s="207"/>
      <c r="N243" s="204"/>
      <c r="O243" s="38">
        <v>50.7</v>
      </c>
      <c r="P243" s="39">
        <v>8.3000000000000007</v>
      </c>
      <c r="Q243" s="40">
        <v>46</v>
      </c>
      <c r="R243" s="114">
        <f>8.1*60.5364</f>
        <v>490.34483999999998</v>
      </c>
      <c r="S243" s="117">
        <f>6.2*60.5364</f>
        <v>375.32568000000003</v>
      </c>
      <c r="T243" s="41"/>
      <c r="U243" s="38">
        <v>52</v>
      </c>
      <c r="V243" s="39">
        <v>9.1</v>
      </c>
      <c r="W243" s="40">
        <v>18</v>
      </c>
      <c r="Y243" s="11"/>
      <c r="Z243" s="11"/>
      <c r="AA243" s="11">
        <v>-1</v>
      </c>
      <c r="AB243" s="43">
        <f>((U243-O243)/V243)*AA243 * (1-(3/(4*(Q243+W243-2)-1)))</f>
        <v>-0.14112203585887764</v>
      </c>
      <c r="AC243" s="61"/>
      <c r="AD243" s="44">
        <v>1</v>
      </c>
      <c r="AE243" s="44"/>
      <c r="AF243" s="119">
        <f>129/12</f>
        <v>10.75</v>
      </c>
      <c r="AG243" s="118">
        <v>2.1</v>
      </c>
      <c r="AH243" s="119"/>
      <c r="AI243" s="120">
        <v>13.1</v>
      </c>
      <c r="AJ243" s="120">
        <v>3.2</v>
      </c>
      <c r="AK243" s="11"/>
      <c r="AL243" s="11"/>
      <c r="AM243" s="11"/>
      <c r="AN243" s="11"/>
    </row>
    <row r="244" spans="1:41" s="11" customFormat="1" ht="15.95" customHeight="1" x14ac:dyDescent="0.25">
      <c r="A244" s="1">
        <v>218</v>
      </c>
      <c r="B244" s="11" t="s">
        <v>43</v>
      </c>
      <c r="C244" s="14" t="s">
        <v>44</v>
      </c>
      <c r="D244" s="14" t="s">
        <v>44</v>
      </c>
      <c r="E244" s="36" t="s">
        <v>45</v>
      </c>
      <c r="F244" s="11" t="s">
        <v>95</v>
      </c>
      <c r="G244" s="11">
        <v>2006</v>
      </c>
      <c r="H244" s="11" t="s">
        <v>257</v>
      </c>
      <c r="I244" s="204" t="s">
        <v>41</v>
      </c>
      <c r="J244" s="204"/>
      <c r="K244" s="204" t="s">
        <v>41</v>
      </c>
      <c r="L244" s="207"/>
      <c r="M244" s="204"/>
      <c r="N244" s="204"/>
      <c r="O244" s="38">
        <v>875</v>
      </c>
      <c r="P244" s="39">
        <v>186</v>
      </c>
      <c r="Q244" s="40">
        <v>26</v>
      </c>
      <c r="R244" s="41">
        <v>423.8</v>
      </c>
      <c r="S244" s="39">
        <v>339</v>
      </c>
      <c r="T244" s="41"/>
      <c r="U244" s="38">
        <v>870</v>
      </c>
      <c r="V244" s="39">
        <v>252</v>
      </c>
      <c r="W244" s="40">
        <v>25</v>
      </c>
      <c r="AA244" s="11">
        <v>1</v>
      </c>
      <c r="AB244" s="43">
        <f>((U244-O244)/V244)*AA244 * (1-(3/(4*(Q244+W244-2)-1)))</f>
        <v>-1.9536019536019536E-2</v>
      </c>
      <c r="AC244" s="43">
        <f>((V244-P244)/W244)*AB244* (1-(3/(4*(R244+X244-2)-1)))</f>
        <v>-5.1483331834417119E-2</v>
      </c>
      <c r="AD244" s="44">
        <v>1</v>
      </c>
      <c r="AE244" s="44"/>
      <c r="AF244" s="11">
        <v>11.2</v>
      </c>
      <c r="AG244" s="11">
        <v>3.1</v>
      </c>
      <c r="AI244" s="87">
        <v>11.3</v>
      </c>
      <c r="AJ244" s="87">
        <v>3.4</v>
      </c>
      <c r="AO244" s="1"/>
    </row>
    <row r="245" spans="1:41" s="1" customFormat="1" ht="15.95" customHeight="1" x14ac:dyDescent="0.25">
      <c r="A245" s="1">
        <v>219</v>
      </c>
      <c r="B245" s="11" t="s">
        <v>43</v>
      </c>
      <c r="C245" s="14" t="s">
        <v>44</v>
      </c>
      <c r="D245" s="14" t="s">
        <v>44</v>
      </c>
      <c r="E245" s="36" t="s">
        <v>45</v>
      </c>
      <c r="F245" s="11" t="s">
        <v>287</v>
      </c>
      <c r="G245" s="11">
        <v>2005</v>
      </c>
      <c r="H245" s="11" t="s">
        <v>257</v>
      </c>
      <c r="I245" s="204" t="s">
        <v>41</v>
      </c>
      <c r="J245" s="204"/>
      <c r="K245" s="204" t="s">
        <v>288</v>
      </c>
      <c r="L245" s="207"/>
      <c r="M245" s="207"/>
      <c r="N245" s="204"/>
      <c r="O245" s="38">
        <v>42</v>
      </c>
      <c r="P245" s="39">
        <v>10</v>
      </c>
      <c r="Q245" s="40">
        <v>26</v>
      </c>
      <c r="R245" s="114">
        <f>(449+529)/2</f>
        <v>489</v>
      </c>
      <c r="S245" s="117">
        <f>(220+142)/2</f>
        <v>181</v>
      </c>
      <c r="T245" s="41"/>
      <c r="U245" s="38">
        <v>50</v>
      </c>
      <c r="V245" s="41">
        <v>7</v>
      </c>
      <c r="W245" s="40">
        <v>21</v>
      </c>
      <c r="Y245" s="11"/>
      <c r="Z245" s="11"/>
      <c r="AA245" s="11">
        <v>-1</v>
      </c>
      <c r="AB245" s="43">
        <f>((U245-O245)/V245)*AA245 * (1-(3/(4*(Q245+W245-2)-1)))</f>
        <v>-1.1237031125299282</v>
      </c>
      <c r="AC245" s="61"/>
      <c r="AD245" s="44">
        <v>1</v>
      </c>
      <c r="AE245" s="44"/>
      <c r="AF245" s="119"/>
      <c r="AG245" s="119"/>
      <c r="AH245" s="119"/>
      <c r="AI245" s="120"/>
      <c r="AJ245" s="120"/>
      <c r="AK245" s="11"/>
      <c r="AL245" s="11"/>
      <c r="AM245" s="11"/>
      <c r="AN245" s="11"/>
    </row>
    <row r="246" spans="1:41" s="1" customFormat="1" ht="15.95" customHeight="1" x14ac:dyDescent="0.25">
      <c r="A246" s="1">
        <v>208</v>
      </c>
      <c r="B246" s="11" t="s">
        <v>43</v>
      </c>
      <c r="C246" s="11" t="s">
        <v>44</v>
      </c>
      <c r="D246" s="11" t="s">
        <v>44</v>
      </c>
      <c r="E246" s="36" t="s">
        <v>45</v>
      </c>
      <c r="F246" s="11" t="s">
        <v>46</v>
      </c>
      <c r="G246" s="11">
        <v>2002</v>
      </c>
      <c r="H246" s="11" t="s">
        <v>47</v>
      </c>
      <c r="I246" s="204"/>
      <c r="J246" s="204"/>
      <c r="K246" s="204" t="s">
        <v>347</v>
      </c>
      <c r="L246" s="207"/>
      <c r="M246" s="207"/>
      <c r="N246" s="204"/>
      <c r="O246" s="38">
        <v>3.84</v>
      </c>
      <c r="P246" s="39">
        <v>3</v>
      </c>
      <c r="Q246" s="40">
        <v>36</v>
      </c>
      <c r="R246" s="41"/>
      <c r="S246" s="39"/>
      <c r="T246" s="41"/>
      <c r="U246" s="115">
        <v>2.66</v>
      </c>
      <c r="V246" s="39">
        <v>2.0999999999999996</v>
      </c>
      <c r="W246" s="40">
        <v>69</v>
      </c>
      <c r="X246" s="11"/>
      <c r="Y246" s="11"/>
      <c r="Z246" s="11"/>
      <c r="AA246" s="11">
        <v>1</v>
      </c>
      <c r="AB246" s="43">
        <f>((U246-O246)/V246)*AA246 * (1-(3/(4*(Q246+W246-2)-1)))</f>
        <v>-0.55780326729231844</v>
      </c>
      <c r="AC246" s="43"/>
      <c r="AD246" s="44">
        <v>1</v>
      </c>
      <c r="AE246" s="44"/>
      <c r="AF246" s="118">
        <v>11.18</v>
      </c>
      <c r="AG246" s="118">
        <v>3.4</v>
      </c>
      <c r="AH246" s="87"/>
      <c r="AI246" s="103">
        <v>10.29</v>
      </c>
      <c r="AJ246" s="13">
        <v>3.1</v>
      </c>
      <c r="AK246" s="11"/>
      <c r="AL246" s="11"/>
      <c r="AM246" s="11"/>
      <c r="AN246" s="11"/>
      <c r="AO246" s="11"/>
    </row>
    <row r="247" spans="1:41" s="1" customFormat="1" ht="15.95" customHeight="1" x14ac:dyDescent="0.25">
      <c r="A247" s="1">
        <v>216</v>
      </c>
      <c r="B247" s="11" t="s">
        <v>43</v>
      </c>
      <c r="C247" s="14" t="s">
        <v>44</v>
      </c>
      <c r="D247" s="14" t="s">
        <v>44</v>
      </c>
      <c r="E247" s="36" t="s">
        <v>45</v>
      </c>
      <c r="F247" s="11" t="s">
        <v>95</v>
      </c>
      <c r="G247" s="11">
        <v>2006</v>
      </c>
      <c r="H247" s="1" t="s">
        <v>72</v>
      </c>
      <c r="I247" s="210"/>
      <c r="J247" s="210"/>
      <c r="K247" s="204" t="s">
        <v>48</v>
      </c>
      <c r="L247" s="207"/>
      <c r="M247" s="204" t="s">
        <v>435</v>
      </c>
      <c r="N247" s="204"/>
      <c r="O247" s="38">
        <v>2.2000000000000002</v>
      </c>
      <c r="P247" s="39">
        <v>3.2</v>
      </c>
      <c r="Q247" s="40">
        <v>26</v>
      </c>
      <c r="R247" s="41">
        <v>423.8</v>
      </c>
      <c r="S247" s="39">
        <v>339</v>
      </c>
      <c r="T247" s="41"/>
      <c r="U247" s="38">
        <v>1.6</v>
      </c>
      <c r="V247" s="39">
        <v>2.2999999999999998</v>
      </c>
      <c r="W247" s="40">
        <v>25</v>
      </c>
      <c r="Y247" s="11"/>
      <c r="Z247" s="11"/>
      <c r="AA247" s="11">
        <v>1</v>
      </c>
      <c r="AB247" s="43">
        <f>((U247-O247)/V247)*AA247 * (1-(3/(4*(Q247+W247-2)-1)))</f>
        <v>-0.25685618729096998</v>
      </c>
      <c r="AC247" s="61"/>
      <c r="AD247" s="44">
        <v>1</v>
      </c>
      <c r="AE247" s="44"/>
      <c r="AF247" s="11">
        <v>11.2</v>
      </c>
      <c r="AG247" s="11">
        <v>3.1</v>
      </c>
      <c r="AH247" s="11"/>
      <c r="AI247" s="87">
        <v>11.3</v>
      </c>
      <c r="AJ247" s="87">
        <v>3.4</v>
      </c>
      <c r="AK247" s="11"/>
      <c r="AL247" s="11"/>
      <c r="AM247" s="11"/>
      <c r="AN247" s="11"/>
    </row>
    <row r="248" spans="1:41" s="11" customFormat="1" ht="18" customHeight="1" x14ac:dyDescent="0.25">
      <c r="A248" s="1">
        <v>221</v>
      </c>
      <c r="B248" s="11" t="s">
        <v>43</v>
      </c>
      <c r="C248" s="14" t="s">
        <v>44</v>
      </c>
      <c r="D248" s="14" t="s">
        <v>44</v>
      </c>
      <c r="E248" s="36" t="s">
        <v>45</v>
      </c>
      <c r="F248" s="11" t="s">
        <v>481</v>
      </c>
      <c r="G248" s="11">
        <v>2014</v>
      </c>
      <c r="H248" s="1" t="s">
        <v>72</v>
      </c>
      <c r="I248" s="204"/>
      <c r="J248" s="204"/>
      <c r="K248" s="204" t="s">
        <v>484</v>
      </c>
      <c r="L248" s="207" t="s">
        <v>483</v>
      </c>
      <c r="M248" s="207"/>
      <c r="N248" s="204"/>
      <c r="O248" s="38">
        <v>7.1</v>
      </c>
      <c r="P248" s="39">
        <v>7.7</v>
      </c>
      <c r="Q248" s="40">
        <v>21</v>
      </c>
      <c r="R248" s="41">
        <v>590</v>
      </c>
      <c r="S248" s="39">
        <v>248</v>
      </c>
      <c r="T248" s="41"/>
      <c r="U248" s="38">
        <v>4.2</v>
      </c>
      <c r="V248" s="39">
        <v>3.7</v>
      </c>
      <c r="W248" s="40">
        <v>73</v>
      </c>
      <c r="AA248" s="11">
        <v>1</v>
      </c>
      <c r="AB248" s="43">
        <f>((U248-O248)/V248)*AA248 * (1-(3/(4*(Q248+W248-2)-1)))</f>
        <v>-0.77737683187274442</v>
      </c>
      <c r="AC248" s="61"/>
      <c r="AD248" s="44">
        <v>1</v>
      </c>
      <c r="AE248" s="44"/>
      <c r="AF248" s="11">
        <v>10.6</v>
      </c>
      <c r="AG248" s="11">
        <v>2.5</v>
      </c>
      <c r="AI248" s="87">
        <v>10.9</v>
      </c>
      <c r="AJ248" s="87">
        <v>2.2000000000000002</v>
      </c>
      <c r="AO248" s="1"/>
    </row>
    <row r="249" spans="1:41" s="11" customFormat="1" ht="18" customHeight="1" x14ac:dyDescent="0.25">
      <c r="A249" s="1">
        <v>220</v>
      </c>
      <c r="B249" s="11" t="s">
        <v>43</v>
      </c>
      <c r="C249" s="11" t="s">
        <v>44</v>
      </c>
      <c r="D249" s="11" t="s">
        <v>44</v>
      </c>
      <c r="E249" s="36" t="s">
        <v>45</v>
      </c>
      <c r="F249" s="11" t="s">
        <v>481</v>
      </c>
      <c r="G249" s="11">
        <v>2014</v>
      </c>
      <c r="H249" s="11" t="s">
        <v>491</v>
      </c>
      <c r="I249" s="204"/>
      <c r="J249" s="204"/>
      <c r="K249" s="204" t="s">
        <v>492</v>
      </c>
      <c r="L249" s="207" t="s">
        <v>483</v>
      </c>
      <c r="M249" s="207"/>
      <c r="N249" s="204"/>
      <c r="O249" s="38">
        <v>14.6</v>
      </c>
      <c r="P249" s="39">
        <v>11.4</v>
      </c>
      <c r="Q249" s="40">
        <v>21</v>
      </c>
      <c r="R249" s="41">
        <v>590</v>
      </c>
      <c r="S249" s="39">
        <v>248</v>
      </c>
      <c r="T249" s="41"/>
      <c r="U249" s="38">
        <v>7.2</v>
      </c>
      <c r="V249" s="41">
        <v>7.1</v>
      </c>
      <c r="W249" s="40">
        <v>73</v>
      </c>
      <c r="AA249" s="11">
        <v>1</v>
      </c>
      <c r="AB249" s="43">
        <f>((U249-O249)/V249)*AA249 * (1-(3/(4*(Q249+W249-2)-1)))</f>
        <v>-1.0337337375753155</v>
      </c>
      <c r="AC249" s="61"/>
      <c r="AD249" s="44">
        <v>1</v>
      </c>
      <c r="AE249" s="44"/>
      <c r="AF249" s="11">
        <v>10.6</v>
      </c>
      <c r="AG249" s="11">
        <v>2.5</v>
      </c>
      <c r="AI249" s="87">
        <v>10.9</v>
      </c>
      <c r="AJ249" s="87">
        <v>2.2000000000000002</v>
      </c>
      <c r="AO249" s="1"/>
    </row>
    <row r="250" spans="1:41" s="11" customFormat="1" ht="18" customHeight="1" x14ac:dyDescent="0.25">
      <c r="A250" s="1">
        <v>222</v>
      </c>
      <c r="B250" s="13" t="s">
        <v>43</v>
      </c>
      <c r="C250" s="11" t="s">
        <v>44</v>
      </c>
      <c r="D250" s="11" t="s">
        <v>44</v>
      </c>
      <c r="E250" s="36" t="s">
        <v>45</v>
      </c>
      <c r="F250" s="13" t="s">
        <v>519</v>
      </c>
      <c r="G250" s="13">
        <v>2008</v>
      </c>
      <c r="H250" s="13" t="s">
        <v>524</v>
      </c>
      <c r="I250" s="204"/>
      <c r="J250" s="204"/>
      <c r="K250" s="204" t="s">
        <v>525</v>
      </c>
      <c r="L250" s="207"/>
      <c r="M250" s="207"/>
      <c r="N250" s="204"/>
      <c r="O250" s="124">
        <v>37.85</v>
      </c>
      <c r="P250" s="125">
        <v>1.95</v>
      </c>
      <c r="Q250" s="126">
        <v>14</v>
      </c>
      <c r="R250" s="86">
        <v>491</v>
      </c>
      <c r="S250" s="138">
        <v>149.19999999999999</v>
      </c>
      <c r="T250" s="97"/>
      <c r="U250" s="124">
        <v>37.46</v>
      </c>
      <c r="V250" s="125">
        <v>1.45</v>
      </c>
      <c r="W250" s="126">
        <v>14</v>
      </c>
      <c r="X250" s="1"/>
      <c r="Y250" s="13"/>
      <c r="Z250" s="13"/>
      <c r="AA250" s="13">
        <v>-1</v>
      </c>
      <c r="AB250" s="43">
        <f>((U250-O250)/V250)*AA250 * (1-(3/(4*(Q250+W250-2)-1)))</f>
        <v>0.2611315701372619</v>
      </c>
      <c r="AC250" s="128"/>
      <c r="AD250" s="44">
        <v>1</v>
      </c>
      <c r="AE250" s="44"/>
      <c r="AF250" s="118">
        <v>10.8</v>
      </c>
      <c r="AG250" s="118">
        <f>(13-8)/4</f>
        <v>1.25</v>
      </c>
      <c r="AH250" s="118"/>
      <c r="AI250" s="139">
        <v>10.9</v>
      </c>
      <c r="AJ250" s="140">
        <f>(13-8)/4</f>
        <v>1.25</v>
      </c>
      <c r="AK250" s="13"/>
      <c r="AL250" s="13"/>
      <c r="AM250" s="13"/>
      <c r="AN250" s="13"/>
    </row>
    <row r="251" spans="1:41" s="11" customFormat="1" ht="18" customHeight="1" x14ac:dyDescent="0.25">
      <c r="A251" s="1">
        <v>223</v>
      </c>
      <c r="B251" s="13" t="s">
        <v>43</v>
      </c>
      <c r="C251" s="11" t="s">
        <v>44</v>
      </c>
      <c r="D251" s="11" t="s">
        <v>44</v>
      </c>
      <c r="E251" s="36" t="s">
        <v>45</v>
      </c>
      <c r="F251" s="13" t="s">
        <v>720</v>
      </c>
      <c r="G251" s="13">
        <v>2020</v>
      </c>
      <c r="H251" s="13" t="s">
        <v>728</v>
      </c>
      <c r="I251" s="204"/>
      <c r="J251" s="204"/>
      <c r="K251" s="204" t="s">
        <v>729</v>
      </c>
      <c r="L251" s="207" t="s">
        <v>730</v>
      </c>
      <c r="M251" s="204"/>
      <c r="N251" s="204" t="s">
        <v>723</v>
      </c>
      <c r="O251" s="124">
        <v>7</v>
      </c>
      <c r="P251" s="125">
        <f>(11-3)/4</f>
        <v>2</v>
      </c>
      <c r="Q251" s="126">
        <v>15</v>
      </c>
      <c r="R251" s="41">
        <v>289</v>
      </c>
      <c r="S251" s="39">
        <v>82.8</v>
      </c>
      <c r="T251" s="97"/>
      <c r="U251" s="124">
        <v>10</v>
      </c>
      <c r="V251" s="97">
        <f>(14-6)/4</f>
        <v>2</v>
      </c>
      <c r="W251" s="126">
        <v>14</v>
      </c>
      <c r="X251" s="127"/>
      <c r="Y251" s="13"/>
      <c r="Z251" s="13"/>
      <c r="AA251" s="13">
        <v>-1</v>
      </c>
      <c r="AB251" s="43">
        <f>((U251-O251)/V251)*AA251 * (1-(3/(4*(Q251+W251-2)-1)))</f>
        <v>-1.4579439252336448</v>
      </c>
      <c r="AC251" s="128"/>
      <c r="AD251" s="44">
        <v>1</v>
      </c>
      <c r="AE251" s="44"/>
      <c r="AF251" s="13"/>
      <c r="AG251" s="13"/>
      <c r="AH251" s="13"/>
      <c r="AI251" s="129"/>
      <c r="AJ251" s="129"/>
      <c r="AK251" s="13"/>
      <c r="AL251" s="13"/>
      <c r="AM251" s="13"/>
      <c r="AN251" s="13"/>
      <c r="AO251" s="1"/>
    </row>
    <row r="252" spans="1:41" s="1" customFormat="1" ht="15.95" customHeight="1" x14ac:dyDescent="0.25">
      <c r="A252" s="1">
        <v>227</v>
      </c>
      <c r="B252" s="11" t="s">
        <v>43</v>
      </c>
      <c r="C252" s="14" t="s">
        <v>44</v>
      </c>
      <c r="D252" s="14" t="s">
        <v>44</v>
      </c>
      <c r="E252" s="36" t="s">
        <v>45</v>
      </c>
      <c r="F252" s="11" t="s">
        <v>322</v>
      </c>
      <c r="G252" s="11">
        <v>2001</v>
      </c>
      <c r="H252" s="11" t="s">
        <v>257</v>
      </c>
      <c r="I252" s="204"/>
      <c r="J252" s="204"/>
      <c r="K252" s="204" t="s">
        <v>766</v>
      </c>
      <c r="L252" s="210"/>
      <c r="M252" s="204" t="s">
        <v>317</v>
      </c>
      <c r="N252" s="204"/>
      <c r="O252" s="38">
        <v>37.69</v>
      </c>
      <c r="P252" s="39">
        <v>16.329999999999998</v>
      </c>
      <c r="Q252" s="40">
        <v>23</v>
      </c>
      <c r="R252" s="41">
        <v>496.4</v>
      </c>
      <c r="S252" s="39">
        <v>230</v>
      </c>
      <c r="T252" s="41"/>
      <c r="U252" s="38">
        <v>48.72</v>
      </c>
      <c r="V252" s="39">
        <v>15.62</v>
      </c>
      <c r="W252" s="40">
        <v>23</v>
      </c>
      <c r="X252" s="11"/>
      <c r="Y252" s="11"/>
      <c r="Z252" s="11"/>
      <c r="AA252" s="11">
        <v>-1</v>
      </c>
      <c r="AB252" s="43">
        <f>((U252-O252)/V252)*AA252 * (1-(3/(4*(Q252+W252-2)-1)))</f>
        <v>-0.69404060728004402</v>
      </c>
      <c r="AC252" s="85"/>
      <c r="AD252" s="44">
        <v>1</v>
      </c>
      <c r="AE252" s="44"/>
      <c r="AF252" s="11">
        <v>10.7</v>
      </c>
      <c r="AG252" s="11">
        <v>3.4</v>
      </c>
      <c r="AH252" s="11"/>
      <c r="AI252" s="87">
        <v>11.1</v>
      </c>
      <c r="AJ252" s="87">
        <v>3.7</v>
      </c>
      <c r="AK252" s="11"/>
      <c r="AL252" s="11"/>
      <c r="AM252" s="11"/>
      <c r="AN252" s="11"/>
    </row>
    <row r="253" spans="1:41" s="1" customFormat="1" ht="15.95" customHeight="1" x14ac:dyDescent="0.25">
      <c r="A253" s="1">
        <v>154</v>
      </c>
      <c r="B253" s="11" t="s">
        <v>54</v>
      </c>
      <c r="C253" s="11" t="s">
        <v>44</v>
      </c>
      <c r="D253" s="11" t="s">
        <v>44</v>
      </c>
      <c r="E253" s="36"/>
      <c r="F253" s="11" t="s">
        <v>55</v>
      </c>
      <c r="G253" s="11">
        <v>1987</v>
      </c>
      <c r="H253" s="11" t="s">
        <v>56</v>
      </c>
      <c r="I253" s="204" t="s">
        <v>39</v>
      </c>
      <c r="J253" s="204" t="s">
        <v>39</v>
      </c>
      <c r="K253" s="207" t="s">
        <v>57</v>
      </c>
      <c r="L253" s="210"/>
      <c r="M253" s="204"/>
      <c r="N253" s="204"/>
      <c r="O253" s="38">
        <v>9.1</v>
      </c>
      <c r="P253" s="39">
        <v>11.08</v>
      </c>
      <c r="Q253" s="40">
        <v>22</v>
      </c>
      <c r="R253" s="41">
        <v>1529.32</v>
      </c>
      <c r="S253" s="39"/>
      <c r="T253" s="41"/>
      <c r="U253" s="38">
        <v>7.67</v>
      </c>
      <c r="V253" s="41">
        <v>7.11</v>
      </c>
      <c r="W253" s="40">
        <v>12</v>
      </c>
      <c r="X253" s="11" t="s">
        <v>58</v>
      </c>
      <c r="Y253" s="11"/>
      <c r="Z253" s="11"/>
      <c r="AA253" s="11">
        <v>1</v>
      </c>
      <c r="AB253" s="43">
        <f>((U253-O253)/V253)*AA253 * (1-(3/(4*(Q253+W253-2)-1)))</f>
        <v>-0.19637418740378967</v>
      </c>
      <c r="AC253" s="11"/>
      <c r="AD253" s="44">
        <v>1</v>
      </c>
      <c r="AE253" s="44"/>
      <c r="AF253" s="11">
        <v>16.399999999999999</v>
      </c>
      <c r="AG253" s="11">
        <v>5.6</v>
      </c>
      <c r="AH253" s="11"/>
      <c r="AI253" s="11">
        <v>13.4</v>
      </c>
      <c r="AJ253" s="11">
        <v>3.9</v>
      </c>
      <c r="AK253" s="11" t="s">
        <v>59</v>
      </c>
      <c r="AL253" s="11"/>
      <c r="AM253" s="11" t="s">
        <v>60</v>
      </c>
      <c r="AN253" s="11"/>
      <c r="AO253" s="11"/>
    </row>
    <row r="254" spans="1:41" s="1" customFormat="1" ht="15.95" customHeight="1" x14ac:dyDescent="0.25">
      <c r="A254" s="1">
        <v>228</v>
      </c>
      <c r="B254" s="11" t="s">
        <v>54</v>
      </c>
      <c r="C254" s="14" t="s">
        <v>44</v>
      </c>
      <c r="D254" s="14" t="s">
        <v>44</v>
      </c>
      <c r="E254" s="36"/>
      <c r="F254" s="11" t="s">
        <v>251</v>
      </c>
      <c r="G254" s="11">
        <v>2007</v>
      </c>
      <c r="H254" s="1" t="s">
        <v>72</v>
      </c>
      <c r="I254" s="204" t="s">
        <v>39</v>
      </c>
      <c r="J254" s="204" t="s">
        <v>39</v>
      </c>
      <c r="K254" s="204" t="s">
        <v>252</v>
      </c>
      <c r="L254" s="207" t="s">
        <v>253</v>
      </c>
      <c r="M254" s="207" t="s">
        <v>254</v>
      </c>
      <c r="N254" s="204"/>
      <c r="O254" s="38">
        <v>8.73</v>
      </c>
      <c r="P254" s="39">
        <v>3.35</v>
      </c>
      <c r="Q254" s="40">
        <v>15</v>
      </c>
      <c r="R254" s="114">
        <v>660</v>
      </c>
      <c r="S254" s="39">
        <v>337</v>
      </c>
      <c r="T254" s="41"/>
      <c r="U254" s="38">
        <v>10</v>
      </c>
      <c r="V254" s="39">
        <v>3</v>
      </c>
      <c r="W254" s="40">
        <v>20</v>
      </c>
      <c r="X254" s="11"/>
      <c r="Y254" s="11"/>
      <c r="Z254" s="11"/>
      <c r="AA254" s="11">
        <v>-1</v>
      </c>
      <c r="AB254" s="43">
        <f>((U254-O254)/V254)*AA254 * (1-(3/(4*(Q254+W254-2)-1)))</f>
        <v>-0.41363867684478356</v>
      </c>
      <c r="AC254" s="61"/>
      <c r="AD254" s="44">
        <v>1</v>
      </c>
      <c r="AE254" s="44"/>
      <c r="AF254" s="119">
        <v>14.8</v>
      </c>
      <c r="AG254" s="11">
        <f>(20-8)/4</f>
        <v>3</v>
      </c>
      <c r="AH254" s="11"/>
      <c r="AI254" s="87"/>
      <c r="AJ254" s="87"/>
      <c r="AK254" s="11"/>
      <c r="AL254" s="11"/>
      <c r="AM254" s="11"/>
      <c r="AN254" s="11"/>
    </row>
    <row r="255" spans="1:41" s="11" customFormat="1" ht="15.95" customHeight="1" x14ac:dyDescent="0.25">
      <c r="A255" s="1">
        <v>229</v>
      </c>
      <c r="B255" s="11" t="s">
        <v>54</v>
      </c>
      <c r="C255" s="14" t="s">
        <v>44</v>
      </c>
      <c r="D255" s="14" t="s">
        <v>44</v>
      </c>
      <c r="E255" s="36"/>
      <c r="F255" s="11" t="s">
        <v>251</v>
      </c>
      <c r="G255" s="11">
        <v>2007</v>
      </c>
      <c r="H255" s="1" t="s">
        <v>72</v>
      </c>
      <c r="I255" s="204" t="s">
        <v>39</v>
      </c>
      <c r="J255" s="204" t="s">
        <v>39</v>
      </c>
      <c r="K255" s="204" t="s">
        <v>255</v>
      </c>
      <c r="L255" s="207" t="s">
        <v>256</v>
      </c>
      <c r="M255" s="207" t="s">
        <v>254</v>
      </c>
      <c r="N255" s="204"/>
      <c r="O255" s="38">
        <v>9.5399999999999991</v>
      </c>
      <c r="P255" s="39">
        <v>2.0699999999999998</v>
      </c>
      <c r="Q255" s="40">
        <v>15</v>
      </c>
      <c r="R255" s="114">
        <v>660</v>
      </c>
      <c r="S255" s="39">
        <v>337</v>
      </c>
      <c r="T255" s="41"/>
      <c r="U255" s="38">
        <v>10</v>
      </c>
      <c r="V255" s="39">
        <v>3</v>
      </c>
      <c r="W255" s="40">
        <v>20</v>
      </c>
      <c r="AA255" s="11">
        <v>-1</v>
      </c>
      <c r="AB255" s="43">
        <f>((U255-O255)/V255)*AA255 * (1-(3/(4*(Q255+W255-2)-1)))</f>
        <v>-0.14982188295165422</v>
      </c>
      <c r="AC255" s="61"/>
      <c r="AD255" s="44">
        <v>1</v>
      </c>
      <c r="AE255" s="44"/>
      <c r="AF255" s="119">
        <v>14.8</v>
      </c>
      <c r="AG255" s="11">
        <f>(20-8)/4</f>
        <v>3</v>
      </c>
      <c r="AI255" s="87"/>
      <c r="AJ255" s="87"/>
      <c r="AO255" s="1"/>
    </row>
    <row r="256" spans="1:41" s="1" customFormat="1" ht="15.95" customHeight="1" x14ac:dyDescent="0.25">
      <c r="A256" s="1">
        <v>230</v>
      </c>
      <c r="B256" s="11" t="s">
        <v>54</v>
      </c>
      <c r="C256" s="14" t="s">
        <v>44</v>
      </c>
      <c r="D256" s="14" t="s">
        <v>44</v>
      </c>
      <c r="E256" s="36"/>
      <c r="F256" s="11" t="s">
        <v>251</v>
      </c>
      <c r="G256" s="11">
        <v>2007</v>
      </c>
      <c r="H256" s="11" t="s">
        <v>257</v>
      </c>
      <c r="I256" s="204" t="s">
        <v>41</v>
      </c>
      <c r="J256" s="204" t="s">
        <v>41</v>
      </c>
      <c r="K256" s="204" t="s">
        <v>258</v>
      </c>
      <c r="L256" s="207" t="s">
        <v>253</v>
      </c>
      <c r="M256" s="207" t="s">
        <v>254</v>
      </c>
      <c r="N256" s="204"/>
      <c r="O256" s="38">
        <v>9.4</v>
      </c>
      <c r="P256" s="39">
        <v>4.3</v>
      </c>
      <c r="Q256" s="40">
        <v>15</v>
      </c>
      <c r="R256" s="114">
        <v>660</v>
      </c>
      <c r="S256" s="39">
        <v>337</v>
      </c>
      <c r="T256" s="41"/>
      <c r="U256" s="38">
        <v>10</v>
      </c>
      <c r="V256" s="39">
        <v>3</v>
      </c>
      <c r="W256" s="40">
        <v>20</v>
      </c>
      <c r="X256" s="11"/>
      <c r="Y256" s="11"/>
      <c r="Z256" s="11"/>
      <c r="AA256" s="11">
        <v>-1</v>
      </c>
      <c r="AB256" s="43">
        <f>((U256-O256)/V256)*AA256 * (1-(3/(4*(Q256+W256-2)-1)))</f>
        <v>-0.19541984732824413</v>
      </c>
      <c r="AC256" s="61"/>
      <c r="AD256" s="44">
        <v>1</v>
      </c>
      <c r="AE256" s="44"/>
      <c r="AF256" s="119">
        <v>14.8</v>
      </c>
      <c r="AG256" s="11">
        <f>(20-8)/4</f>
        <v>3</v>
      </c>
      <c r="AH256" s="11"/>
      <c r="AI256" s="87"/>
      <c r="AJ256" s="87"/>
      <c r="AK256" s="11"/>
      <c r="AL256" s="11"/>
      <c r="AM256" s="11"/>
      <c r="AN256" s="11"/>
      <c r="AO256" s="11"/>
    </row>
    <row r="257" spans="1:41" s="1" customFormat="1" ht="15.95" customHeight="1" x14ac:dyDescent="0.25">
      <c r="A257" s="1">
        <v>231</v>
      </c>
      <c r="B257" s="11" t="s">
        <v>54</v>
      </c>
      <c r="C257" s="14" t="s">
        <v>44</v>
      </c>
      <c r="D257" s="14" t="s">
        <v>44</v>
      </c>
      <c r="E257" s="36"/>
      <c r="F257" s="11" t="s">
        <v>251</v>
      </c>
      <c r="G257" s="11">
        <v>2007</v>
      </c>
      <c r="H257" s="11" t="s">
        <v>257</v>
      </c>
      <c r="I257" s="204" t="s">
        <v>41</v>
      </c>
      <c r="J257" s="204" t="s">
        <v>41</v>
      </c>
      <c r="K257" s="204" t="s">
        <v>259</v>
      </c>
      <c r="L257" s="207" t="s">
        <v>256</v>
      </c>
      <c r="M257" s="207" t="s">
        <v>254</v>
      </c>
      <c r="N257" s="204"/>
      <c r="O257" s="38">
        <v>8.26</v>
      </c>
      <c r="P257" s="39">
        <v>4.2</v>
      </c>
      <c r="Q257" s="40">
        <v>15</v>
      </c>
      <c r="R257" s="114">
        <v>660</v>
      </c>
      <c r="S257" s="39">
        <v>337</v>
      </c>
      <c r="T257" s="41"/>
      <c r="U257" s="38">
        <v>10</v>
      </c>
      <c r="V257" s="39">
        <v>3</v>
      </c>
      <c r="W257" s="40">
        <v>20</v>
      </c>
      <c r="X257" s="11"/>
      <c r="Y257" s="11"/>
      <c r="Z257" s="11"/>
      <c r="AA257" s="11">
        <v>-1</v>
      </c>
      <c r="AB257" s="43">
        <f>((U257-O257)/V257)*AA257 * (1-(3/(4*(Q257+W257-2)-1)))</f>
        <v>-0.56671755725190842</v>
      </c>
      <c r="AC257" s="61"/>
      <c r="AD257" s="44">
        <v>1</v>
      </c>
      <c r="AE257" s="44"/>
      <c r="AF257" s="119">
        <v>14.8</v>
      </c>
      <c r="AG257" s="11">
        <f>(20-8)/4</f>
        <v>3</v>
      </c>
      <c r="AH257" s="11"/>
      <c r="AI257" s="87"/>
      <c r="AJ257" s="87"/>
      <c r="AK257" s="11"/>
      <c r="AL257" s="11"/>
      <c r="AM257" s="11"/>
      <c r="AN257" s="11"/>
    </row>
    <row r="258" spans="1:41" s="1" customFormat="1" ht="15.95" customHeight="1" x14ac:dyDescent="0.25">
      <c r="A258" s="11">
        <v>240</v>
      </c>
      <c r="B258" s="1" t="s">
        <v>34</v>
      </c>
      <c r="C258" s="14" t="s">
        <v>64</v>
      </c>
      <c r="D258" s="14" t="s">
        <v>64</v>
      </c>
      <c r="E258" s="36" t="s">
        <v>36</v>
      </c>
      <c r="F258" s="14" t="s">
        <v>65</v>
      </c>
      <c r="G258" s="1">
        <v>2005</v>
      </c>
      <c r="H258" s="1" t="s">
        <v>66</v>
      </c>
      <c r="I258" s="204" t="s">
        <v>39</v>
      </c>
      <c r="J258" s="204" t="s">
        <v>39</v>
      </c>
      <c r="K258" s="204" t="s">
        <v>67</v>
      </c>
      <c r="L258" s="220"/>
      <c r="M258" s="220"/>
      <c r="N258" s="220"/>
      <c r="O258" s="57">
        <v>99.35</v>
      </c>
      <c r="P258" s="58">
        <v>1.03</v>
      </c>
      <c r="Q258" s="40">
        <v>25</v>
      </c>
      <c r="R258" s="59">
        <v>758.79</v>
      </c>
      <c r="S258" s="60"/>
      <c r="T258" s="59"/>
      <c r="U258" s="57">
        <v>99</v>
      </c>
      <c r="V258" s="39">
        <v>1.91</v>
      </c>
      <c r="W258" s="40">
        <v>25</v>
      </c>
      <c r="Y258" s="55">
        <f>(U258-O258)/SQRT((V258^2+P258^2)/2)</f>
        <v>-0.22809653971329003</v>
      </c>
      <c r="Z258" s="55"/>
      <c r="AA258" s="14">
        <v>1</v>
      </c>
      <c r="AB258" s="43">
        <f>((U258-O258)/V258)*AA258 * (1-(3/(4*(Q258+W258-2)-1)))</f>
        <v>-0.18036786272305841</v>
      </c>
      <c r="AC258" s="61"/>
      <c r="AD258" s="44">
        <v>1</v>
      </c>
      <c r="AE258" s="44"/>
      <c r="AF258" s="14"/>
      <c r="AG258" s="14"/>
      <c r="AI258" s="62"/>
      <c r="AJ258" s="62"/>
      <c r="AK258" s="14">
        <v>2</v>
      </c>
      <c r="AL258" s="14" t="s">
        <v>68</v>
      </c>
      <c r="AM258" s="1" t="s">
        <v>69</v>
      </c>
      <c r="AN258" s="14" t="s">
        <v>68</v>
      </c>
    </row>
    <row r="259" spans="1:41" s="1" customFormat="1" ht="15.95" customHeight="1" x14ac:dyDescent="0.25">
      <c r="A259" s="11">
        <v>237</v>
      </c>
      <c r="B259" s="1" t="s">
        <v>34</v>
      </c>
      <c r="C259" s="14" t="s">
        <v>64</v>
      </c>
      <c r="D259" s="14" t="s">
        <v>64</v>
      </c>
      <c r="E259" s="36" t="s">
        <v>36</v>
      </c>
      <c r="F259" s="14" t="s">
        <v>65</v>
      </c>
      <c r="G259" s="1">
        <v>2005</v>
      </c>
      <c r="H259" s="237" t="s">
        <v>70</v>
      </c>
      <c r="I259" s="204" t="s">
        <v>41</v>
      </c>
      <c r="J259" s="204" t="s">
        <v>41</v>
      </c>
      <c r="K259" s="210" t="s">
        <v>71</v>
      </c>
      <c r="L259" s="220"/>
      <c r="M259" s="220"/>
      <c r="N259" s="220"/>
      <c r="O259" s="57">
        <v>0.45</v>
      </c>
      <c r="P259" s="58">
        <v>0.06</v>
      </c>
      <c r="Q259" s="40">
        <v>25</v>
      </c>
      <c r="R259" s="59">
        <v>758.79</v>
      </c>
      <c r="S259" s="60"/>
      <c r="T259" s="59"/>
      <c r="U259" s="57">
        <v>0.41</v>
      </c>
      <c r="V259" s="39">
        <v>0.04</v>
      </c>
      <c r="W259" s="40">
        <v>25</v>
      </c>
      <c r="Y259" s="55">
        <f>(U259-O259)/SQRT((V259^2+P259^2)/2)</f>
        <v>-0.78446454055273684</v>
      </c>
      <c r="Z259" s="55"/>
      <c r="AA259" s="14">
        <v>1</v>
      </c>
      <c r="AB259" s="43">
        <f>((U259-O259)/V259)*AA259 * (1-(3/(4*(Q259+W259-2)-1)))</f>
        <v>-0.98429319371727841</v>
      </c>
      <c r="AC259" s="11"/>
      <c r="AD259" s="44">
        <v>1</v>
      </c>
      <c r="AE259" s="44"/>
      <c r="AF259" s="14"/>
      <c r="AG259" s="14"/>
      <c r="AI259" s="62"/>
      <c r="AJ259" s="62"/>
      <c r="AK259" s="14">
        <v>2</v>
      </c>
      <c r="AL259" s="14" t="s">
        <v>68</v>
      </c>
      <c r="AM259" s="1" t="s">
        <v>69</v>
      </c>
      <c r="AN259" s="14" t="s">
        <v>68</v>
      </c>
    </row>
    <row r="260" spans="1:41" s="1" customFormat="1" ht="15.95" customHeight="1" x14ac:dyDescent="0.25">
      <c r="A260" s="11">
        <v>241</v>
      </c>
      <c r="B260" s="1" t="s">
        <v>34</v>
      </c>
      <c r="C260" s="14" t="s">
        <v>64</v>
      </c>
      <c r="D260" s="14" t="s">
        <v>64</v>
      </c>
      <c r="E260" s="36" t="s">
        <v>36</v>
      </c>
      <c r="F260" s="14" t="s">
        <v>87</v>
      </c>
      <c r="G260" s="1">
        <v>2007</v>
      </c>
      <c r="H260" s="1" t="s">
        <v>66</v>
      </c>
      <c r="I260" s="204" t="s">
        <v>39</v>
      </c>
      <c r="J260" s="204" t="s">
        <v>39</v>
      </c>
      <c r="K260" s="210" t="s">
        <v>88</v>
      </c>
      <c r="L260" s="220"/>
      <c r="M260" s="220"/>
      <c r="N260" s="220"/>
      <c r="O260" s="57">
        <v>98</v>
      </c>
      <c r="P260" s="58">
        <v>1.57</v>
      </c>
      <c r="Q260" s="40">
        <v>25</v>
      </c>
      <c r="R260" s="59">
        <v>1285.68</v>
      </c>
      <c r="S260" s="58"/>
      <c r="T260" s="59"/>
      <c r="U260" s="57">
        <v>99.28</v>
      </c>
      <c r="V260" s="39">
        <v>1.59</v>
      </c>
      <c r="W260" s="40">
        <v>45</v>
      </c>
      <c r="Y260" s="55">
        <f>(U260-O260)/SQRT((V260^2+P260^2)/2)</f>
        <v>0.81011035686900723</v>
      </c>
      <c r="Z260" s="55"/>
      <c r="AA260" s="14">
        <v>-1</v>
      </c>
      <c r="AB260" s="43">
        <f>((U260-O260)/V260)*AA260 * (1-(3/(4*(Q260+W260-2)-1)))</f>
        <v>-0.79611965930980133</v>
      </c>
      <c r="AC260" s="61"/>
      <c r="AD260" s="44">
        <v>1</v>
      </c>
      <c r="AE260" s="44"/>
      <c r="AF260" s="14"/>
      <c r="AG260" s="14"/>
      <c r="AI260" s="62"/>
      <c r="AJ260" s="62"/>
      <c r="AK260" s="14">
        <v>2</v>
      </c>
      <c r="AL260" s="14" t="s">
        <v>68</v>
      </c>
      <c r="AM260" s="1" t="s">
        <v>69</v>
      </c>
      <c r="AN260" s="14" t="s">
        <v>68</v>
      </c>
    </row>
    <row r="261" spans="1:41" s="1" customFormat="1" ht="15.95" customHeight="1" x14ac:dyDescent="0.25">
      <c r="A261" s="11">
        <v>238</v>
      </c>
      <c r="B261" s="1" t="s">
        <v>34</v>
      </c>
      <c r="C261" s="14" t="s">
        <v>64</v>
      </c>
      <c r="D261" s="14" t="s">
        <v>64</v>
      </c>
      <c r="E261" s="36" t="s">
        <v>36</v>
      </c>
      <c r="F261" s="14" t="s">
        <v>87</v>
      </c>
      <c r="G261" s="1">
        <v>2007</v>
      </c>
      <c r="H261" s="11" t="s">
        <v>70</v>
      </c>
      <c r="I261" s="204" t="s">
        <v>41</v>
      </c>
      <c r="J261" s="204" t="s">
        <v>41</v>
      </c>
      <c r="K261" s="210" t="s">
        <v>71</v>
      </c>
      <c r="L261" s="220"/>
      <c r="M261" s="220"/>
      <c r="N261" s="220"/>
      <c r="O261" s="57">
        <v>0.49</v>
      </c>
      <c r="P261" s="58">
        <v>7.0000000000000007E-2</v>
      </c>
      <c r="Q261" s="40">
        <v>25</v>
      </c>
      <c r="R261" s="59">
        <v>1286.68</v>
      </c>
      <c r="S261" s="60"/>
      <c r="T261" s="59"/>
      <c r="U261" s="57">
        <v>0.43</v>
      </c>
      <c r="V261" s="39">
        <v>0.06</v>
      </c>
      <c r="W261" s="40">
        <v>45</v>
      </c>
      <c r="Y261" s="55">
        <f>(U261-O261)/SQRT((V261^2+P261^2)/2)</f>
        <v>-0.92035798661684443</v>
      </c>
      <c r="Z261" s="55"/>
      <c r="AA261" s="14">
        <v>1</v>
      </c>
      <c r="AB261" s="43">
        <f>((U261-O261)/V261)*AA261 * (1-(3/(4*(Q261+W261-2)-1)))</f>
        <v>-0.98892988929889303</v>
      </c>
      <c r="AC261" s="61"/>
      <c r="AD261" s="44">
        <v>1</v>
      </c>
      <c r="AE261" s="44"/>
      <c r="AF261" s="14"/>
      <c r="AG261" s="14"/>
      <c r="AI261" s="62"/>
      <c r="AJ261" s="62"/>
      <c r="AK261" s="14">
        <v>2</v>
      </c>
      <c r="AL261" s="14" t="s">
        <v>68</v>
      </c>
      <c r="AM261" s="1" t="s">
        <v>69</v>
      </c>
      <c r="AN261" s="14" t="s">
        <v>68</v>
      </c>
    </row>
    <row r="262" spans="1:41" s="1" customFormat="1" ht="15.95" customHeight="1" x14ac:dyDescent="0.25">
      <c r="A262" s="11">
        <v>232</v>
      </c>
      <c r="B262" s="11" t="s">
        <v>34</v>
      </c>
      <c r="C262" s="11" t="s">
        <v>64</v>
      </c>
      <c r="D262" s="11" t="s">
        <v>64</v>
      </c>
      <c r="E262" s="36" t="s">
        <v>36</v>
      </c>
      <c r="F262" s="11" t="s">
        <v>235</v>
      </c>
      <c r="G262" s="11">
        <v>2011</v>
      </c>
      <c r="H262" s="11" t="s">
        <v>236</v>
      </c>
      <c r="I262" s="204" t="s">
        <v>39</v>
      </c>
      <c r="J262" s="212"/>
      <c r="K262" s="204" t="s">
        <v>237</v>
      </c>
      <c r="L262" s="207" t="s">
        <v>238</v>
      </c>
      <c r="M262" s="204"/>
      <c r="N262" s="204"/>
      <c r="O262" s="41">
        <v>0</v>
      </c>
      <c r="P262" s="41"/>
      <c r="Q262" s="41">
        <v>9</v>
      </c>
      <c r="R262" s="41">
        <v>1140</v>
      </c>
      <c r="S262" s="41">
        <v>310</v>
      </c>
      <c r="T262" s="41"/>
      <c r="U262" s="38">
        <v>0</v>
      </c>
      <c r="V262" s="41"/>
      <c r="W262" s="41">
        <v>15</v>
      </c>
      <c r="X262" s="11"/>
      <c r="Y262" s="11" t="e">
        <v>#DIV/0!</v>
      </c>
      <c r="Z262" s="11"/>
      <c r="AA262" s="11">
        <v>1</v>
      </c>
      <c r="AB262" s="43" t="e">
        <f>((U262-O262)/V262)*AA262 * (1-(3/(4*(Q262+W262-2)-1)))</f>
        <v>#DIV/0!</v>
      </c>
      <c r="AC262" s="11"/>
      <c r="AD262" s="11">
        <v>1</v>
      </c>
      <c r="AE262" s="11"/>
      <c r="AF262" s="11"/>
      <c r="AG262" s="11"/>
      <c r="AH262" s="11"/>
      <c r="AI262" s="11"/>
      <c r="AJ262" s="11"/>
      <c r="AK262" s="11">
        <v>1</v>
      </c>
      <c r="AL262" s="11" t="s">
        <v>116</v>
      </c>
      <c r="AM262" s="11" t="s">
        <v>239</v>
      </c>
      <c r="AN262" s="11" t="s">
        <v>118</v>
      </c>
      <c r="AO262" s="11"/>
    </row>
    <row r="263" spans="1:41" s="1" customFormat="1" ht="15.95" customHeight="1" x14ac:dyDescent="0.25">
      <c r="A263" s="1">
        <v>200</v>
      </c>
      <c r="B263" s="1" t="s">
        <v>34</v>
      </c>
      <c r="C263" s="14" t="s">
        <v>64</v>
      </c>
      <c r="D263" s="14" t="s">
        <v>64</v>
      </c>
      <c r="E263" s="36" t="s">
        <v>36</v>
      </c>
      <c r="F263" s="14" t="s">
        <v>235</v>
      </c>
      <c r="G263" s="1">
        <v>2011</v>
      </c>
      <c r="H263" s="11" t="s">
        <v>236</v>
      </c>
      <c r="I263" s="204" t="s">
        <v>41</v>
      </c>
      <c r="J263" s="212"/>
      <c r="K263" s="210" t="s">
        <v>240</v>
      </c>
      <c r="L263" s="220" t="s">
        <v>241</v>
      </c>
      <c r="M263" s="204"/>
      <c r="N263" s="220"/>
      <c r="O263" s="89">
        <v>890.8</v>
      </c>
      <c r="P263" s="58">
        <v>137</v>
      </c>
      <c r="Q263" s="40">
        <v>17</v>
      </c>
      <c r="R263" s="59">
        <v>1140</v>
      </c>
      <c r="S263" s="60">
        <v>310</v>
      </c>
      <c r="T263" s="59"/>
      <c r="U263" s="57">
        <v>889</v>
      </c>
      <c r="V263" s="39">
        <v>154.1</v>
      </c>
      <c r="W263" s="40">
        <v>15</v>
      </c>
      <c r="Y263" s="55">
        <f>(U263-O263)/SQRT((V263^2+P263^2)/2)</f>
        <v>-1.2345602061791344E-2</v>
      </c>
      <c r="Z263" s="55"/>
      <c r="AA263" s="14">
        <v>1</v>
      </c>
      <c r="AB263" s="43">
        <f>((U263-O263)/V263)*AA263 * (1-(3/(4*(Q263+W263-2)-1)))</f>
        <v>-1.1386254696557114E-2</v>
      </c>
      <c r="AC263" s="61"/>
      <c r="AD263" s="44">
        <v>1</v>
      </c>
      <c r="AE263" s="44"/>
      <c r="AF263" s="11"/>
      <c r="AG263" s="11"/>
      <c r="AH263" s="11"/>
      <c r="AI263" s="87"/>
      <c r="AJ263" s="87"/>
      <c r="AK263" s="14">
        <v>1</v>
      </c>
      <c r="AL263" s="14" t="s">
        <v>116</v>
      </c>
      <c r="AM263" s="14" t="s">
        <v>239</v>
      </c>
      <c r="AN263" s="14" t="s">
        <v>118</v>
      </c>
    </row>
    <row r="264" spans="1:41" s="1" customFormat="1" ht="15.95" customHeight="1" x14ac:dyDescent="0.25">
      <c r="A264" s="1">
        <v>201</v>
      </c>
      <c r="B264" s="1" t="s">
        <v>34</v>
      </c>
      <c r="C264" s="14" t="s">
        <v>64</v>
      </c>
      <c r="D264" s="14" t="s">
        <v>64</v>
      </c>
      <c r="E264" s="36" t="s">
        <v>36</v>
      </c>
      <c r="F264" s="14" t="s">
        <v>235</v>
      </c>
      <c r="G264" s="1">
        <v>2011</v>
      </c>
      <c r="H264" s="11" t="s">
        <v>236</v>
      </c>
      <c r="I264" s="204" t="s">
        <v>41</v>
      </c>
      <c r="J264" s="212"/>
      <c r="K264" s="210" t="s">
        <v>242</v>
      </c>
      <c r="L264" s="220" t="s">
        <v>238</v>
      </c>
      <c r="M264" s="204"/>
      <c r="N264" s="220"/>
      <c r="O264" s="89">
        <v>834.5</v>
      </c>
      <c r="P264" s="58">
        <v>147</v>
      </c>
      <c r="Q264" s="90">
        <v>17</v>
      </c>
      <c r="R264" s="59">
        <v>1210</v>
      </c>
      <c r="S264" s="60">
        <v>320</v>
      </c>
      <c r="T264" s="59"/>
      <c r="U264" s="57">
        <v>838.1</v>
      </c>
      <c r="V264" s="39">
        <v>131.5</v>
      </c>
      <c r="W264" s="40">
        <v>15</v>
      </c>
      <c r="Y264" s="55">
        <f>(U264-O264)/SQRT((V264^2+P264^2)/2)</f>
        <v>2.5812835890432734E-2</v>
      </c>
      <c r="Z264" s="55"/>
      <c r="AA264" s="14">
        <v>1</v>
      </c>
      <c r="AB264" s="43">
        <f>((U264-O264)/V264)*AA264 * (1-(3/(4*(Q264+W264-2)-1)))</f>
        <v>2.6686263859155998E-2</v>
      </c>
      <c r="AC264" s="61"/>
      <c r="AD264" s="44">
        <v>1</v>
      </c>
      <c r="AE264" s="44"/>
      <c r="AF264" s="14"/>
      <c r="AG264" s="14"/>
      <c r="AI264" s="62"/>
      <c r="AJ264" s="62"/>
      <c r="AK264" s="14">
        <v>1</v>
      </c>
      <c r="AL264" s="14" t="s">
        <v>116</v>
      </c>
      <c r="AM264" s="14" t="s">
        <v>239</v>
      </c>
      <c r="AN264" s="14" t="s">
        <v>118</v>
      </c>
    </row>
    <row r="265" spans="1:41" s="11" customFormat="1" ht="15.95" customHeight="1" x14ac:dyDescent="0.25">
      <c r="A265" s="11">
        <v>243</v>
      </c>
      <c r="B265" s="11" t="s">
        <v>43</v>
      </c>
      <c r="C265" s="11" t="s">
        <v>64</v>
      </c>
      <c r="D265" s="11" t="s">
        <v>64</v>
      </c>
      <c r="E265" s="36"/>
      <c r="F265" s="11" t="s">
        <v>95</v>
      </c>
      <c r="G265" s="11">
        <v>2006</v>
      </c>
      <c r="H265" s="1" t="s">
        <v>66</v>
      </c>
      <c r="I265" s="204" t="s">
        <v>39</v>
      </c>
      <c r="J265" s="204" t="s">
        <v>39</v>
      </c>
      <c r="K265" s="204" t="s">
        <v>99</v>
      </c>
      <c r="L265" s="207"/>
      <c r="M265" s="207"/>
      <c r="N265" s="204"/>
      <c r="O265" s="38">
        <v>5.8</v>
      </c>
      <c r="P265" s="39">
        <v>5.7</v>
      </c>
      <c r="Q265" s="40">
        <v>26</v>
      </c>
      <c r="R265" s="41">
        <v>423.8</v>
      </c>
      <c r="S265" s="39">
        <v>339</v>
      </c>
      <c r="T265" s="41"/>
      <c r="U265" s="38">
        <v>6.1</v>
      </c>
      <c r="V265" s="39">
        <v>6.5</v>
      </c>
      <c r="W265" s="40">
        <v>25</v>
      </c>
      <c r="AA265" s="11">
        <v>1</v>
      </c>
      <c r="AB265" s="43">
        <f>((U265-O265)/V265)*AA265 * (1-(3/(4*(Q265+W265-2)-1)))</f>
        <v>4.5443786982248498E-2</v>
      </c>
      <c r="AC265" s="61"/>
      <c r="AD265" s="44">
        <v>1</v>
      </c>
      <c r="AE265" s="44"/>
      <c r="AI265" s="87"/>
      <c r="AJ265" s="87"/>
      <c r="AO265" s="1"/>
    </row>
    <row r="266" spans="1:41" s="1" customFormat="1" ht="15.95" customHeight="1" x14ac:dyDescent="0.25">
      <c r="A266" s="11">
        <v>239</v>
      </c>
      <c r="B266" s="11" t="s">
        <v>43</v>
      </c>
      <c r="C266" s="11" t="s">
        <v>64</v>
      </c>
      <c r="D266" s="11" t="s">
        <v>64</v>
      </c>
      <c r="E266" s="36"/>
      <c r="F266" s="11" t="s">
        <v>95</v>
      </c>
      <c r="G266" s="11">
        <v>2006</v>
      </c>
      <c r="H266" s="11" t="s">
        <v>70</v>
      </c>
      <c r="I266" s="204" t="s">
        <v>41</v>
      </c>
      <c r="J266" s="204" t="s">
        <v>41</v>
      </c>
      <c r="K266" s="204" t="s">
        <v>100</v>
      </c>
      <c r="L266" s="207"/>
      <c r="M266" s="207"/>
      <c r="N266" s="204"/>
      <c r="O266" s="38">
        <v>766</v>
      </c>
      <c r="P266" s="39">
        <v>212</v>
      </c>
      <c r="Q266" s="40">
        <v>26</v>
      </c>
      <c r="R266" s="41">
        <v>423.8</v>
      </c>
      <c r="S266" s="39">
        <v>339</v>
      </c>
      <c r="T266" s="41"/>
      <c r="U266" s="38">
        <v>707</v>
      </c>
      <c r="V266" s="39">
        <v>211</v>
      </c>
      <c r="W266" s="40">
        <v>25</v>
      </c>
      <c r="X266" s="11"/>
      <c r="Y266" s="11"/>
      <c r="Z266" s="11"/>
      <c r="AA266" s="11">
        <v>1</v>
      </c>
      <c r="AB266" s="43">
        <f>((U266-O266)/V266)*AA266 * (1-(3/(4*(Q266+W266-2)-1)))</f>
        <v>-0.27531899380240615</v>
      </c>
      <c r="AC266" s="61"/>
      <c r="AD266" s="44">
        <v>1</v>
      </c>
      <c r="AE266" s="44"/>
      <c r="AF266" s="11">
        <v>11.2</v>
      </c>
      <c r="AG266" s="11">
        <v>3.1</v>
      </c>
      <c r="AH266" s="11"/>
      <c r="AI266" s="87">
        <v>11.3</v>
      </c>
      <c r="AJ266" s="87">
        <v>3.4</v>
      </c>
      <c r="AK266" s="11"/>
      <c r="AL266" s="11"/>
      <c r="AM266" s="11"/>
      <c r="AN266" s="11"/>
    </row>
    <row r="267" spans="1:41" s="1" customFormat="1" ht="15.95" customHeight="1" x14ac:dyDescent="0.25">
      <c r="A267" s="11">
        <v>242</v>
      </c>
      <c r="B267" s="11" t="s">
        <v>43</v>
      </c>
      <c r="C267" s="11" t="s">
        <v>64</v>
      </c>
      <c r="D267" s="11" t="s">
        <v>64</v>
      </c>
      <c r="E267" s="36"/>
      <c r="F267" s="11" t="s">
        <v>481</v>
      </c>
      <c r="G267" s="11">
        <v>2014</v>
      </c>
      <c r="H267" s="1" t="s">
        <v>66</v>
      </c>
      <c r="I267" s="204"/>
      <c r="J267" s="204"/>
      <c r="K267" s="204" t="s">
        <v>482</v>
      </c>
      <c r="L267" s="207" t="s">
        <v>483</v>
      </c>
      <c r="M267" s="207"/>
      <c r="N267" s="204"/>
      <c r="O267" s="38">
        <v>7</v>
      </c>
      <c r="P267" s="39">
        <v>7.9</v>
      </c>
      <c r="Q267" s="40">
        <v>21</v>
      </c>
      <c r="R267" s="41">
        <v>590</v>
      </c>
      <c r="S267" s="39">
        <v>248</v>
      </c>
      <c r="T267" s="41"/>
      <c r="U267" s="38">
        <v>3.9</v>
      </c>
      <c r="V267" s="39">
        <v>3.7</v>
      </c>
      <c r="W267" s="40">
        <v>73</v>
      </c>
      <c r="X267" s="11"/>
      <c r="Y267" s="11"/>
      <c r="Z267" s="11"/>
      <c r="AA267" s="11">
        <v>1</v>
      </c>
      <c r="AB267" s="43">
        <f>((U267-O267)/V267)*AA267 * (1-(3/(4*(Q267+W267-2)-1)))</f>
        <v>-0.83098902717431322</v>
      </c>
      <c r="AC267" s="61"/>
      <c r="AD267" s="44">
        <v>1</v>
      </c>
      <c r="AE267" s="44"/>
      <c r="AF267" s="11"/>
      <c r="AG267" s="11"/>
      <c r="AH267" s="11"/>
      <c r="AI267" s="87"/>
      <c r="AJ267" s="87"/>
      <c r="AK267" s="11"/>
      <c r="AL267" s="11"/>
      <c r="AM267" s="11"/>
      <c r="AN267" s="11"/>
    </row>
    <row r="268" spans="1:41" s="13" customFormat="1" ht="15.95" customHeight="1" x14ac:dyDescent="0.25">
      <c r="A268" s="11">
        <v>236</v>
      </c>
      <c r="B268" s="11" t="s">
        <v>43</v>
      </c>
      <c r="C268" s="14" t="s">
        <v>64</v>
      </c>
      <c r="D268" s="14" t="s">
        <v>64</v>
      </c>
      <c r="E268" s="36"/>
      <c r="F268" s="11" t="s">
        <v>481</v>
      </c>
      <c r="G268" s="11">
        <v>2014</v>
      </c>
      <c r="H268" s="11" t="s">
        <v>491</v>
      </c>
      <c r="I268" s="204"/>
      <c r="J268" s="204"/>
      <c r="K268" s="204" t="s">
        <v>493</v>
      </c>
      <c r="L268" s="207" t="s">
        <v>483</v>
      </c>
      <c r="M268" s="207"/>
      <c r="N268" s="204"/>
      <c r="O268" s="38">
        <v>4.4000000000000004</v>
      </c>
      <c r="P268" s="39">
        <v>5.4</v>
      </c>
      <c r="Q268" s="40">
        <v>21</v>
      </c>
      <c r="R268" s="41">
        <v>590</v>
      </c>
      <c r="S268" s="39">
        <v>248</v>
      </c>
      <c r="T268" s="41"/>
      <c r="U268" s="38">
        <v>2.1</v>
      </c>
      <c r="V268" s="39">
        <v>2.9</v>
      </c>
      <c r="W268" s="40">
        <v>73</v>
      </c>
      <c r="X268" s="11"/>
      <c r="Y268" s="11"/>
      <c r="Z268" s="11"/>
      <c r="AA268" s="11">
        <v>1</v>
      </c>
      <c r="AB268" s="43">
        <f>((U268-O268)/V268)*AA268 * (1-(3/(4*(Q268+W268-2)-1)))</f>
        <v>-0.78662031382129116</v>
      </c>
      <c r="AC268" s="43"/>
      <c r="AD268" s="44">
        <v>1</v>
      </c>
      <c r="AE268" s="44"/>
      <c r="AF268" s="118"/>
      <c r="AG268" s="118"/>
      <c r="AH268" s="87"/>
      <c r="AI268" s="103"/>
      <c r="AK268" s="11"/>
      <c r="AL268" s="11"/>
      <c r="AM268" s="11"/>
      <c r="AN268" s="11"/>
      <c r="AO268" s="1"/>
    </row>
    <row r="269" spans="1:41" s="11" customFormat="1" ht="15.95" customHeight="1" x14ac:dyDescent="0.25">
      <c r="A269" s="11">
        <v>258</v>
      </c>
      <c r="B269" s="11" t="s">
        <v>43</v>
      </c>
      <c r="C269" s="11" t="s">
        <v>64</v>
      </c>
      <c r="D269" s="11" t="s">
        <v>64</v>
      </c>
      <c r="E269" s="36"/>
      <c r="F269" s="11" t="s">
        <v>300</v>
      </c>
      <c r="G269" s="11">
        <v>2012</v>
      </c>
      <c r="H269" s="11" t="s">
        <v>512</v>
      </c>
      <c r="I269" s="204"/>
      <c r="J269" s="204"/>
      <c r="K269" s="204" t="s">
        <v>513</v>
      </c>
      <c r="L269" s="207"/>
      <c r="M269" s="207"/>
      <c r="N269" s="204"/>
      <c r="O269" s="38">
        <v>642</v>
      </c>
      <c r="P269" s="39">
        <v>138</v>
      </c>
      <c r="Q269" s="40">
        <v>42</v>
      </c>
      <c r="R269" s="41">
        <v>546</v>
      </c>
      <c r="S269" s="39">
        <v>331</v>
      </c>
      <c r="T269" s="41"/>
      <c r="U269" s="38">
        <v>587</v>
      </c>
      <c r="V269" s="39">
        <v>134</v>
      </c>
      <c r="W269" s="40">
        <v>81</v>
      </c>
      <c r="AA269" s="11">
        <v>1</v>
      </c>
      <c r="AB269" s="43">
        <f>((U269-O269)/V269)*AA269 * (1-(3/(4*(Q269+W269-2)-1)))</f>
        <v>-0.40789839621766943</v>
      </c>
      <c r="AC269" s="61"/>
      <c r="AD269" s="44">
        <v>1</v>
      </c>
      <c r="AE269" s="44"/>
      <c r="AF269" s="119">
        <v>11.8</v>
      </c>
      <c r="AG269" s="119">
        <v>3.5</v>
      </c>
      <c r="AH269" s="119"/>
      <c r="AI269" s="87">
        <v>12.3</v>
      </c>
      <c r="AJ269" s="87">
        <v>3.2</v>
      </c>
    </row>
    <row r="270" spans="1:41" s="11" customFormat="1" ht="15.95" customHeight="1" x14ac:dyDescent="0.25">
      <c r="A270" s="11">
        <v>256</v>
      </c>
      <c r="B270" s="11" t="s">
        <v>43</v>
      </c>
      <c r="C270" s="11" t="s">
        <v>64</v>
      </c>
      <c r="D270" s="11" t="s">
        <v>64</v>
      </c>
      <c r="E270" s="36"/>
      <c r="F270" s="11" t="s">
        <v>300</v>
      </c>
      <c r="G270" s="11">
        <v>2012</v>
      </c>
      <c r="H270" s="11" t="s">
        <v>515</v>
      </c>
      <c r="I270" s="204"/>
      <c r="J270" s="204"/>
      <c r="K270" s="204" t="s">
        <v>516</v>
      </c>
      <c r="L270" s="207"/>
      <c r="M270" s="207"/>
      <c r="N270" s="204"/>
      <c r="O270" s="38">
        <v>565</v>
      </c>
      <c r="P270" s="39">
        <v>162</v>
      </c>
      <c r="Q270" s="40">
        <v>42</v>
      </c>
      <c r="R270" s="41">
        <v>546</v>
      </c>
      <c r="S270" s="39">
        <v>331</v>
      </c>
      <c r="T270" s="41"/>
      <c r="U270" s="38">
        <v>479</v>
      </c>
      <c r="V270" s="39">
        <v>175</v>
      </c>
      <c r="W270" s="40">
        <v>81</v>
      </c>
      <c r="AA270" s="11">
        <v>1</v>
      </c>
      <c r="AB270" s="43">
        <f>((U270-O270)/V270)*AA270 * (1-(3/(4*(Q270+W270-2)-1)))</f>
        <v>-0.48837622005323866</v>
      </c>
      <c r="AC270" s="61"/>
      <c r="AD270" s="44">
        <v>1</v>
      </c>
      <c r="AE270" s="44"/>
      <c r="AF270" s="119">
        <v>11.8</v>
      </c>
      <c r="AG270" s="119">
        <v>3.5</v>
      </c>
      <c r="AH270" s="119"/>
      <c r="AI270" s="87">
        <v>12.3</v>
      </c>
      <c r="AJ270" s="87">
        <v>3.2</v>
      </c>
      <c r="AO270" s="1"/>
    </row>
    <row r="271" spans="1:41" s="1" customFormat="1" ht="15.95" customHeight="1" x14ac:dyDescent="0.25">
      <c r="A271" s="11">
        <v>257</v>
      </c>
      <c r="B271" s="11" t="s">
        <v>43</v>
      </c>
      <c r="C271" s="11" t="s">
        <v>64</v>
      </c>
      <c r="D271" s="11" t="s">
        <v>64</v>
      </c>
      <c r="E271" s="36"/>
      <c r="F271" s="11" t="s">
        <v>300</v>
      </c>
      <c r="G271" s="11">
        <v>2012</v>
      </c>
      <c r="H271" s="11" t="s">
        <v>517</v>
      </c>
      <c r="I271" s="204"/>
      <c r="J271" s="204"/>
      <c r="K271" s="204"/>
      <c r="L271" s="207"/>
      <c r="M271" s="207"/>
      <c r="N271" s="204"/>
      <c r="O271" s="38">
        <v>199</v>
      </c>
      <c r="P271" s="39">
        <v>130</v>
      </c>
      <c r="Q271" s="40">
        <v>42</v>
      </c>
      <c r="R271" s="41">
        <v>546</v>
      </c>
      <c r="S271" s="39">
        <v>331</v>
      </c>
      <c r="T271" s="41"/>
      <c r="U271" s="38">
        <v>155</v>
      </c>
      <c r="V271" s="39">
        <v>127</v>
      </c>
      <c r="W271" s="40">
        <v>81</v>
      </c>
      <c r="X271" s="11"/>
      <c r="Y271" s="11"/>
      <c r="Z271" s="11"/>
      <c r="AA271" s="11">
        <v>1</v>
      </c>
      <c r="AB271" s="43">
        <f>((U271-O271)/V271)*AA271 * (1-(3/(4*(Q271+W271-2)-1)))</f>
        <v>-0.34430478798845798</v>
      </c>
      <c r="AC271" s="85"/>
      <c r="AD271" s="44">
        <v>1</v>
      </c>
      <c r="AE271" s="44"/>
      <c r="AF271" s="119">
        <v>11.8</v>
      </c>
      <c r="AG271" s="119">
        <v>3.5</v>
      </c>
      <c r="AH271" s="119"/>
      <c r="AI271" s="87">
        <v>12.3</v>
      </c>
      <c r="AJ271" s="87">
        <v>3.2</v>
      </c>
      <c r="AK271" s="11"/>
      <c r="AL271" s="11"/>
      <c r="AM271" s="11"/>
      <c r="AN271" s="11"/>
    </row>
    <row r="272" spans="1:41" s="1" customFormat="1" ht="15.95" customHeight="1" x14ac:dyDescent="0.25">
      <c r="A272" s="11">
        <v>247</v>
      </c>
      <c r="B272" s="11" t="s">
        <v>34</v>
      </c>
      <c r="C272" s="11" t="s">
        <v>190</v>
      </c>
      <c r="D272" s="11" t="s">
        <v>190</v>
      </c>
      <c r="E272" s="36" t="s">
        <v>81</v>
      </c>
      <c r="F272" s="11" t="s">
        <v>148</v>
      </c>
      <c r="G272" s="11">
        <v>2019</v>
      </c>
      <c r="H272" s="11" t="s">
        <v>191</v>
      </c>
      <c r="I272" s="204" t="s">
        <v>39</v>
      </c>
      <c r="J272" s="204" t="s">
        <v>39</v>
      </c>
      <c r="K272" s="204" t="s">
        <v>192</v>
      </c>
      <c r="L272" s="204"/>
      <c r="M272" s="204"/>
      <c r="N272" s="204"/>
      <c r="O272" s="41">
        <v>1.4</v>
      </c>
      <c r="P272" s="41">
        <v>0.6</v>
      </c>
      <c r="Q272" s="41">
        <v>22</v>
      </c>
      <c r="R272" s="41">
        <v>751</v>
      </c>
      <c r="S272" s="41"/>
      <c r="T272" s="41"/>
      <c r="U272" s="38">
        <v>1.3</v>
      </c>
      <c r="V272" s="41">
        <v>0.5</v>
      </c>
      <c r="W272" s="41">
        <v>25</v>
      </c>
      <c r="X272" s="11">
        <v>25</v>
      </c>
      <c r="Y272" s="11"/>
      <c r="Z272" s="11">
        <v>-0.18</v>
      </c>
      <c r="AA272" s="11">
        <v>1</v>
      </c>
      <c r="AB272" s="43">
        <f>((U272-O272)/V272)*AA272 * (1-(3/(4*(Q272+W272-2)-1)))</f>
        <v>-0.19664804469273717</v>
      </c>
      <c r="AC272" s="11">
        <v>0.04</v>
      </c>
      <c r="AD272" s="11">
        <v>1</v>
      </c>
      <c r="AE272" s="11"/>
      <c r="AF272" s="11"/>
      <c r="AG272" s="11"/>
      <c r="AH272" s="11"/>
      <c r="AI272" s="11"/>
      <c r="AJ272" s="11"/>
      <c r="AK272" s="11"/>
      <c r="AL272" s="11"/>
      <c r="AM272" s="11"/>
      <c r="AN272" s="11"/>
      <c r="AO272" s="11"/>
    </row>
    <row r="273" spans="1:41" s="1" customFormat="1" ht="15.95" customHeight="1" x14ac:dyDescent="0.25">
      <c r="A273" s="11">
        <v>244</v>
      </c>
      <c r="B273" s="11" t="s">
        <v>34</v>
      </c>
      <c r="C273" s="11" t="s">
        <v>190</v>
      </c>
      <c r="D273" s="11" t="s">
        <v>190</v>
      </c>
      <c r="E273" s="36" t="s">
        <v>81</v>
      </c>
      <c r="F273" s="11" t="s">
        <v>148</v>
      </c>
      <c r="G273" s="11">
        <v>2017</v>
      </c>
      <c r="H273" s="11" t="s">
        <v>219</v>
      </c>
      <c r="I273" s="204" t="s">
        <v>39</v>
      </c>
      <c r="J273" s="204" t="s">
        <v>39</v>
      </c>
      <c r="K273" s="204" t="s">
        <v>220</v>
      </c>
      <c r="L273" s="204" t="s">
        <v>221</v>
      </c>
      <c r="M273" s="204"/>
      <c r="N273" s="204"/>
      <c r="O273" s="41">
        <v>0</v>
      </c>
      <c r="P273" s="41">
        <v>0.18</v>
      </c>
      <c r="Q273" s="41">
        <v>37</v>
      </c>
      <c r="R273" s="41">
        <v>720</v>
      </c>
      <c r="S273" s="41"/>
      <c r="T273" s="41"/>
      <c r="U273" s="38">
        <v>0</v>
      </c>
      <c r="V273" s="41">
        <v>0.18</v>
      </c>
      <c r="W273" s="41">
        <v>30</v>
      </c>
      <c r="X273" s="11"/>
      <c r="Y273" s="11" t="e">
        <v>#REF!</v>
      </c>
      <c r="Z273" s="11"/>
      <c r="AA273" s="11">
        <v>1</v>
      </c>
      <c r="AB273" s="43">
        <f>((U273-O273)/V273)*AA273 * (1-(3/(4*(Q273+W273-2)-1)))</f>
        <v>0</v>
      </c>
      <c r="AC273" s="11"/>
      <c r="AD273" s="11">
        <v>1</v>
      </c>
      <c r="AE273" s="11"/>
      <c r="AF273" s="11"/>
      <c r="AG273" s="11"/>
      <c r="AH273" s="11"/>
      <c r="AI273" s="11"/>
      <c r="AJ273" s="11"/>
      <c r="AK273" s="11">
        <v>1</v>
      </c>
      <c r="AL273" s="11" t="s">
        <v>116</v>
      </c>
      <c r="AM273" s="11" t="s">
        <v>69</v>
      </c>
      <c r="AN273" s="11" t="s">
        <v>118</v>
      </c>
      <c r="AO273" s="11"/>
    </row>
    <row r="274" spans="1:41" s="1" customFormat="1" ht="15.95" customHeight="1" x14ac:dyDescent="0.25">
      <c r="A274" s="11">
        <v>246</v>
      </c>
      <c r="B274" s="11" t="s">
        <v>34</v>
      </c>
      <c r="C274" s="11" t="s">
        <v>193</v>
      </c>
      <c r="D274" s="11" t="s">
        <v>193</v>
      </c>
      <c r="E274" s="36" t="s">
        <v>36</v>
      </c>
      <c r="F274" s="11" t="s">
        <v>148</v>
      </c>
      <c r="G274" s="11">
        <v>2018</v>
      </c>
      <c r="H274" s="11" t="s">
        <v>194</v>
      </c>
      <c r="I274" s="204" t="s">
        <v>41</v>
      </c>
      <c r="J274" s="204" t="s">
        <v>41</v>
      </c>
      <c r="K274" s="204" t="s">
        <v>195</v>
      </c>
      <c r="L274" s="204"/>
      <c r="M274" s="204"/>
      <c r="N274" s="204"/>
      <c r="O274" s="41">
        <v>24.9</v>
      </c>
      <c r="P274" s="41">
        <v>21.9</v>
      </c>
      <c r="Q274" s="41">
        <v>22</v>
      </c>
      <c r="R274" s="41">
        <v>751</v>
      </c>
      <c r="S274" s="41"/>
      <c r="T274" s="41"/>
      <c r="U274" s="38">
        <v>16</v>
      </c>
      <c r="V274" s="41">
        <v>7.8</v>
      </c>
      <c r="W274" s="41">
        <v>25</v>
      </c>
      <c r="X274" s="11">
        <v>25</v>
      </c>
      <c r="Y274" s="11"/>
      <c r="Z274" s="11"/>
      <c r="AA274" s="11">
        <v>1</v>
      </c>
      <c r="AB274" s="43">
        <f>((U274-O274)/V274)*AA274 * (1-(3/(4*(Q274+W274-2)-1)))</f>
        <v>-1.1219023062598481</v>
      </c>
      <c r="AC274" s="11">
        <v>1.26</v>
      </c>
      <c r="AD274" s="11">
        <v>1</v>
      </c>
      <c r="AE274" s="11"/>
      <c r="AF274" s="11"/>
      <c r="AG274" s="11"/>
      <c r="AH274" s="11"/>
      <c r="AI274" s="11"/>
      <c r="AJ274" s="11"/>
      <c r="AK274" s="11"/>
      <c r="AL274" s="11">
        <v>1</v>
      </c>
      <c r="AM274" s="11" t="s">
        <v>116</v>
      </c>
      <c r="AN274" s="11" t="s">
        <v>69</v>
      </c>
      <c r="AO274" s="11"/>
    </row>
    <row r="275" spans="1:41" s="1" customFormat="1" ht="15.95" customHeight="1" x14ac:dyDescent="0.25">
      <c r="A275" s="11">
        <v>245</v>
      </c>
      <c r="B275" s="11" t="s">
        <v>34</v>
      </c>
      <c r="C275" s="11" t="s">
        <v>193</v>
      </c>
      <c r="D275" s="11" t="s">
        <v>193</v>
      </c>
      <c r="E275" s="36" t="s">
        <v>36</v>
      </c>
      <c r="F275" s="11" t="s">
        <v>148</v>
      </c>
      <c r="G275" s="11">
        <v>2017</v>
      </c>
      <c r="H275" s="11" t="s">
        <v>222</v>
      </c>
      <c r="I275" s="204" t="s">
        <v>41</v>
      </c>
      <c r="J275" s="204" t="s">
        <v>41</v>
      </c>
      <c r="K275" s="204" t="s">
        <v>223</v>
      </c>
      <c r="L275" s="204" t="s">
        <v>221</v>
      </c>
      <c r="M275" s="204"/>
      <c r="N275" s="204"/>
      <c r="O275" s="41">
        <v>710.9</v>
      </c>
      <c r="P275" s="41">
        <v>135.13</v>
      </c>
      <c r="Q275" s="41">
        <v>37</v>
      </c>
      <c r="R275" s="41">
        <v>720</v>
      </c>
      <c r="S275" s="41"/>
      <c r="T275" s="41"/>
      <c r="U275" s="38">
        <v>599.20000000000005</v>
      </c>
      <c r="V275" s="41">
        <v>91.82</v>
      </c>
      <c r="W275" s="41">
        <v>30</v>
      </c>
      <c r="X275" s="11"/>
      <c r="Y275" s="11">
        <v>0.97</v>
      </c>
      <c r="Z275" s="11"/>
      <c r="AA275" s="11">
        <v>1</v>
      </c>
      <c r="AB275" s="43">
        <f>((U275-O275)/V275)*AA275 * (1-(3/(4*(Q275+W275-2)-1)))</f>
        <v>-1.2024197081918706</v>
      </c>
      <c r="AC275" s="11"/>
      <c r="AD275" s="11">
        <v>1</v>
      </c>
      <c r="AE275" s="11"/>
      <c r="AF275" s="11"/>
      <c r="AG275" s="11"/>
      <c r="AH275" s="11"/>
      <c r="AI275" s="11"/>
      <c r="AJ275" s="11"/>
      <c r="AK275" s="11">
        <v>1</v>
      </c>
      <c r="AL275" s="11" t="s">
        <v>116</v>
      </c>
      <c r="AM275" s="11" t="s">
        <v>69</v>
      </c>
      <c r="AN275" s="11" t="s">
        <v>118</v>
      </c>
      <c r="AO275" s="11"/>
    </row>
    <row r="276" spans="1:41" s="1" customFormat="1" ht="15.95" customHeight="1" x14ac:dyDescent="0.25">
      <c r="A276" s="11">
        <v>248</v>
      </c>
      <c r="B276" s="11" t="s">
        <v>43</v>
      </c>
      <c r="C276" s="11" t="s">
        <v>193</v>
      </c>
      <c r="D276" s="11" t="s">
        <v>193</v>
      </c>
      <c r="E276" s="36" t="s">
        <v>45</v>
      </c>
      <c r="F276" s="11" t="s">
        <v>267</v>
      </c>
      <c r="G276" s="11">
        <v>2003</v>
      </c>
      <c r="H276" s="11" t="s">
        <v>222</v>
      </c>
      <c r="I276" s="204" t="s">
        <v>41</v>
      </c>
      <c r="J276" s="204"/>
      <c r="K276" s="204" t="s">
        <v>268</v>
      </c>
      <c r="L276" s="207"/>
      <c r="M276" s="204"/>
      <c r="N276" s="204"/>
      <c r="O276" s="38">
        <v>44</v>
      </c>
      <c r="P276" s="39">
        <v>9.9</v>
      </c>
      <c r="Q276" s="40">
        <v>46</v>
      </c>
      <c r="R276" s="114">
        <f>8.1*60.5364</f>
        <v>490.34483999999998</v>
      </c>
      <c r="S276" s="117">
        <f>6.2*60.5364</f>
        <v>375.32568000000003</v>
      </c>
      <c r="T276" s="41"/>
      <c r="U276" s="38">
        <v>52.3</v>
      </c>
      <c r="V276" s="39">
        <v>9.5</v>
      </c>
      <c r="W276" s="40">
        <v>18</v>
      </c>
      <c r="X276" s="11"/>
      <c r="Y276" s="11"/>
      <c r="Z276" s="11"/>
      <c r="AA276" s="11">
        <v>-1</v>
      </c>
      <c r="AB276" s="43">
        <f>((U276-O276)/V276)*AA276 * (1-(3/(4*(Q276+W276-2)-1)))</f>
        <v>-0.86307266141061123</v>
      </c>
      <c r="AC276" s="61"/>
      <c r="AD276" s="44">
        <v>1</v>
      </c>
      <c r="AE276" s="44"/>
      <c r="AF276" s="119">
        <f>129/12</f>
        <v>10.75</v>
      </c>
      <c r="AG276" s="118">
        <v>2.1</v>
      </c>
      <c r="AH276" s="119"/>
      <c r="AI276" s="120">
        <v>13.1</v>
      </c>
      <c r="AJ276" s="120">
        <v>3.2</v>
      </c>
      <c r="AK276" s="11"/>
      <c r="AL276" s="11"/>
      <c r="AM276" s="11"/>
      <c r="AN276" s="11"/>
    </row>
    <row r="277" spans="1:41" s="1" customFormat="1" ht="15.95" customHeight="1" x14ac:dyDescent="0.25">
      <c r="A277" s="11">
        <v>255</v>
      </c>
      <c r="B277" s="11" t="s">
        <v>43</v>
      </c>
      <c r="C277" s="11" t="s">
        <v>193</v>
      </c>
      <c r="D277" s="11" t="s">
        <v>193</v>
      </c>
      <c r="E277" s="36" t="s">
        <v>45</v>
      </c>
      <c r="F277" s="11" t="s">
        <v>322</v>
      </c>
      <c r="G277" s="11">
        <v>2001</v>
      </c>
      <c r="H277" s="11" t="s">
        <v>222</v>
      </c>
      <c r="I277" s="204" t="s">
        <v>41</v>
      </c>
      <c r="J277" s="204"/>
      <c r="K277" s="204" t="s">
        <v>323</v>
      </c>
      <c r="L277" s="207"/>
      <c r="M277" s="204" t="s">
        <v>317</v>
      </c>
      <c r="N277" s="204"/>
      <c r="O277" s="38">
        <v>64.709999999999994</v>
      </c>
      <c r="P277" s="39">
        <v>19.809999999999999</v>
      </c>
      <c r="Q277" s="40">
        <v>23</v>
      </c>
      <c r="R277" s="41">
        <v>496.4</v>
      </c>
      <c r="S277" s="39">
        <v>230</v>
      </c>
      <c r="T277" s="41"/>
      <c r="U277" s="38">
        <v>80.95</v>
      </c>
      <c r="V277" s="41">
        <v>22.62</v>
      </c>
      <c r="W277" s="40">
        <v>23</v>
      </c>
      <c r="X277" s="11"/>
      <c r="Y277" s="11"/>
      <c r="Z277" s="11"/>
      <c r="AA277" s="11">
        <v>-1</v>
      </c>
      <c r="AB277" s="43">
        <f>((U277-O277)/V277)*AA277 * (1-(3/(4*(Q277+W277-2)-1)))</f>
        <v>-0.70564102564102593</v>
      </c>
      <c r="AC277" s="43"/>
      <c r="AD277" s="44">
        <v>1</v>
      </c>
      <c r="AE277" s="44"/>
      <c r="AF277" s="11">
        <v>10.7</v>
      </c>
      <c r="AG277" s="11">
        <v>3.4</v>
      </c>
      <c r="AH277" s="11"/>
      <c r="AI277" s="87">
        <v>11.1</v>
      </c>
      <c r="AJ277" s="87">
        <v>3.7</v>
      </c>
      <c r="AK277" s="11"/>
      <c r="AL277" s="11"/>
      <c r="AM277" s="11"/>
      <c r="AN277" s="11"/>
    </row>
    <row r="278" spans="1:41" s="1" customFormat="1" ht="15.95" customHeight="1" x14ac:dyDescent="0.25">
      <c r="A278" s="1">
        <v>102</v>
      </c>
      <c r="B278" s="1" t="s">
        <v>34</v>
      </c>
      <c r="C278" s="14" t="s">
        <v>50</v>
      </c>
      <c r="D278" s="14" t="s">
        <v>50</v>
      </c>
      <c r="E278" s="36" t="s">
        <v>45</v>
      </c>
      <c r="F278" s="14" t="s">
        <v>406</v>
      </c>
      <c r="G278" s="1">
        <v>2004</v>
      </c>
      <c r="H278" s="11" t="s">
        <v>407</v>
      </c>
      <c r="I278" s="204"/>
      <c r="J278" s="204"/>
      <c r="K278" s="221" t="s">
        <v>408</v>
      </c>
      <c r="L278" s="222" t="s">
        <v>409</v>
      </c>
      <c r="M278" s="220"/>
      <c r="N278" s="220"/>
      <c r="O278" s="74">
        <v>6.95</v>
      </c>
      <c r="P278" s="60">
        <v>1.67</v>
      </c>
      <c r="Q278" s="91">
        <v>20</v>
      </c>
      <c r="R278" s="59">
        <v>858.5</v>
      </c>
      <c r="S278" s="60"/>
      <c r="T278" s="59"/>
      <c r="U278" s="74">
        <v>7.15</v>
      </c>
      <c r="V278" s="92">
        <v>1.1399999999999999</v>
      </c>
      <c r="W278" s="91">
        <v>20</v>
      </c>
      <c r="X278" s="14"/>
      <c r="Y278" s="55">
        <f>(U278-O278)/SQRT((V278^2+P278^2)/2)</f>
        <v>0.13988237340926069</v>
      </c>
      <c r="Z278" s="55"/>
      <c r="AA278" s="14">
        <v>-1</v>
      </c>
      <c r="AB278" s="43">
        <f>((U278-O278)/V278)*AA278 * (1-(3/(4*(Q278+W278-2)-1)))</f>
        <v>-0.17195306146160119</v>
      </c>
      <c r="AC278" s="61"/>
      <c r="AD278" s="44">
        <v>1</v>
      </c>
      <c r="AE278" s="44"/>
      <c r="AF278" s="14"/>
      <c r="AG278" s="14"/>
      <c r="AI278" s="62"/>
      <c r="AJ278" s="62"/>
      <c r="AK278" s="14">
        <v>2</v>
      </c>
      <c r="AL278" s="14" t="s">
        <v>68</v>
      </c>
      <c r="AM278" s="1" t="s">
        <v>69</v>
      </c>
      <c r="AN278" s="14" t="s">
        <v>68</v>
      </c>
    </row>
    <row r="279" spans="1:41" s="11" customFormat="1" ht="15.95" customHeight="1" x14ac:dyDescent="0.25">
      <c r="A279" s="1">
        <v>109</v>
      </c>
      <c r="B279" s="1" t="s">
        <v>34</v>
      </c>
      <c r="C279" s="14" t="s">
        <v>50</v>
      </c>
      <c r="D279" s="14" t="s">
        <v>50</v>
      </c>
      <c r="E279" s="36" t="s">
        <v>45</v>
      </c>
      <c r="F279" s="14" t="s">
        <v>406</v>
      </c>
      <c r="G279" s="1">
        <v>2004</v>
      </c>
      <c r="H279" s="11" t="s">
        <v>418</v>
      </c>
      <c r="I279" s="204"/>
      <c r="J279" s="204"/>
      <c r="K279" s="221" t="s">
        <v>419</v>
      </c>
      <c r="L279" s="222"/>
      <c r="M279" s="220"/>
      <c r="N279" s="220"/>
      <c r="O279" s="74">
        <v>0.54</v>
      </c>
      <c r="P279" s="60">
        <v>0.11</v>
      </c>
      <c r="Q279" s="91">
        <v>20</v>
      </c>
      <c r="R279" s="59">
        <v>858.5</v>
      </c>
      <c r="S279" s="60"/>
      <c r="T279" s="59"/>
      <c r="U279" s="74">
        <v>0.56999999999999995</v>
      </c>
      <c r="V279" s="92">
        <v>7.0000000000000007E-2</v>
      </c>
      <c r="W279" s="91">
        <v>20</v>
      </c>
      <c r="X279" s="14"/>
      <c r="Y279" s="55">
        <f>(U279-O279)/SQRT((V279^2+P279^2)/2)</f>
        <v>0.32539568672798336</v>
      </c>
      <c r="Z279" s="55"/>
      <c r="AA279" s="14">
        <v>-1</v>
      </c>
      <c r="AB279" s="43">
        <f>((U279-O279)/V279)*AA279 * (1-(3/(4*(Q279+W279-2)-1)))</f>
        <v>-0.42005676442762413</v>
      </c>
      <c r="AC279" s="61"/>
      <c r="AD279" s="44">
        <v>1</v>
      </c>
      <c r="AE279" s="44"/>
      <c r="AF279" s="14"/>
      <c r="AG279" s="14"/>
      <c r="AH279" s="1"/>
      <c r="AI279" s="62"/>
      <c r="AJ279" s="62"/>
      <c r="AK279" s="14">
        <v>2</v>
      </c>
      <c r="AL279" s="14" t="s">
        <v>68</v>
      </c>
      <c r="AM279" s="1" t="s">
        <v>69</v>
      </c>
      <c r="AN279" s="14" t="s">
        <v>68</v>
      </c>
      <c r="AO279" s="1"/>
    </row>
    <row r="280" spans="1:41" s="1" customFormat="1" ht="15.95" customHeight="1" x14ac:dyDescent="0.25">
      <c r="A280" s="1">
        <v>103</v>
      </c>
      <c r="B280" s="1" t="s">
        <v>34</v>
      </c>
      <c r="C280" s="14" t="s">
        <v>50</v>
      </c>
      <c r="D280" s="14" t="s">
        <v>50</v>
      </c>
      <c r="E280" s="36" t="s">
        <v>45</v>
      </c>
      <c r="F280" s="14" t="s">
        <v>588</v>
      </c>
      <c r="G280" s="1">
        <v>2015</v>
      </c>
      <c r="H280" s="11" t="s">
        <v>589</v>
      </c>
      <c r="I280" s="204"/>
      <c r="J280" s="204"/>
      <c r="K280" s="221" t="s">
        <v>590</v>
      </c>
      <c r="L280" s="222"/>
      <c r="M280" s="220"/>
      <c r="N280" s="220"/>
      <c r="O280" s="74">
        <v>86.86</v>
      </c>
      <c r="P280" s="60">
        <v>23.1</v>
      </c>
      <c r="Q280" s="91">
        <v>14</v>
      </c>
      <c r="R280" s="59" t="s">
        <v>117</v>
      </c>
      <c r="S280" s="60"/>
      <c r="T280" s="59"/>
      <c r="U280" s="74">
        <v>108.29</v>
      </c>
      <c r="V280" s="92">
        <v>4.3600000000000003</v>
      </c>
      <c r="W280" s="91">
        <v>14</v>
      </c>
      <c r="X280" s="14"/>
      <c r="Y280" s="55">
        <f>(U280-O280)/SQRT((V280^2+P280^2)/2)</f>
        <v>1.2892110723796886</v>
      </c>
      <c r="Z280" s="55"/>
      <c r="AA280" s="14">
        <v>-1</v>
      </c>
      <c r="AB280" s="43">
        <f>((U280-O280)/V280)*AA280 * (1-(3/(4*(Q280+W280-2)-1)))</f>
        <v>-4.771978266678544</v>
      </c>
      <c r="AC280" s="61"/>
      <c r="AD280" s="44">
        <v>1</v>
      </c>
      <c r="AE280" s="44"/>
      <c r="AF280" s="14"/>
      <c r="AG280" s="14"/>
      <c r="AI280" s="62"/>
      <c r="AJ280" s="62"/>
      <c r="AK280" s="71">
        <v>3</v>
      </c>
      <c r="AL280" s="71" t="s">
        <v>591</v>
      </c>
      <c r="AM280" s="1" t="s">
        <v>69</v>
      </c>
      <c r="AN280" s="71" t="s">
        <v>591</v>
      </c>
    </row>
    <row r="281" spans="1:41" s="1" customFormat="1" ht="15.95" customHeight="1" x14ac:dyDescent="0.25">
      <c r="A281" s="1">
        <v>110</v>
      </c>
      <c r="B281" s="1" t="s">
        <v>34</v>
      </c>
      <c r="C281" s="14" t="s">
        <v>50</v>
      </c>
      <c r="D281" s="14" t="s">
        <v>50</v>
      </c>
      <c r="E281" s="36" t="s">
        <v>45</v>
      </c>
      <c r="F281" s="14" t="s">
        <v>588</v>
      </c>
      <c r="G281" s="1">
        <v>2015</v>
      </c>
      <c r="H281" s="11" t="s">
        <v>51</v>
      </c>
      <c r="I281" s="204"/>
      <c r="J281" s="204"/>
      <c r="K281" s="221" t="s">
        <v>594</v>
      </c>
      <c r="L281" s="222"/>
      <c r="M281" s="220"/>
      <c r="N281" s="210"/>
      <c r="O281" s="74">
        <v>98.14</v>
      </c>
      <c r="P281" s="60">
        <v>13.04</v>
      </c>
      <c r="Q281" s="91">
        <v>14</v>
      </c>
      <c r="R281" s="59" t="s">
        <v>117</v>
      </c>
      <c r="S281" s="60"/>
      <c r="T281" s="59"/>
      <c r="U281" s="74">
        <v>100.86</v>
      </c>
      <c r="V281" s="92">
        <v>8.8000000000000007</v>
      </c>
      <c r="W281" s="91">
        <v>14</v>
      </c>
      <c r="X281" s="14"/>
      <c r="Y281" s="55">
        <f>(U281-O281)/SQRT((V281^2+P281^2)/2)</f>
        <v>0.24451890614322794</v>
      </c>
      <c r="Z281" s="55"/>
      <c r="AA281" s="14">
        <v>-1</v>
      </c>
      <c r="AB281" s="43">
        <f>((U281-O281)/V281)*AA281 * (1-(3/(4*(Q281+W281-2)-1)))</f>
        <v>-0.30008826125330962</v>
      </c>
      <c r="AC281" s="61"/>
      <c r="AD281" s="44">
        <v>1</v>
      </c>
      <c r="AE281" s="44"/>
      <c r="AF281" s="14"/>
      <c r="AG281" s="14"/>
      <c r="AI281" s="62"/>
      <c r="AJ281" s="62"/>
      <c r="AK281" s="71">
        <v>3</v>
      </c>
      <c r="AL281" s="71" t="s">
        <v>591</v>
      </c>
      <c r="AM281" s="1" t="s">
        <v>69</v>
      </c>
      <c r="AN281" s="71" t="s">
        <v>591</v>
      </c>
      <c r="AO281" s="13"/>
    </row>
    <row r="282" spans="1:41" s="1" customFormat="1" ht="15.95" customHeight="1" x14ac:dyDescent="0.25">
      <c r="A282" s="1">
        <v>111</v>
      </c>
      <c r="B282" s="1" t="s">
        <v>34</v>
      </c>
      <c r="C282" s="14" t="s">
        <v>50</v>
      </c>
      <c r="D282" s="14" t="s">
        <v>50</v>
      </c>
      <c r="E282" s="36" t="s">
        <v>45</v>
      </c>
      <c r="F282" s="11" t="s">
        <v>148</v>
      </c>
      <c r="G282" s="1">
        <v>2017</v>
      </c>
      <c r="H282" s="11" t="s">
        <v>51</v>
      </c>
      <c r="I282" s="204"/>
      <c r="J282" s="204"/>
      <c r="K282" s="221" t="s">
        <v>626</v>
      </c>
      <c r="L282" s="222"/>
      <c r="M282" s="220"/>
      <c r="N282" s="210"/>
      <c r="O282" s="74">
        <v>20.6</v>
      </c>
      <c r="P282" s="60">
        <v>28.2</v>
      </c>
      <c r="Q282" s="91">
        <v>37</v>
      </c>
      <c r="R282" s="59">
        <v>720</v>
      </c>
      <c r="S282" s="60"/>
      <c r="T282" s="59"/>
      <c r="U282" s="74">
        <v>2.9</v>
      </c>
      <c r="V282" s="92">
        <v>7.9</v>
      </c>
      <c r="W282" s="91">
        <v>30</v>
      </c>
      <c r="X282" s="14"/>
      <c r="Y282" s="55">
        <f>(U282-O282)/SQRT((V282^2+P282^2)/2)</f>
        <v>-0.85473840530477174</v>
      </c>
      <c r="Z282" s="55"/>
      <c r="AA282" s="14">
        <v>1</v>
      </c>
      <c r="AB282" s="43">
        <f>((U282-O282)/V282)*AA282 * (1-(3/(4*(Q282+W282-2)-1)))</f>
        <v>-2.2145545183519872</v>
      </c>
      <c r="AC282" s="61"/>
      <c r="AD282" s="44">
        <v>1</v>
      </c>
      <c r="AE282" s="44"/>
      <c r="AF282" s="14"/>
      <c r="AG282" s="14"/>
      <c r="AI282" s="62"/>
      <c r="AJ282" s="62"/>
      <c r="AK282" s="14">
        <v>1</v>
      </c>
      <c r="AL282" s="14" t="s">
        <v>116</v>
      </c>
      <c r="AM282" s="1" t="s">
        <v>69</v>
      </c>
      <c r="AN282" s="14" t="s">
        <v>118</v>
      </c>
    </row>
    <row r="283" spans="1:41" s="11" customFormat="1" ht="18" customHeight="1" x14ac:dyDescent="0.25">
      <c r="A283" s="1">
        <v>112</v>
      </c>
      <c r="B283" s="1" t="s">
        <v>34</v>
      </c>
      <c r="C283" s="14" t="s">
        <v>50</v>
      </c>
      <c r="D283" s="14" t="s">
        <v>50</v>
      </c>
      <c r="E283" s="36" t="s">
        <v>45</v>
      </c>
      <c r="F283" s="14" t="s">
        <v>670</v>
      </c>
      <c r="G283" s="1">
        <v>2021</v>
      </c>
      <c r="H283" s="11" t="s">
        <v>51</v>
      </c>
      <c r="I283" s="204"/>
      <c r="J283" s="204"/>
      <c r="K283" s="221" t="s">
        <v>594</v>
      </c>
      <c r="L283" s="222"/>
      <c r="M283" s="220"/>
      <c r="N283" s="210"/>
      <c r="O283" s="74">
        <v>16</v>
      </c>
      <c r="P283" s="60">
        <v>3.2</v>
      </c>
      <c r="Q283" s="91">
        <v>19</v>
      </c>
      <c r="R283" s="59">
        <v>890</v>
      </c>
      <c r="S283" s="60"/>
      <c r="T283" s="59"/>
      <c r="U283" s="74">
        <v>18</v>
      </c>
      <c r="V283" s="92">
        <v>1.57</v>
      </c>
      <c r="W283" s="91">
        <v>25</v>
      </c>
      <c r="X283" s="14"/>
      <c r="Y283" s="55">
        <f>(U283-O283)/SQRT((V283^2+P283^2)/2)</f>
        <v>0.79352272374003208</v>
      </c>
      <c r="Z283" s="55"/>
      <c r="AA283" s="14">
        <v>-1</v>
      </c>
      <c r="AB283" s="43">
        <f>((U283-O283)/V283)*AA283 * (1-(3/(4*(Q283+W283-2)-1)))</f>
        <v>-1.2510011823486784</v>
      </c>
      <c r="AC283" s="61"/>
      <c r="AD283" s="44">
        <v>1</v>
      </c>
      <c r="AE283" s="44"/>
      <c r="AF283" s="14"/>
      <c r="AG283" s="14"/>
      <c r="AH283" s="1"/>
      <c r="AI283" s="62"/>
      <c r="AJ283" s="62"/>
      <c r="AK283" s="14"/>
      <c r="AL283" s="14"/>
      <c r="AM283" s="1"/>
      <c r="AN283" s="14"/>
      <c r="AO283" s="13"/>
    </row>
    <row r="284" spans="1:41" s="1" customFormat="1" ht="15.95" customHeight="1" x14ac:dyDescent="0.25">
      <c r="A284" s="1">
        <v>118</v>
      </c>
      <c r="B284" s="11" t="s">
        <v>43</v>
      </c>
      <c r="C284" s="11" t="s">
        <v>50</v>
      </c>
      <c r="D284" s="11" t="s">
        <v>50</v>
      </c>
      <c r="E284" s="36" t="s">
        <v>45</v>
      </c>
      <c r="F284" s="11" t="s">
        <v>46</v>
      </c>
      <c r="G284" s="11">
        <v>2002</v>
      </c>
      <c r="H284" s="11" t="s">
        <v>51</v>
      </c>
      <c r="I284" s="204" t="s">
        <v>39</v>
      </c>
      <c r="J284" s="204" t="s">
        <v>39</v>
      </c>
      <c r="K284" s="204" t="s">
        <v>52</v>
      </c>
      <c r="L284" s="207"/>
      <c r="M284" s="207"/>
      <c r="N284" s="204"/>
      <c r="O284" s="38">
        <v>9.94</v>
      </c>
      <c r="P284" s="39">
        <v>1.6800000000000002</v>
      </c>
      <c r="Q284" s="40">
        <v>36</v>
      </c>
      <c r="R284" s="41"/>
      <c r="S284" s="39"/>
      <c r="T284" s="41"/>
      <c r="U284" s="115">
        <v>10.41</v>
      </c>
      <c r="V284" s="39">
        <v>1.2000000000000002</v>
      </c>
      <c r="W284" s="40">
        <v>69</v>
      </c>
      <c r="X284" s="11"/>
      <c r="Y284" s="11"/>
      <c r="Z284" s="11"/>
      <c r="AA284" s="11">
        <v>-1</v>
      </c>
      <c r="AB284" s="43">
        <f>((U284-O284)/V284)*AA284 * (1-(3/(4*(Q284+W284-2)-1)))</f>
        <v>-0.38880778588807835</v>
      </c>
      <c r="AC284" s="61"/>
      <c r="AD284" s="44">
        <v>1</v>
      </c>
      <c r="AE284" s="44"/>
      <c r="AF284" s="118">
        <v>11.18</v>
      </c>
      <c r="AG284" s="118">
        <v>3.4</v>
      </c>
      <c r="AH284" s="87"/>
      <c r="AI284" s="103">
        <v>10.29</v>
      </c>
      <c r="AJ284" s="13">
        <v>3.1</v>
      </c>
      <c r="AK284" s="11"/>
      <c r="AL284" s="11"/>
      <c r="AM284" s="11"/>
      <c r="AN284" s="11"/>
    </row>
    <row r="285" spans="1:41" s="13" customFormat="1" ht="15.95" customHeight="1" x14ac:dyDescent="0.25">
      <c r="A285" s="1">
        <v>119</v>
      </c>
      <c r="B285" s="11" t="s">
        <v>43</v>
      </c>
      <c r="C285" s="11" t="s">
        <v>50</v>
      </c>
      <c r="D285" s="11" t="s">
        <v>50</v>
      </c>
      <c r="E285" s="36" t="s">
        <v>45</v>
      </c>
      <c r="F285" s="11" t="s">
        <v>46</v>
      </c>
      <c r="G285" s="11">
        <v>2002</v>
      </c>
      <c r="H285" s="11" t="s">
        <v>51</v>
      </c>
      <c r="I285" s="204" t="s">
        <v>41</v>
      </c>
      <c r="J285" s="204" t="s">
        <v>41</v>
      </c>
      <c r="K285" s="204" t="s">
        <v>53</v>
      </c>
      <c r="L285" s="207"/>
      <c r="M285" s="207"/>
      <c r="N285" s="204"/>
      <c r="O285" s="38">
        <v>328.51</v>
      </c>
      <c r="P285" s="39">
        <v>119.88</v>
      </c>
      <c r="Q285" s="40">
        <v>36</v>
      </c>
      <c r="R285" s="41"/>
      <c r="S285" s="39"/>
      <c r="T285" s="41"/>
      <c r="U285" s="115">
        <v>289.39999999999998</v>
      </c>
      <c r="V285" s="39">
        <v>61.199999999999996</v>
      </c>
      <c r="W285" s="40">
        <v>69</v>
      </c>
      <c r="X285" s="11"/>
      <c r="Y285" s="11"/>
      <c r="Z285" s="11"/>
      <c r="AA285" s="11">
        <v>1</v>
      </c>
      <c r="AB285" s="43">
        <f>((U285-O285)/V285)*AA285 * (1-(3/(4*(Q285+W285-2)-1)))</f>
        <v>-0.63438767234387705</v>
      </c>
      <c r="AC285" s="61"/>
      <c r="AD285" s="44">
        <v>1</v>
      </c>
      <c r="AE285" s="44"/>
      <c r="AF285" s="118">
        <v>11.18</v>
      </c>
      <c r="AG285" s="118">
        <v>3.4</v>
      </c>
      <c r="AH285" s="87"/>
      <c r="AI285" s="103">
        <v>10.29</v>
      </c>
      <c r="AJ285" s="13">
        <v>3.1</v>
      </c>
      <c r="AK285" s="11"/>
      <c r="AL285" s="11"/>
      <c r="AM285" s="11"/>
      <c r="AN285" s="11"/>
      <c r="AO285" s="1"/>
    </row>
    <row r="286" spans="1:41" s="1" customFormat="1" ht="15.95" customHeight="1" x14ac:dyDescent="0.25">
      <c r="A286" s="1">
        <v>121</v>
      </c>
      <c r="B286" s="11" t="s">
        <v>43</v>
      </c>
      <c r="C286" s="11" t="s">
        <v>50</v>
      </c>
      <c r="D286" s="11" t="s">
        <v>50</v>
      </c>
      <c r="E286" s="36" t="s">
        <v>45</v>
      </c>
      <c r="F286" s="11" t="s">
        <v>386</v>
      </c>
      <c r="G286" s="11">
        <v>2018</v>
      </c>
      <c r="H286" s="11" t="s">
        <v>51</v>
      </c>
      <c r="I286" s="204"/>
      <c r="J286" s="204"/>
      <c r="K286" s="204" t="s">
        <v>395</v>
      </c>
      <c r="L286" s="207"/>
      <c r="M286" s="207"/>
      <c r="N286" s="204"/>
      <c r="O286" s="38">
        <v>10.3</v>
      </c>
      <c r="P286" s="39">
        <v>1.8</v>
      </c>
      <c r="Q286" s="40">
        <v>11</v>
      </c>
      <c r="R286" s="114">
        <v>743.18</v>
      </c>
      <c r="S286" s="117">
        <v>83.66</v>
      </c>
      <c r="T286" s="41"/>
      <c r="U286" s="38">
        <v>11.3</v>
      </c>
      <c r="V286" s="39">
        <v>1</v>
      </c>
      <c r="W286" s="40">
        <v>28</v>
      </c>
      <c r="X286" s="11"/>
      <c r="Y286" s="11"/>
      <c r="Z286" s="11"/>
      <c r="AA286" s="11">
        <v>-1</v>
      </c>
      <c r="AB286" s="43">
        <f>((U286-O286)/V286)*AA286 * (1-(3/(4*(Q286+W286-2)-1)))</f>
        <v>-0.97959183673469385</v>
      </c>
      <c r="AC286" s="61"/>
      <c r="AD286" s="44">
        <v>1</v>
      </c>
      <c r="AE286" s="44"/>
      <c r="AF286" s="121">
        <f>156/12</f>
        <v>13</v>
      </c>
      <c r="AG286" s="121">
        <f>29.8/12</f>
        <v>2.4833333333333334</v>
      </c>
      <c r="AH286" s="121"/>
      <c r="AI286" s="120">
        <f>142/12</f>
        <v>11.833333333333334</v>
      </c>
      <c r="AJ286" s="120">
        <f>29.5/12</f>
        <v>2.4583333333333335</v>
      </c>
      <c r="AK286" s="11"/>
      <c r="AL286" s="11"/>
      <c r="AM286" s="11"/>
      <c r="AN286" s="11"/>
    </row>
    <row r="287" spans="1:41" s="11" customFormat="1" ht="15.95" customHeight="1" x14ac:dyDescent="0.25">
      <c r="A287" s="1">
        <v>113</v>
      </c>
      <c r="B287" s="11" t="s">
        <v>43</v>
      </c>
      <c r="C287" s="11" t="s">
        <v>50</v>
      </c>
      <c r="D287" s="11" t="s">
        <v>50</v>
      </c>
      <c r="E287" s="36" t="s">
        <v>45</v>
      </c>
      <c r="F287" s="11" t="s">
        <v>292</v>
      </c>
      <c r="G287" s="11">
        <v>1995</v>
      </c>
      <c r="H287" s="11" t="s">
        <v>466</v>
      </c>
      <c r="I287" s="204"/>
      <c r="J287" s="204"/>
      <c r="K287" s="204" t="s">
        <v>467</v>
      </c>
      <c r="L287" s="207" t="s">
        <v>462</v>
      </c>
      <c r="M287" s="207"/>
      <c r="N287" s="204"/>
      <c r="O287" s="38">
        <v>4.9000000000000004</v>
      </c>
      <c r="P287" s="39">
        <v>1.52</v>
      </c>
      <c r="Q287" s="40">
        <v>10</v>
      </c>
      <c r="R287" s="41">
        <v>348</v>
      </c>
      <c r="S287" s="41"/>
      <c r="T287" s="41"/>
      <c r="U287" s="38">
        <v>4.8</v>
      </c>
      <c r="V287" s="41">
        <v>1.55</v>
      </c>
      <c r="W287" s="40">
        <v>10</v>
      </c>
      <c r="Z287" s="143"/>
      <c r="AA287" s="11">
        <v>-1</v>
      </c>
      <c r="AB287" s="43">
        <f>((U287-O287)/V287)*AA287 * (1-(3/(4*(Q287+W287-2)-1)))</f>
        <v>6.1790095411177075E-2</v>
      </c>
      <c r="AD287" s="44">
        <v>1</v>
      </c>
      <c r="AF287" s="11">
        <v>7.53</v>
      </c>
      <c r="AG287" s="11" t="s">
        <v>117</v>
      </c>
      <c r="AI287" s="11">
        <v>7.59</v>
      </c>
      <c r="AJ287" s="11" t="s">
        <v>117</v>
      </c>
      <c r="AL287" s="11" t="s">
        <v>296</v>
      </c>
    </row>
    <row r="288" spans="1:41" s="11" customFormat="1" ht="15.95" customHeight="1" x14ac:dyDescent="0.25">
      <c r="A288" s="1">
        <v>116</v>
      </c>
      <c r="B288" s="13" t="s">
        <v>43</v>
      </c>
      <c r="C288" s="14" t="s">
        <v>50</v>
      </c>
      <c r="D288" s="14" t="s">
        <v>50</v>
      </c>
      <c r="E288" s="36" t="s">
        <v>45</v>
      </c>
      <c r="F288" s="13" t="s">
        <v>519</v>
      </c>
      <c r="G288" s="13">
        <v>2005</v>
      </c>
      <c r="H288" s="13" t="s">
        <v>520</v>
      </c>
      <c r="I288" s="204"/>
      <c r="J288" s="204"/>
      <c r="K288" s="204"/>
      <c r="L288" s="207" t="s">
        <v>521</v>
      </c>
      <c r="M288" s="207"/>
      <c r="N288" s="204"/>
      <c r="O288" s="124">
        <v>54.21</v>
      </c>
      <c r="P288" s="125">
        <v>5.0999999999999996</v>
      </c>
      <c r="Q288" s="126">
        <v>14</v>
      </c>
      <c r="R288" s="86">
        <v>491</v>
      </c>
      <c r="S288" s="138">
        <v>149.19999999999999</v>
      </c>
      <c r="T288" s="97"/>
      <c r="U288" s="124">
        <v>56.38</v>
      </c>
      <c r="V288" s="125">
        <v>2.72</v>
      </c>
      <c r="W288" s="126">
        <v>14</v>
      </c>
      <c r="X288" s="13"/>
      <c r="Y288" s="13"/>
      <c r="Z288" s="13"/>
      <c r="AA288" s="13">
        <v>-1</v>
      </c>
      <c r="AB288" s="43">
        <f>((U288-O288)/V288)*AA288 * (1-(3/(4*(Q288+W288-2)-1)))</f>
        <v>-0.77455739577384408</v>
      </c>
      <c r="AC288" s="128"/>
      <c r="AD288" s="44">
        <v>1</v>
      </c>
      <c r="AE288" s="44"/>
      <c r="AF288" s="13"/>
      <c r="AG288" s="13"/>
      <c r="AH288" s="13"/>
      <c r="AI288" s="129"/>
      <c r="AJ288" s="129"/>
      <c r="AK288" s="118">
        <v>10.8</v>
      </c>
      <c r="AL288" s="118">
        <f>(13-8)/4</f>
        <v>1.25</v>
      </c>
      <c r="AM288" s="118"/>
      <c r="AN288" s="139">
        <v>10.9</v>
      </c>
      <c r="AO288" s="1"/>
    </row>
    <row r="289" spans="1:41" s="1" customFormat="1" ht="15.95" customHeight="1" x14ac:dyDescent="0.25">
      <c r="A289" s="1">
        <v>117</v>
      </c>
      <c r="B289" s="11" t="s">
        <v>43</v>
      </c>
      <c r="C289" s="11" t="s">
        <v>50</v>
      </c>
      <c r="D289" s="11" t="s">
        <v>50</v>
      </c>
      <c r="E289" s="36" t="s">
        <v>45</v>
      </c>
      <c r="F289" s="11" t="s">
        <v>519</v>
      </c>
      <c r="G289" s="11">
        <v>2006</v>
      </c>
      <c r="H289" s="11" t="s">
        <v>522</v>
      </c>
      <c r="I289" s="204"/>
      <c r="J289" s="204"/>
      <c r="K289" s="204"/>
      <c r="L289" s="207" t="s">
        <v>523</v>
      </c>
      <c r="M289" s="207"/>
      <c r="N289" s="204"/>
      <c r="O289" s="38">
        <v>9.57</v>
      </c>
      <c r="P289" s="39">
        <v>3.33</v>
      </c>
      <c r="Q289" s="40">
        <v>14</v>
      </c>
      <c r="R289" s="114">
        <v>491</v>
      </c>
      <c r="S289" s="117">
        <v>149.19999999999999</v>
      </c>
      <c r="T289" s="41"/>
      <c r="U289" s="38">
        <v>15.19</v>
      </c>
      <c r="V289" s="39">
        <v>2.37</v>
      </c>
      <c r="W289" s="40">
        <v>14</v>
      </c>
      <c r="X289" s="11"/>
      <c r="Y289" s="11"/>
      <c r="Z289" s="11"/>
      <c r="AA289" s="11">
        <v>-1</v>
      </c>
      <c r="AB289" s="43">
        <f>((U289-O289)/V289)*AA289 * (1-(3/(4*(Q289+W289-2)-1)))</f>
        <v>-2.3022407930850841</v>
      </c>
      <c r="AC289" s="61"/>
      <c r="AD289" s="44">
        <v>1</v>
      </c>
      <c r="AE289" s="44"/>
      <c r="AF289" s="119">
        <v>10.8</v>
      </c>
      <c r="AG289" s="119">
        <f>(13-8)/4</f>
        <v>1.25</v>
      </c>
      <c r="AH289" s="119"/>
      <c r="AI289" s="120">
        <v>10.9</v>
      </c>
      <c r="AJ289" s="121">
        <f>(13-8)/4</f>
        <v>1.25</v>
      </c>
      <c r="AK289" s="11"/>
      <c r="AL289" s="11"/>
      <c r="AM289" s="11"/>
      <c r="AN289" s="11"/>
    </row>
    <row r="290" spans="1:41" s="1" customFormat="1" ht="15.95" customHeight="1" x14ac:dyDescent="0.25">
      <c r="A290" s="1">
        <v>122</v>
      </c>
      <c r="B290" s="11" t="s">
        <v>43</v>
      </c>
      <c r="C290" s="11" t="s">
        <v>50</v>
      </c>
      <c r="D290" s="11" t="s">
        <v>50</v>
      </c>
      <c r="E290" s="36" t="s">
        <v>45</v>
      </c>
      <c r="F290" s="11" t="s">
        <v>519</v>
      </c>
      <c r="G290" s="11">
        <v>2004</v>
      </c>
      <c r="H290" s="11" t="s">
        <v>51</v>
      </c>
      <c r="I290" s="204"/>
      <c r="J290" s="204"/>
      <c r="K290" s="204"/>
      <c r="L290" s="207"/>
      <c r="M290" s="207"/>
      <c r="N290" s="204"/>
      <c r="O290" s="38">
        <v>23.21</v>
      </c>
      <c r="P290" s="39">
        <v>5.22</v>
      </c>
      <c r="Q290" s="40">
        <v>14</v>
      </c>
      <c r="R290" s="114">
        <v>491</v>
      </c>
      <c r="S290" s="117">
        <v>149.19999999999999</v>
      </c>
      <c r="T290" s="41"/>
      <c r="U290" s="38">
        <v>29.07</v>
      </c>
      <c r="V290" s="39">
        <v>2.92</v>
      </c>
      <c r="W290" s="40">
        <v>14</v>
      </c>
      <c r="X290" s="11"/>
      <c r="Y290" s="11"/>
      <c r="Z290" s="11"/>
      <c r="AA290" s="11">
        <v>-1</v>
      </c>
      <c r="AB290" s="43">
        <f>((U290-O290)/V290)*AA290 * (1-(3/(4*(Q290+W290-2)-1)))</f>
        <v>-1.9483973932703815</v>
      </c>
      <c r="AC290" s="61"/>
      <c r="AD290" s="44">
        <v>1</v>
      </c>
      <c r="AE290" s="44"/>
      <c r="AF290" s="119">
        <v>10.8</v>
      </c>
      <c r="AG290" s="119">
        <f>(13-8)/4</f>
        <v>1.25</v>
      </c>
      <c r="AH290" s="119"/>
      <c r="AI290" s="120">
        <v>10.9</v>
      </c>
      <c r="AJ290" s="121">
        <f>(13-8)/4</f>
        <v>1.25</v>
      </c>
      <c r="AK290" s="11"/>
      <c r="AL290" s="11"/>
      <c r="AM290" s="11"/>
      <c r="AN290" s="11"/>
    </row>
    <row r="291" spans="1:41" s="11" customFormat="1" ht="15" customHeight="1" x14ac:dyDescent="0.25">
      <c r="A291" s="1">
        <v>123</v>
      </c>
      <c r="B291" s="11" t="s">
        <v>43</v>
      </c>
      <c r="C291" s="11" t="s">
        <v>50</v>
      </c>
      <c r="D291" s="11" t="s">
        <v>50</v>
      </c>
      <c r="E291" s="36" t="s">
        <v>45</v>
      </c>
      <c r="F291" s="11" t="s">
        <v>519</v>
      </c>
      <c r="G291" s="11">
        <v>2007</v>
      </c>
      <c r="H291" s="11" t="s">
        <v>529</v>
      </c>
      <c r="I291" s="204"/>
      <c r="J291" s="204"/>
      <c r="K291" s="204"/>
      <c r="L291" s="207" t="s">
        <v>530</v>
      </c>
      <c r="M291" s="207"/>
      <c r="N291" s="204"/>
      <c r="O291" s="38">
        <v>10.14</v>
      </c>
      <c r="P291" s="39">
        <v>2.2799999999999998</v>
      </c>
      <c r="Q291" s="40">
        <v>14</v>
      </c>
      <c r="R291" s="114">
        <v>491</v>
      </c>
      <c r="S291" s="117">
        <v>149.19999999999999</v>
      </c>
      <c r="T291" s="41"/>
      <c r="U291" s="38">
        <v>11.07</v>
      </c>
      <c r="V291" s="39">
        <v>1.25</v>
      </c>
      <c r="W291" s="40">
        <v>14</v>
      </c>
      <c r="AA291" s="11">
        <v>-1</v>
      </c>
      <c r="AB291" s="43">
        <f>((U291-O291)/V291)*AA291 * (1-(3/(4*(Q291+W291-2)-1)))</f>
        <v>-0.72233009708737839</v>
      </c>
      <c r="AC291" s="61"/>
      <c r="AD291" s="44">
        <v>1</v>
      </c>
      <c r="AE291" s="44"/>
      <c r="AF291" s="119">
        <v>10.8</v>
      </c>
      <c r="AG291" s="119">
        <f>(13-8)/4</f>
        <v>1.25</v>
      </c>
      <c r="AH291" s="119"/>
      <c r="AI291" s="120">
        <v>10.9</v>
      </c>
      <c r="AJ291" s="121">
        <f>(13-8)/4</f>
        <v>1.25</v>
      </c>
      <c r="AO291" s="13"/>
    </row>
    <row r="292" spans="1:41" s="1" customFormat="1" ht="15.95" customHeight="1" x14ac:dyDescent="0.25">
      <c r="A292" s="1">
        <v>114</v>
      </c>
      <c r="B292" s="11" t="s">
        <v>43</v>
      </c>
      <c r="C292" s="11" t="s">
        <v>50</v>
      </c>
      <c r="D292" s="11" t="s">
        <v>50</v>
      </c>
      <c r="E292" s="36" t="s">
        <v>45</v>
      </c>
      <c r="F292" s="13" t="s">
        <v>720</v>
      </c>
      <c r="G292" s="13">
        <v>2020</v>
      </c>
      <c r="H292" s="13" t="s">
        <v>721</v>
      </c>
      <c r="I292" s="204"/>
      <c r="J292" s="204"/>
      <c r="K292" s="204"/>
      <c r="L292" s="207" t="s">
        <v>722</v>
      </c>
      <c r="M292" s="204"/>
      <c r="N292" s="204" t="s">
        <v>723</v>
      </c>
      <c r="O292" s="124">
        <v>10</v>
      </c>
      <c r="P292" s="125">
        <f>14/4</f>
        <v>3.5</v>
      </c>
      <c r="Q292" s="126">
        <v>15</v>
      </c>
      <c r="R292" s="41">
        <v>289</v>
      </c>
      <c r="S292" s="39">
        <v>82.8</v>
      </c>
      <c r="T292" s="97"/>
      <c r="U292" s="124">
        <v>10</v>
      </c>
      <c r="V292" s="97">
        <f>7/4</f>
        <v>1.75</v>
      </c>
      <c r="W292" s="126">
        <v>14</v>
      </c>
      <c r="X292" s="127"/>
      <c r="Y292" s="13"/>
      <c r="Z292" s="13"/>
      <c r="AA292" s="13">
        <v>-1</v>
      </c>
      <c r="AB292" s="43">
        <f>((U292-O292)/V292)*AA292 * (1-(3/(4*(Q292+W292-2)-1)))</f>
        <v>0</v>
      </c>
      <c r="AC292" s="128"/>
      <c r="AD292" s="44">
        <v>1</v>
      </c>
      <c r="AE292" s="44"/>
      <c r="AF292" s="13"/>
      <c r="AG292" s="13"/>
      <c r="AH292" s="13"/>
      <c r="AI292" s="129"/>
      <c r="AJ292" s="129"/>
      <c r="AK292" s="13"/>
      <c r="AL292" s="13"/>
      <c r="AM292" s="13"/>
      <c r="AN292" s="13"/>
    </row>
    <row r="293" spans="1:41" s="1" customFormat="1" ht="15.95" customHeight="1" x14ac:dyDescent="0.25">
      <c r="A293" s="1">
        <v>115</v>
      </c>
      <c r="B293" s="11" t="s">
        <v>43</v>
      </c>
      <c r="C293" s="11" t="s">
        <v>50</v>
      </c>
      <c r="D293" s="11" t="s">
        <v>50</v>
      </c>
      <c r="E293" s="36" t="s">
        <v>45</v>
      </c>
      <c r="F293" s="13" t="s">
        <v>720</v>
      </c>
      <c r="G293" s="13">
        <v>2020</v>
      </c>
      <c r="H293" s="13" t="s">
        <v>726</v>
      </c>
      <c r="I293" s="204"/>
      <c r="J293" s="204"/>
      <c r="K293" s="204"/>
      <c r="L293" s="207" t="s">
        <v>727</v>
      </c>
      <c r="M293" s="204"/>
      <c r="N293" s="204" t="s">
        <v>723</v>
      </c>
      <c r="O293" s="124">
        <v>5</v>
      </c>
      <c r="P293" s="125">
        <f>5/4</f>
        <v>1.25</v>
      </c>
      <c r="Q293" s="126">
        <v>15</v>
      </c>
      <c r="R293" s="41">
        <v>289</v>
      </c>
      <c r="S293" s="39">
        <v>82.8</v>
      </c>
      <c r="T293" s="97"/>
      <c r="U293" s="124">
        <v>6</v>
      </c>
      <c r="V293" s="97">
        <f>5/4</f>
        <v>1.25</v>
      </c>
      <c r="W293" s="126">
        <v>14</v>
      </c>
      <c r="X293" s="127"/>
      <c r="Y293" s="13"/>
      <c r="Z293" s="13"/>
      <c r="AA293" s="13">
        <v>-1</v>
      </c>
      <c r="AB293" s="43">
        <f>((U293-O293)/V293)*AA293 * (1-(3/(4*(Q293+W293-2)-1)))</f>
        <v>-0.77757009345794392</v>
      </c>
      <c r="AC293" s="128"/>
      <c r="AD293" s="44">
        <v>1</v>
      </c>
      <c r="AE293" s="44"/>
      <c r="AF293" s="13"/>
      <c r="AG293" s="13"/>
      <c r="AH293" s="13"/>
      <c r="AI293" s="129"/>
      <c r="AJ293" s="129"/>
      <c r="AK293" s="13"/>
      <c r="AL293" s="13"/>
      <c r="AM293" s="13"/>
      <c r="AN293" s="13"/>
    </row>
    <row r="294" spans="1:41" s="1" customFormat="1" ht="15.95" customHeight="1" x14ac:dyDescent="0.25">
      <c r="A294" s="1">
        <v>138</v>
      </c>
      <c r="B294" s="11" t="s">
        <v>54</v>
      </c>
      <c r="C294" s="11" t="s">
        <v>50</v>
      </c>
      <c r="D294" s="11" t="s">
        <v>50</v>
      </c>
      <c r="E294" s="36"/>
      <c r="F294" s="11" t="s">
        <v>292</v>
      </c>
      <c r="G294" s="11">
        <v>1995</v>
      </c>
      <c r="H294" s="11" t="s">
        <v>466</v>
      </c>
      <c r="I294" s="204"/>
      <c r="J294" s="204"/>
      <c r="K294" s="204" t="s">
        <v>468</v>
      </c>
      <c r="L294" s="207" t="s">
        <v>462</v>
      </c>
      <c r="M294" s="207"/>
      <c r="N294" s="204"/>
      <c r="O294" s="38">
        <v>7.2</v>
      </c>
      <c r="P294" s="39">
        <v>1.4</v>
      </c>
      <c r="Q294" s="40">
        <v>10</v>
      </c>
      <c r="R294" s="41">
        <v>1014</v>
      </c>
      <c r="S294" s="41">
        <v>216</v>
      </c>
      <c r="T294" s="41"/>
      <c r="U294" s="38">
        <v>8.8000000000000007</v>
      </c>
      <c r="V294" s="41">
        <v>1.23</v>
      </c>
      <c r="W294" s="40">
        <v>10</v>
      </c>
      <c r="X294" s="11"/>
      <c r="Y294" s="11"/>
      <c r="Z294" s="143"/>
      <c r="AA294" s="11">
        <v>-1</v>
      </c>
      <c r="AB294" s="43">
        <f>((U294-O294)/V294)*AA294 * (1-(3/(4*(Q294+W294-2)-1)))</f>
        <v>-1.2458490782090925</v>
      </c>
      <c r="AC294" s="11"/>
      <c r="AD294" s="44">
        <v>1</v>
      </c>
      <c r="AE294" s="11"/>
      <c r="AF294" s="1">
        <v>20.6</v>
      </c>
      <c r="AG294" s="1">
        <f>(28.6-13.4)/4</f>
        <v>3.8000000000000003</v>
      </c>
      <c r="AH294" s="163" t="s">
        <v>297</v>
      </c>
      <c r="AI294" s="11"/>
      <c r="AJ294" s="11"/>
      <c r="AK294" s="11"/>
      <c r="AL294" s="11"/>
      <c r="AM294" s="11"/>
      <c r="AN294" s="11"/>
    </row>
    <row r="295" spans="1:41" s="1" customFormat="1" ht="15.95" customHeight="1" x14ac:dyDescent="0.25">
      <c r="A295" s="1">
        <v>133</v>
      </c>
      <c r="B295" s="11" t="s">
        <v>54</v>
      </c>
      <c r="C295" s="11" t="s">
        <v>50</v>
      </c>
      <c r="D295" s="11" t="s">
        <v>50</v>
      </c>
      <c r="E295" s="36"/>
      <c r="F295" s="11" t="s">
        <v>137</v>
      </c>
      <c r="G295" s="11">
        <v>2001</v>
      </c>
      <c r="H295" s="11" t="s">
        <v>51</v>
      </c>
      <c r="I295" s="204"/>
      <c r="J295" s="204"/>
      <c r="K295" s="204" t="s">
        <v>543</v>
      </c>
      <c r="L295" s="207"/>
      <c r="M295" s="207"/>
      <c r="N295" s="224"/>
      <c r="O295" s="38">
        <v>5.4</v>
      </c>
      <c r="P295" s="39">
        <v>1.32</v>
      </c>
      <c r="Q295" s="40">
        <v>18</v>
      </c>
      <c r="R295" s="41"/>
      <c r="S295" s="39"/>
      <c r="T295" s="41"/>
      <c r="U295" s="115">
        <v>5.07</v>
      </c>
      <c r="V295" s="39">
        <v>0.94299999999999995</v>
      </c>
      <c r="W295" s="40">
        <v>16</v>
      </c>
      <c r="X295" s="11"/>
      <c r="Y295" s="11"/>
      <c r="Z295" s="11"/>
      <c r="AA295" s="11">
        <v>1</v>
      </c>
      <c r="AB295" s="43">
        <f>((U295-O295)/V295)*AA295 * (1-(3/(4*(Q295+W295-2)-1)))</f>
        <v>-0.3416805136897656</v>
      </c>
      <c r="AC295" s="61" t="e">
        <f>AVERAGE(AC291:AC294)</f>
        <v>#DIV/0!</v>
      </c>
      <c r="AD295" s="44">
        <v>1</v>
      </c>
      <c r="AE295" s="44"/>
      <c r="AF295" s="11"/>
      <c r="AG295" s="87"/>
      <c r="AH295" s="87"/>
      <c r="AI295" s="116"/>
      <c r="AJ295" s="87"/>
      <c r="AK295" s="11"/>
      <c r="AL295" s="11"/>
      <c r="AM295" s="11"/>
      <c r="AN295" s="11"/>
    </row>
    <row r="296" spans="1:41" s="1" customFormat="1" ht="15.95" customHeight="1" x14ac:dyDescent="0.25">
      <c r="A296" s="1">
        <v>137</v>
      </c>
      <c r="B296" s="11" t="s">
        <v>54</v>
      </c>
      <c r="C296" s="11" t="s">
        <v>50</v>
      </c>
      <c r="D296" s="11" t="s">
        <v>50</v>
      </c>
      <c r="E296" s="36"/>
      <c r="F296" s="11" t="s">
        <v>137</v>
      </c>
      <c r="G296" s="11">
        <v>2001</v>
      </c>
      <c r="H296" s="11" t="s">
        <v>51</v>
      </c>
      <c r="I296" s="204"/>
      <c r="J296" s="204"/>
      <c r="K296" s="204" t="s">
        <v>544</v>
      </c>
      <c r="L296" s="207"/>
      <c r="M296" s="207"/>
      <c r="N296" s="204"/>
      <c r="O296" s="38">
        <v>8114.2</v>
      </c>
      <c r="P296" s="39">
        <v>5721.61</v>
      </c>
      <c r="Q296" s="40">
        <v>18</v>
      </c>
      <c r="R296" s="156"/>
      <c r="S296" s="66"/>
      <c r="T296" s="41"/>
      <c r="U296" s="38">
        <v>9264</v>
      </c>
      <c r="V296" s="39">
        <v>9109.58</v>
      </c>
      <c r="W296" s="40">
        <v>16</v>
      </c>
      <c r="X296" s="11"/>
      <c r="Y296" s="11"/>
      <c r="Z296" s="11"/>
      <c r="AA296" s="11">
        <v>1</v>
      </c>
      <c r="AB296" s="43">
        <f>((U296-O296)/V296)*AA296 * (1-(3/(4*(Q296+W296-2)-1)))</f>
        <v>0.12323722609371017</v>
      </c>
      <c r="AC296" s="61" t="e">
        <f>AVERAGE(AC293:AC295)</f>
        <v>#DIV/0!</v>
      </c>
      <c r="AD296" s="44">
        <v>1</v>
      </c>
      <c r="AE296" s="44"/>
      <c r="AF296" s="11"/>
      <c r="AG296" s="11"/>
      <c r="AH296" s="11"/>
      <c r="AI296" s="120"/>
      <c r="AJ296" s="87"/>
      <c r="AK296" s="11"/>
      <c r="AL296" s="11"/>
      <c r="AM296" s="11"/>
      <c r="AN296" s="11"/>
    </row>
    <row r="297" spans="1:41" s="1" customFormat="1" ht="15.95" customHeight="1" x14ac:dyDescent="0.25">
      <c r="A297" s="1">
        <v>124</v>
      </c>
      <c r="B297" s="11" t="s">
        <v>54</v>
      </c>
      <c r="C297" s="11" t="s">
        <v>50</v>
      </c>
      <c r="D297" s="11" t="s">
        <v>50</v>
      </c>
      <c r="E297" s="36"/>
      <c r="F297" s="11" t="s">
        <v>251</v>
      </c>
      <c r="G297" s="11">
        <v>2007</v>
      </c>
      <c r="H297" s="11" t="s">
        <v>736</v>
      </c>
      <c r="I297" s="204"/>
      <c r="J297" s="204"/>
      <c r="K297" s="204"/>
      <c r="L297" s="207"/>
      <c r="M297" s="207" t="s">
        <v>254</v>
      </c>
      <c r="N297" s="204"/>
      <c r="O297" s="38">
        <v>7.53</v>
      </c>
      <c r="P297" s="39">
        <v>2.2000000000000002</v>
      </c>
      <c r="Q297" s="40">
        <v>15</v>
      </c>
      <c r="R297" s="114">
        <v>660</v>
      </c>
      <c r="S297" s="39">
        <v>337</v>
      </c>
      <c r="T297" s="41"/>
      <c r="U297" s="38">
        <v>10</v>
      </c>
      <c r="V297" s="39">
        <v>3</v>
      </c>
      <c r="W297" s="40">
        <v>20</v>
      </c>
      <c r="X297" s="11"/>
      <c r="Y297" s="11"/>
      <c r="Z297" s="11"/>
      <c r="AA297" s="11">
        <v>-1</v>
      </c>
      <c r="AB297" s="43">
        <f>((U297-O297)/V297)*AA297 * (1-(3/(4*(Q297+W297-2)-1)))</f>
        <v>-0.8044783715012721</v>
      </c>
      <c r="AC297" s="61"/>
      <c r="AD297" s="44">
        <v>1</v>
      </c>
      <c r="AE297" s="44"/>
      <c r="AF297" s="119">
        <v>14.8</v>
      </c>
      <c r="AG297" s="11">
        <f>(20-8)/4</f>
        <v>3</v>
      </c>
      <c r="AH297" s="11"/>
      <c r="AI297" s="87"/>
      <c r="AJ297" s="87"/>
      <c r="AK297" s="11"/>
      <c r="AL297" s="11"/>
      <c r="AM297" s="11"/>
      <c r="AN297" s="11"/>
    </row>
    <row r="298" spans="1:41" s="1" customFormat="1" ht="15.95" customHeight="1" x14ac:dyDescent="0.25">
      <c r="A298" s="1">
        <v>125</v>
      </c>
      <c r="B298" s="11" t="s">
        <v>54</v>
      </c>
      <c r="C298" s="11" t="s">
        <v>50</v>
      </c>
      <c r="D298" s="11" t="s">
        <v>50</v>
      </c>
      <c r="E298" s="36"/>
      <c r="F298" s="11" t="s">
        <v>251</v>
      </c>
      <c r="G298" s="11">
        <v>2007</v>
      </c>
      <c r="H298" s="11" t="s">
        <v>737</v>
      </c>
      <c r="I298" s="204"/>
      <c r="J298" s="204"/>
      <c r="K298" s="204"/>
      <c r="L298" s="207"/>
      <c r="M298" s="207"/>
      <c r="N298" s="204"/>
      <c r="O298" s="38">
        <v>8.07</v>
      </c>
      <c r="P298" s="39">
        <v>2.09</v>
      </c>
      <c r="Q298" s="40">
        <v>15</v>
      </c>
      <c r="R298" s="114">
        <v>660</v>
      </c>
      <c r="S298" s="39">
        <v>337</v>
      </c>
      <c r="T298" s="41"/>
      <c r="U298" s="38">
        <v>10</v>
      </c>
      <c r="V298" s="39">
        <v>3</v>
      </c>
      <c r="W298" s="40">
        <v>20</v>
      </c>
      <c r="X298" s="11"/>
      <c r="Y298" s="11"/>
      <c r="Z298" s="11"/>
      <c r="AA298" s="11">
        <v>-1</v>
      </c>
      <c r="AB298" s="43">
        <f>((U298-O298)/V298)*AA298 * (1-(3/(4*(Q298+W298-2)-1)))</f>
        <v>-0.62860050890585228</v>
      </c>
      <c r="AC298" s="61"/>
      <c r="AD298" s="44">
        <v>1</v>
      </c>
      <c r="AE298" s="44"/>
      <c r="AF298" s="119">
        <v>14.8</v>
      </c>
      <c r="AG298" s="11">
        <f>(20-8)/4</f>
        <v>3</v>
      </c>
      <c r="AH298" s="11"/>
      <c r="AI298" s="87"/>
      <c r="AJ298" s="87"/>
      <c r="AK298" s="11"/>
      <c r="AL298" s="11"/>
      <c r="AM298" s="11"/>
      <c r="AN298" s="11"/>
    </row>
    <row r="299" spans="1:41" s="1" customFormat="1" ht="15.95" customHeight="1" x14ac:dyDescent="0.25">
      <c r="A299" s="1">
        <v>126</v>
      </c>
      <c r="B299" s="11" t="s">
        <v>54</v>
      </c>
      <c r="C299" s="11" t="s">
        <v>50</v>
      </c>
      <c r="D299" s="11" t="s">
        <v>50</v>
      </c>
      <c r="E299" s="36"/>
      <c r="F299" s="11" t="s">
        <v>251</v>
      </c>
      <c r="G299" s="11">
        <v>2007</v>
      </c>
      <c r="H299" s="11" t="s">
        <v>742</v>
      </c>
      <c r="I299" s="204"/>
      <c r="J299" s="204"/>
      <c r="K299" s="204"/>
      <c r="L299" s="207"/>
      <c r="M299" s="207" t="s">
        <v>254</v>
      </c>
      <c r="N299" s="204"/>
      <c r="O299" s="38">
        <v>7.73</v>
      </c>
      <c r="P299" s="39">
        <v>2.34</v>
      </c>
      <c r="Q299" s="40">
        <v>15</v>
      </c>
      <c r="R299" s="114">
        <v>660</v>
      </c>
      <c r="S299" s="39">
        <v>337</v>
      </c>
      <c r="T299" s="41"/>
      <c r="U299" s="38">
        <v>10</v>
      </c>
      <c r="V299" s="39">
        <v>3</v>
      </c>
      <c r="W299" s="40">
        <v>20</v>
      </c>
      <c r="X299" s="11"/>
      <c r="Y299" s="11"/>
      <c r="Z299" s="11"/>
      <c r="AA299" s="11">
        <v>-1</v>
      </c>
      <c r="AB299" s="43">
        <f>((U299-O299)/V299)*AA299 * (1-(3/(4*(Q299+W299-2)-1)))</f>
        <v>-0.73933842239185732</v>
      </c>
      <c r="AC299" s="61"/>
      <c r="AD299" s="44">
        <v>1</v>
      </c>
      <c r="AE299" s="44"/>
      <c r="AF299" s="119">
        <v>14.8</v>
      </c>
      <c r="AG299" s="11">
        <f>(20-8)/4</f>
        <v>3</v>
      </c>
      <c r="AH299" s="11"/>
      <c r="AI299" s="87"/>
      <c r="AJ299" s="87"/>
      <c r="AK299" s="11"/>
      <c r="AL299" s="11"/>
      <c r="AM299" s="11"/>
      <c r="AN299" s="11"/>
    </row>
    <row r="300" spans="1:41" s="1" customFormat="1" ht="15.95" customHeight="1" x14ac:dyDescent="0.25">
      <c r="A300" s="1">
        <v>127</v>
      </c>
      <c r="B300" s="11" t="s">
        <v>54</v>
      </c>
      <c r="C300" s="11" t="s">
        <v>50</v>
      </c>
      <c r="D300" s="11" t="s">
        <v>50</v>
      </c>
      <c r="E300" s="36"/>
      <c r="F300" s="11" t="s">
        <v>251</v>
      </c>
      <c r="G300" s="11">
        <v>2007</v>
      </c>
      <c r="H300" s="11" t="s">
        <v>743</v>
      </c>
      <c r="I300" s="204"/>
      <c r="J300" s="204"/>
      <c r="K300" s="204"/>
      <c r="L300" s="207"/>
      <c r="M300" s="207" t="s">
        <v>254</v>
      </c>
      <c r="N300" s="204"/>
      <c r="O300" s="38">
        <v>7.6</v>
      </c>
      <c r="P300" s="39">
        <v>1.72</v>
      </c>
      <c r="Q300" s="40">
        <v>15</v>
      </c>
      <c r="R300" s="114">
        <v>660</v>
      </c>
      <c r="S300" s="39">
        <v>337</v>
      </c>
      <c r="T300" s="41"/>
      <c r="U300" s="38">
        <v>10</v>
      </c>
      <c r="V300" s="39">
        <v>3</v>
      </c>
      <c r="W300" s="40">
        <v>20</v>
      </c>
      <c r="X300" s="11"/>
      <c r="Y300" s="11"/>
      <c r="Z300" s="11"/>
      <c r="AA300" s="11">
        <v>-1</v>
      </c>
      <c r="AB300" s="43">
        <f>((U300-O300)/V300)*AA300 * (1-(3/(4*(Q300+W300-2)-1)))</f>
        <v>-0.7816793893129772</v>
      </c>
      <c r="AC300" s="61"/>
      <c r="AD300" s="44">
        <v>1</v>
      </c>
      <c r="AE300" s="44"/>
      <c r="AF300" s="119">
        <v>14.8</v>
      </c>
      <c r="AG300" s="11">
        <f>(20-8)/4</f>
        <v>3</v>
      </c>
      <c r="AH300" s="11"/>
      <c r="AI300" s="87"/>
      <c r="AJ300" s="87"/>
      <c r="AK300" s="11"/>
      <c r="AL300" s="11"/>
      <c r="AM300" s="11"/>
      <c r="AN300" s="11"/>
    </row>
    <row r="301" spans="1:41" s="1" customFormat="1" ht="15.95" customHeight="1" x14ac:dyDescent="0.25">
      <c r="A301" s="1">
        <v>128</v>
      </c>
      <c r="B301" s="11" t="s">
        <v>54</v>
      </c>
      <c r="C301" s="11" t="s">
        <v>50</v>
      </c>
      <c r="D301" s="11" t="s">
        <v>50</v>
      </c>
      <c r="E301" s="36"/>
      <c r="F301" s="11" t="s">
        <v>251</v>
      </c>
      <c r="G301" s="11">
        <v>2007</v>
      </c>
      <c r="H301" s="11" t="s">
        <v>51</v>
      </c>
      <c r="I301" s="204"/>
      <c r="J301" s="204"/>
      <c r="K301" s="204" t="s">
        <v>747</v>
      </c>
      <c r="L301" s="207"/>
      <c r="M301" s="207" t="s">
        <v>254</v>
      </c>
      <c r="N301" s="204"/>
      <c r="O301" s="38">
        <v>8.8000000000000007</v>
      </c>
      <c r="P301" s="39">
        <v>2.93</v>
      </c>
      <c r="Q301" s="40">
        <v>15</v>
      </c>
      <c r="R301" s="114">
        <v>660</v>
      </c>
      <c r="S301" s="39">
        <v>337</v>
      </c>
      <c r="T301" s="41"/>
      <c r="U301" s="38">
        <v>10</v>
      </c>
      <c r="V301" s="39">
        <v>3</v>
      </c>
      <c r="W301" s="40">
        <v>20</v>
      </c>
      <c r="X301" s="11"/>
      <c r="Y301" s="11"/>
      <c r="Z301" s="11"/>
      <c r="AA301" s="11">
        <v>-1</v>
      </c>
      <c r="AB301" s="43">
        <f>((U301-O301)/V301)*AA301 * (1-(3/(4*(Q301+W301-2)-1)))</f>
        <v>-0.39083969465648827</v>
      </c>
      <c r="AC301" s="61"/>
      <c r="AD301" s="44">
        <v>1</v>
      </c>
      <c r="AE301" s="44"/>
      <c r="AF301" s="119">
        <v>14.8</v>
      </c>
      <c r="AG301" s="11">
        <f>(20-8)/4</f>
        <v>3</v>
      </c>
      <c r="AH301" s="11"/>
      <c r="AI301" s="87"/>
      <c r="AJ301" s="87"/>
      <c r="AK301" s="11"/>
      <c r="AL301" s="11"/>
      <c r="AM301" s="11"/>
      <c r="AN301" s="11"/>
    </row>
    <row r="302" spans="1:41" s="1" customFormat="1" ht="15.95" customHeight="1" x14ac:dyDescent="0.25">
      <c r="A302" s="1">
        <v>159</v>
      </c>
      <c r="B302" s="1" t="s">
        <v>34</v>
      </c>
      <c r="C302" s="14" t="s">
        <v>61</v>
      </c>
      <c r="D302" s="14" t="s">
        <v>61</v>
      </c>
      <c r="E302" s="36" t="s">
        <v>45</v>
      </c>
      <c r="F302" s="14" t="s">
        <v>231</v>
      </c>
      <c r="G302" s="1">
        <v>1994</v>
      </c>
      <c r="H302" s="11" t="s">
        <v>232</v>
      </c>
      <c r="I302" s="204" t="s">
        <v>39</v>
      </c>
      <c r="J302" s="204" t="s">
        <v>39</v>
      </c>
      <c r="K302" s="210" t="s">
        <v>233</v>
      </c>
      <c r="L302" s="220"/>
      <c r="M302" s="220"/>
      <c r="N302" s="220"/>
      <c r="O302" s="57">
        <v>51.9</v>
      </c>
      <c r="P302" s="58">
        <v>8.6999999999999993</v>
      </c>
      <c r="Q302" s="40">
        <v>19</v>
      </c>
      <c r="R302" s="59">
        <v>1417</v>
      </c>
      <c r="S302" s="60"/>
      <c r="T302" s="59"/>
      <c r="U302" s="57">
        <v>39.9</v>
      </c>
      <c r="V302" s="39">
        <v>6.6</v>
      </c>
      <c r="W302" s="40">
        <v>20</v>
      </c>
      <c r="Y302" s="55">
        <f>(U302-O302)/SQRT((V302^2+P302^2)/2)</f>
        <v>-1.5540573797716228</v>
      </c>
      <c r="Z302" s="55"/>
      <c r="AA302" s="14">
        <v>1</v>
      </c>
      <c r="AB302" s="43">
        <f>((U302-O302)/V302)*AA302 * (1-(3/(4*(Q302+W302-2)-1)))</f>
        <v>-1.7810760667903527</v>
      </c>
      <c r="AC302" s="61"/>
      <c r="AD302" s="44">
        <v>1</v>
      </c>
      <c r="AE302" s="44"/>
      <c r="AF302" s="14"/>
      <c r="AG302" s="14"/>
      <c r="AI302" s="62"/>
      <c r="AJ302" s="62"/>
      <c r="AK302" s="68" t="s">
        <v>146</v>
      </c>
      <c r="AL302" s="14" t="s">
        <v>147</v>
      </c>
      <c r="AM302" s="68" t="s">
        <v>117</v>
      </c>
      <c r="AN302" s="14" t="s">
        <v>147</v>
      </c>
    </row>
    <row r="303" spans="1:41" s="1" customFormat="1" ht="15.95" customHeight="1" x14ac:dyDescent="0.25">
      <c r="A303" s="1">
        <v>160</v>
      </c>
      <c r="B303" s="1" t="s">
        <v>34</v>
      </c>
      <c r="C303" s="14" t="s">
        <v>61</v>
      </c>
      <c r="D303" s="14" t="s">
        <v>61</v>
      </c>
      <c r="E303" s="36" t="s">
        <v>45</v>
      </c>
      <c r="F303" s="14" t="s">
        <v>231</v>
      </c>
      <c r="G303" s="1">
        <v>1994</v>
      </c>
      <c r="H303" s="11" t="s">
        <v>232</v>
      </c>
      <c r="I303" s="204" t="s">
        <v>41</v>
      </c>
      <c r="J303" s="204" t="s">
        <v>41</v>
      </c>
      <c r="K303" s="210" t="s">
        <v>234</v>
      </c>
      <c r="L303" s="220"/>
      <c r="M303" s="220"/>
      <c r="N303" s="220"/>
      <c r="O303" s="57">
        <v>1010</v>
      </c>
      <c r="P303" s="58">
        <v>1318</v>
      </c>
      <c r="Q303" s="40">
        <v>19</v>
      </c>
      <c r="R303" s="59">
        <v>1417</v>
      </c>
      <c r="S303" s="60"/>
      <c r="T303" s="59"/>
      <c r="U303" s="57">
        <v>729</v>
      </c>
      <c r="V303" s="39">
        <v>691</v>
      </c>
      <c r="W303" s="40">
        <v>20</v>
      </c>
      <c r="Y303" s="55">
        <f>(U303-O303)/SQRT((V303^2+P303^2)/2)</f>
        <v>-0.26703806949163555</v>
      </c>
      <c r="Z303" s="55"/>
      <c r="AA303" s="14">
        <v>1</v>
      </c>
      <c r="AB303" s="43">
        <f>((U303-O303)/V303)*AA303 * (1-(3/(4*(Q303+W303-2)-1)))</f>
        <v>-0.39835789598038929</v>
      </c>
      <c r="AC303" s="61"/>
      <c r="AD303" s="44">
        <v>1</v>
      </c>
      <c r="AE303" s="44"/>
      <c r="AF303" s="14"/>
      <c r="AG303" s="14"/>
      <c r="AI303" s="62"/>
      <c r="AJ303" s="62"/>
      <c r="AK303" s="68" t="s">
        <v>146</v>
      </c>
      <c r="AL303" s="14" t="s">
        <v>147</v>
      </c>
      <c r="AM303" s="68" t="s">
        <v>117</v>
      </c>
      <c r="AN303" s="14" t="s">
        <v>147</v>
      </c>
    </row>
    <row r="304" spans="1:41" s="1" customFormat="1" ht="15.95" customHeight="1" x14ac:dyDescent="0.25">
      <c r="A304" s="1">
        <v>156</v>
      </c>
      <c r="B304" s="1" t="s">
        <v>34</v>
      </c>
      <c r="C304" s="14" t="s">
        <v>61</v>
      </c>
      <c r="D304" s="14" t="s">
        <v>61</v>
      </c>
      <c r="E304" s="36" t="s">
        <v>45</v>
      </c>
      <c r="F304" s="14" t="s">
        <v>270</v>
      </c>
      <c r="G304" s="1">
        <v>1997</v>
      </c>
      <c r="H304" s="11" t="s">
        <v>232</v>
      </c>
      <c r="I304" s="204"/>
      <c r="J304" s="204"/>
      <c r="K304" s="210" t="s">
        <v>402</v>
      </c>
      <c r="L304" s="220"/>
      <c r="M304" s="220"/>
      <c r="N304" s="220"/>
      <c r="O304" s="57">
        <v>8.6999999999999993</v>
      </c>
      <c r="P304" s="58">
        <v>1.3</v>
      </c>
      <c r="Q304" s="40">
        <v>8</v>
      </c>
      <c r="R304" s="59">
        <v>870</v>
      </c>
      <c r="S304" s="60"/>
      <c r="T304" s="59"/>
      <c r="U304" s="57">
        <v>7.5</v>
      </c>
      <c r="V304" s="39">
        <v>0.8</v>
      </c>
      <c r="W304" s="40">
        <v>8</v>
      </c>
      <c r="Y304" s="55">
        <f>(U304-O304)/SQRT((V304^2+P304^2)/2)</f>
        <v>-1.1117785310689901</v>
      </c>
      <c r="Z304" s="55"/>
      <c r="AA304" s="14">
        <v>1</v>
      </c>
      <c r="AB304" s="43">
        <f>((U304-O304)/V304)*AA304 * (1-(3/(4*(Q304+W304-2)-1)))</f>
        <v>-1.4181818181818173</v>
      </c>
      <c r="AC304" s="61"/>
      <c r="AD304" s="44">
        <v>1</v>
      </c>
      <c r="AE304" s="44"/>
      <c r="AF304" s="14"/>
      <c r="AG304" s="14"/>
      <c r="AI304" s="62"/>
      <c r="AJ304" s="62"/>
      <c r="AK304" s="14">
        <v>4</v>
      </c>
      <c r="AL304" s="14" t="s">
        <v>403</v>
      </c>
      <c r="AM304" s="1" t="s">
        <v>273</v>
      </c>
      <c r="AN304" s="14" t="s">
        <v>403</v>
      </c>
    </row>
    <row r="305" spans="1:41" s="11" customFormat="1" ht="15.95" customHeight="1" x14ac:dyDescent="0.25">
      <c r="A305" s="1">
        <v>169</v>
      </c>
      <c r="B305" s="1" t="s">
        <v>34</v>
      </c>
      <c r="C305" s="14" t="s">
        <v>61</v>
      </c>
      <c r="D305" s="14" t="s">
        <v>61</v>
      </c>
      <c r="E305" s="36" t="s">
        <v>45</v>
      </c>
      <c r="F305" s="14" t="s">
        <v>406</v>
      </c>
      <c r="G305" s="1">
        <v>2004</v>
      </c>
      <c r="H305" s="11" t="s">
        <v>420</v>
      </c>
      <c r="I305" s="204"/>
      <c r="J305" s="204"/>
      <c r="K305" s="210" t="s">
        <v>421</v>
      </c>
      <c r="L305" s="220"/>
      <c r="M305" s="220"/>
      <c r="N305" s="220"/>
      <c r="O305" s="57">
        <v>18.46</v>
      </c>
      <c r="P305" s="58">
        <v>4.88</v>
      </c>
      <c r="Q305" s="40">
        <v>20</v>
      </c>
      <c r="R305" s="59">
        <v>858.5</v>
      </c>
      <c r="S305" s="60"/>
      <c r="T305" s="59"/>
      <c r="U305" s="57">
        <v>22.78</v>
      </c>
      <c r="V305" s="39">
        <v>5.49</v>
      </c>
      <c r="W305" s="40">
        <v>20</v>
      </c>
      <c r="X305" s="1"/>
      <c r="Y305" s="55">
        <f>(U305-O305)/SQRT((V305^2+P305^2)/2)</f>
        <v>0.83173486829623577</v>
      </c>
      <c r="Z305" s="55"/>
      <c r="AA305" s="14">
        <v>-1</v>
      </c>
      <c r="AB305" s="43">
        <f>((U305-O305)/V305)*AA305 * (1-(3/(4*(Q305+W305-2)-1)))</f>
        <v>-0.7712517641949842</v>
      </c>
      <c r="AC305" s="61"/>
      <c r="AD305" s="44">
        <v>1</v>
      </c>
      <c r="AE305" s="44"/>
      <c r="AF305" s="14"/>
      <c r="AG305" s="14"/>
      <c r="AH305" s="1"/>
      <c r="AI305" s="62"/>
      <c r="AJ305" s="62"/>
      <c r="AK305" s="14">
        <v>2</v>
      </c>
      <c r="AL305" s="14" t="s">
        <v>68</v>
      </c>
      <c r="AM305" s="1" t="s">
        <v>69</v>
      </c>
      <c r="AN305" s="14" t="s">
        <v>68</v>
      </c>
      <c r="AO305" s="13"/>
    </row>
    <row r="306" spans="1:41" s="1" customFormat="1" ht="15.95" customHeight="1" x14ac:dyDescent="0.25">
      <c r="A306" s="1">
        <v>157</v>
      </c>
      <c r="B306" s="1" t="s">
        <v>34</v>
      </c>
      <c r="C306" s="14" t="s">
        <v>61</v>
      </c>
      <c r="D306" s="14" t="s">
        <v>61</v>
      </c>
      <c r="E306" s="36" t="s">
        <v>45</v>
      </c>
      <c r="F306" s="14" t="s">
        <v>113</v>
      </c>
      <c r="G306" s="1">
        <v>2017</v>
      </c>
      <c r="H306" s="11" t="s">
        <v>232</v>
      </c>
      <c r="I306" s="204"/>
      <c r="J306" s="204"/>
      <c r="K306" s="210" t="s">
        <v>500</v>
      </c>
      <c r="L306" s="220"/>
      <c r="M306" s="220"/>
      <c r="N306" s="220"/>
      <c r="O306" s="38">
        <v>24.6</v>
      </c>
      <c r="P306" s="58">
        <v>14.7</v>
      </c>
      <c r="Q306" s="40">
        <v>57</v>
      </c>
      <c r="R306" s="59">
        <v>655</v>
      </c>
      <c r="S306" s="60"/>
      <c r="T306" s="59"/>
      <c r="U306" s="57">
        <v>17.3</v>
      </c>
      <c r="V306" s="39">
        <v>10.3</v>
      </c>
      <c r="W306" s="40">
        <v>57</v>
      </c>
      <c r="Y306" s="55">
        <f>(U306-O306)/SQRT((V306^2+P306^2)/2)</f>
        <v>-0.57515986004748754</v>
      </c>
      <c r="Z306" s="55"/>
      <c r="AA306" s="14">
        <v>1</v>
      </c>
      <c r="AB306" s="43">
        <f>((U306-O306)/V306)*AA306 * (1-(3/(4*(Q306+W306-2)-1)))</f>
        <v>-0.70398123411741709</v>
      </c>
      <c r="AC306" s="61"/>
      <c r="AD306" s="44">
        <v>1</v>
      </c>
      <c r="AE306" s="44"/>
      <c r="AF306" s="14"/>
      <c r="AG306" s="14"/>
      <c r="AI306" s="62"/>
      <c r="AJ306" s="62"/>
      <c r="AK306" s="14">
        <v>1</v>
      </c>
      <c r="AL306" s="14" t="s">
        <v>116</v>
      </c>
      <c r="AM306" s="68" t="s">
        <v>117</v>
      </c>
      <c r="AN306" s="14" t="s">
        <v>118</v>
      </c>
    </row>
    <row r="307" spans="1:41" s="13" customFormat="1" ht="15.95" customHeight="1" x14ac:dyDescent="0.25">
      <c r="A307" s="1">
        <v>158</v>
      </c>
      <c r="B307" s="1" t="s">
        <v>34</v>
      </c>
      <c r="C307" s="14" t="s">
        <v>61</v>
      </c>
      <c r="D307" s="14" t="s">
        <v>61</v>
      </c>
      <c r="E307" s="36" t="s">
        <v>45</v>
      </c>
      <c r="F307" s="14" t="s">
        <v>113</v>
      </c>
      <c r="G307" s="1">
        <v>2017</v>
      </c>
      <c r="H307" s="11" t="s">
        <v>232</v>
      </c>
      <c r="I307" s="204"/>
      <c r="J307" s="204"/>
      <c r="K307" s="210" t="s">
        <v>501</v>
      </c>
      <c r="L307" s="220"/>
      <c r="M307" s="220"/>
      <c r="N307" s="220"/>
      <c r="O307" s="57">
        <v>9.3000000000000007</v>
      </c>
      <c r="P307" s="58">
        <v>1.8</v>
      </c>
      <c r="Q307" s="40">
        <v>57</v>
      </c>
      <c r="R307" s="59">
        <v>655</v>
      </c>
      <c r="S307" s="60"/>
      <c r="T307" s="59"/>
      <c r="U307" s="57">
        <v>8.6999999999999993</v>
      </c>
      <c r="V307" s="39">
        <v>1.5</v>
      </c>
      <c r="W307" s="40">
        <v>57</v>
      </c>
      <c r="X307" s="1"/>
      <c r="Y307" s="55">
        <f>(U307-O307)/SQRT((V307^2+P307^2)/2)</f>
        <v>-0.36214298417007496</v>
      </c>
      <c r="Z307" s="55"/>
      <c r="AA307" s="14">
        <v>1</v>
      </c>
      <c r="AB307" s="43">
        <f>((U307-O307)/V307)*AA307 * (1-(3/(4*(Q307+W307-2)-1)))</f>
        <v>-0.3973154362416117</v>
      </c>
      <c r="AC307" s="61"/>
      <c r="AD307" s="44">
        <v>1</v>
      </c>
      <c r="AE307" s="44"/>
      <c r="AF307" s="14"/>
      <c r="AG307" s="14"/>
      <c r="AH307" s="1"/>
      <c r="AI307" s="62"/>
      <c r="AJ307" s="62"/>
      <c r="AK307" s="14">
        <v>1</v>
      </c>
      <c r="AL307" s="14" t="s">
        <v>116</v>
      </c>
      <c r="AM307" s="68" t="s">
        <v>117</v>
      </c>
      <c r="AN307" s="14" t="s">
        <v>118</v>
      </c>
      <c r="AO307" s="1"/>
    </row>
    <row r="308" spans="1:41" s="1" customFormat="1" ht="15.95" customHeight="1" x14ac:dyDescent="0.25">
      <c r="A308" s="1">
        <v>166</v>
      </c>
      <c r="B308" s="11" t="s">
        <v>34</v>
      </c>
      <c r="C308" s="14" t="s">
        <v>61</v>
      </c>
      <c r="D308" s="14" t="s">
        <v>61</v>
      </c>
      <c r="E308" s="36" t="s">
        <v>45</v>
      </c>
      <c r="F308" s="11" t="s">
        <v>301</v>
      </c>
      <c r="G308" s="11">
        <v>2023</v>
      </c>
      <c r="H308" s="11" t="s">
        <v>585</v>
      </c>
      <c r="I308" s="204"/>
      <c r="J308" s="204"/>
      <c r="K308" s="204" t="s">
        <v>303</v>
      </c>
      <c r="L308" s="207" t="s">
        <v>576</v>
      </c>
      <c r="M308" s="204" t="s">
        <v>586</v>
      </c>
      <c r="N308" s="204" t="s">
        <v>587</v>
      </c>
      <c r="O308" s="38">
        <v>46</v>
      </c>
      <c r="P308" s="39">
        <v>9</v>
      </c>
      <c r="Q308" s="40">
        <v>30</v>
      </c>
      <c r="R308" s="41">
        <v>741</v>
      </c>
      <c r="S308" s="97">
        <f>358/1.35</f>
        <v>265.18518518518516</v>
      </c>
      <c r="T308" s="39" t="s">
        <v>307</v>
      </c>
      <c r="U308" s="38">
        <v>52</v>
      </c>
      <c r="V308" s="41">
        <v>9</v>
      </c>
      <c r="W308" s="40">
        <v>54</v>
      </c>
      <c r="X308" s="11" t="s">
        <v>58</v>
      </c>
      <c r="Y308" s="11">
        <v>0.67</v>
      </c>
      <c r="Z308" s="11"/>
      <c r="AA308" s="11">
        <v>-1</v>
      </c>
      <c r="AB308" s="43">
        <f>((U308-O308)/V308)*AA308 * (1-(3/(4*(Q308+W308-2)-1)))</f>
        <v>-0.66055045871559637</v>
      </c>
      <c r="AC308" s="11"/>
      <c r="AD308" s="44">
        <v>1</v>
      </c>
      <c r="AE308" s="44"/>
      <c r="AF308" s="11" t="s">
        <v>58</v>
      </c>
      <c r="AG308" s="11"/>
      <c r="AH308" s="11"/>
      <c r="AI308" s="11"/>
      <c r="AJ308" s="11"/>
      <c r="AK308" s="11"/>
      <c r="AL308" s="11"/>
      <c r="AM308" s="11"/>
      <c r="AN308" s="11"/>
    </row>
    <row r="309" spans="1:41" s="13" customFormat="1" ht="15.95" customHeight="1" x14ac:dyDescent="0.25">
      <c r="A309" s="1">
        <v>164</v>
      </c>
      <c r="B309" s="1" t="s">
        <v>34</v>
      </c>
      <c r="C309" s="14" t="s">
        <v>61</v>
      </c>
      <c r="D309" s="14" t="s">
        <v>61</v>
      </c>
      <c r="E309" s="36" t="s">
        <v>45</v>
      </c>
      <c r="F309" s="11" t="s">
        <v>148</v>
      </c>
      <c r="G309" s="1">
        <v>2017</v>
      </c>
      <c r="H309" s="11" t="s">
        <v>618</v>
      </c>
      <c r="I309" s="204"/>
      <c r="J309" s="204"/>
      <c r="K309" s="210" t="s">
        <v>619</v>
      </c>
      <c r="L309" s="220"/>
      <c r="M309" s="220"/>
      <c r="N309" s="220"/>
      <c r="O309" s="57">
        <v>18.899999999999999</v>
      </c>
      <c r="P309" s="58">
        <v>11.3</v>
      </c>
      <c r="Q309" s="40">
        <v>37</v>
      </c>
      <c r="R309" s="59">
        <v>720</v>
      </c>
      <c r="S309" s="60"/>
      <c r="T309" s="59"/>
      <c r="U309" s="57">
        <v>13.3</v>
      </c>
      <c r="V309" s="39">
        <v>8.8000000000000007</v>
      </c>
      <c r="W309" s="40">
        <v>30</v>
      </c>
      <c r="X309" s="1"/>
      <c r="Y309" s="55">
        <f>(U309-O309)/SQRT((V309^2+P309^2)/2)</f>
        <v>-0.55295327526239435</v>
      </c>
      <c r="Z309" s="55"/>
      <c r="AA309" s="14">
        <v>1</v>
      </c>
      <c r="AB309" s="43">
        <f>((U309-O309)/V309)*AA309 * (1-(3/(4*(Q309+W309-2)-1)))</f>
        <v>-0.62899262899262864</v>
      </c>
      <c r="AC309" s="61"/>
      <c r="AD309" s="44">
        <v>1</v>
      </c>
      <c r="AE309" s="44"/>
      <c r="AF309" s="14"/>
      <c r="AG309" s="14"/>
      <c r="AH309" s="1"/>
      <c r="AI309" s="62"/>
      <c r="AJ309" s="62"/>
      <c r="AK309" s="14">
        <v>1</v>
      </c>
      <c r="AL309" s="14" t="s">
        <v>116</v>
      </c>
      <c r="AM309" s="1" t="s">
        <v>69</v>
      </c>
      <c r="AN309" s="14" t="s">
        <v>118</v>
      </c>
      <c r="AO309" s="1"/>
    </row>
    <row r="310" spans="1:41" s="11" customFormat="1" ht="15.95" customHeight="1" x14ac:dyDescent="0.25">
      <c r="A310" s="1">
        <v>140</v>
      </c>
      <c r="B310" s="1" t="s">
        <v>34</v>
      </c>
      <c r="C310" s="14" t="s">
        <v>61</v>
      </c>
      <c r="D310" s="14" t="s">
        <v>61</v>
      </c>
      <c r="E310" s="36" t="s">
        <v>45</v>
      </c>
      <c r="F310" s="14" t="s">
        <v>670</v>
      </c>
      <c r="G310" s="1">
        <v>2021</v>
      </c>
      <c r="H310" s="11" t="s">
        <v>671</v>
      </c>
      <c r="I310" s="204"/>
      <c r="J310" s="204"/>
      <c r="K310" s="204" t="s">
        <v>672</v>
      </c>
      <c r="L310" s="207"/>
      <c r="M310" s="220"/>
      <c r="N310" s="220"/>
      <c r="O310" s="57">
        <v>144</v>
      </c>
      <c r="P310" s="58">
        <v>65.680000000000007</v>
      </c>
      <c r="Q310" s="40">
        <v>19</v>
      </c>
      <c r="R310" s="59">
        <v>890</v>
      </c>
      <c r="S310" s="60"/>
      <c r="T310" s="59"/>
      <c r="U310" s="57">
        <v>258</v>
      </c>
      <c r="V310" s="39">
        <v>27.51</v>
      </c>
      <c r="W310" s="40">
        <v>25</v>
      </c>
      <c r="X310" s="1"/>
      <c r="Y310" s="55">
        <f>(U310-O310)/SQRT((V310^2+P310^2)/2)</f>
        <v>2.264057730480018</v>
      </c>
      <c r="Z310" s="55"/>
      <c r="AA310" s="14">
        <v>-1</v>
      </c>
      <c r="AB310" s="43">
        <f>((U310-O310)/V310)*AA310 * (1-(3/(4*(Q310+W310-2)-1)))</f>
        <v>-4.0695054819477727</v>
      </c>
      <c r="AC310" s="61"/>
      <c r="AD310" s="44">
        <v>1</v>
      </c>
      <c r="AE310" s="44"/>
      <c r="AF310" s="14"/>
      <c r="AG310" s="14"/>
      <c r="AH310" s="1"/>
      <c r="AI310" s="62"/>
      <c r="AJ310" s="62"/>
      <c r="AK310" s="68">
        <v>2</v>
      </c>
      <c r="AL310" s="68"/>
      <c r="AM310" s="1" t="s">
        <v>69</v>
      </c>
      <c r="AN310" s="68"/>
      <c r="AO310" s="1"/>
    </row>
    <row r="311" spans="1:41" s="1" customFormat="1" ht="15.95" customHeight="1" x14ac:dyDescent="0.25">
      <c r="A311" s="1">
        <v>165</v>
      </c>
      <c r="B311" s="1" t="s">
        <v>34</v>
      </c>
      <c r="C311" s="14" t="s">
        <v>61</v>
      </c>
      <c r="D311" s="14" t="s">
        <v>61</v>
      </c>
      <c r="E311" s="36" t="s">
        <v>45</v>
      </c>
      <c r="F311" s="1" t="s">
        <v>228</v>
      </c>
      <c r="G311" s="1">
        <v>2020</v>
      </c>
      <c r="H311" s="11" t="s">
        <v>618</v>
      </c>
      <c r="I311" s="204"/>
      <c r="J311" s="204"/>
      <c r="K311" s="210" t="s">
        <v>619</v>
      </c>
      <c r="L311" s="220"/>
      <c r="M311" s="220"/>
      <c r="N311" s="220"/>
      <c r="O311" s="57">
        <v>24.2</v>
      </c>
      <c r="P311" s="58">
        <v>12</v>
      </c>
      <c r="Q311" s="40">
        <v>19</v>
      </c>
      <c r="R311" s="59">
        <v>1042</v>
      </c>
      <c r="S311" s="60"/>
      <c r="T311" s="59"/>
      <c r="U311" s="57">
        <v>15.9</v>
      </c>
      <c r="V311" s="39">
        <v>9.6</v>
      </c>
      <c r="W311" s="40">
        <v>19</v>
      </c>
      <c r="Y311" s="55">
        <f>(U311-O311)/SQRT((V311^2+P311^2)/2)</f>
        <v>-0.76381805535102176</v>
      </c>
      <c r="Z311" s="55"/>
      <c r="AA311" s="14">
        <v>1</v>
      </c>
      <c r="AB311" s="43">
        <f>((U311-O311)/V311)*AA311 * (1-(3/(4*(Q311+W311-2)-1)))</f>
        <v>-0.84644522144522139</v>
      </c>
      <c r="AC311" s="61"/>
      <c r="AD311" s="44">
        <v>1</v>
      </c>
      <c r="AE311" s="44"/>
      <c r="AF311" s="14"/>
      <c r="AG311" s="14"/>
      <c r="AI311" s="62"/>
      <c r="AJ311" s="62"/>
      <c r="AK311" s="14">
        <v>1</v>
      </c>
      <c r="AL311" s="14" t="s">
        <v>116</v>
      </c>
      <c r="AM311" s="68" t="s">
        <v>117</v>
      </c>
      <c r="AN311" s="14" t="s">
        <v>118</v>
      </c>
    </row>
    <row r="312" spans="1:41" s="1" customFormat="1" ht="15.95" customHeight="1" x14ac:dyDescent="0.25">
      <c r="A312" s="1">
        <v>161</v>
      </c>
      <c r="B312" s="1" t="s">
        <v>34</v>
      </c>
      <c r="C312" s="14" t="s">
        <v>61</v>
      </c>
      <c r="D312" s="14" t="s">
        <v>61</v>
      </c>
      <c r="E312" s="36" t="s">
        <v>45</v>
      </c>
      <c r="F312" s="11" t="s">
        <v>734</v>
      </c>
      <c r="G312" s="1">
        <v>1996</v>
      </c>
      <c r="H312" s="11" t="s">
        <v>232</v>
      </c>
      <c r="I312" s="204"/>
      <c r="J312" s="204"/>
      <c r="K312" s="204" t="s">
        <v>735</v>
      </c>
      <c r="L312" s="207"/>
      <c r="M312" s="220"/>
      <c r="N312" s="220"/>
      <c r="O312" s="57">
        <v>12.3</v>
      </c>
      <c r="P312" s="58">
        <v>4.53</v>
      </c>
      <c r="Q312" s="40">
        <v>8</v>
      </c>
      <c r="R312" s="59">
        <v>1253.0999999999999</v>
      </c>
      <c r="S312" s="60"/>
      <c r="T312" s="59"/>
      <c r="U312" s="57">
        <v>8.6999999999999993</v>
      </c>
      <c r="V312" s="39">
        <v>1.18</v>
      </c>
      <c r="W312" s="40">
        <v>8</v>
      </c>
      <c r="Y312" s="55">
        <f>(U312-O312)/SQRT((V312^2+P312^2)/2)</f>
        <v>-1.0875859947978659</v>
      </c>
      <c r="Z312" s="55"/>
      <c r="AA312" s="14">
        <v>1</v>
      </c>
      <c r="AB312" s="43">
        <f>((U312-O312)/V312)*AA312 * (1-(3/(4*(Q312+W312-2)-1)))</f>
        <v>-2.8844375963020044</v>
      </c>
      <c r="AC312" s="61"/>
      <c r="AD312" s="44">
        <v>1</v>
      </c>
      <c r="AE312" s="44"/>
      <c r="AF312" s="14"/>
      <c r="AG312" s="14"/>
      <c r="AI312" s="62"/>
      <c r="AJ312" s="62"/>
      <c r="AK312" s="68" t="s">
        <v>146</v>
      </c>
      <c r="AL312" s="68" t="s">
        <v>146</v>
      </c>
      <c r="AM312" s="68" t="s">
        <v>117</v>
      </c>
      <c r="AN312" s="68" t="s">
        <v>146</v>
      </c>
    </row>
    <row r="313" spans="1:41" s="1" customFormat="1" ht="15.95" customHeight="1" x14ac:dyDescent="0.25">
      <c r="A313" s="1">
        <v>141</v>
      </c>
      <c r="B313" s="1" t="s">
        <v>34</v>
      </c>
      <c r="C313" s="14" t="s">
        <v>61</v>
      </c>
      <c r="D313" s="14" t="s">
        <v>61</v>
      </c>
      <c r="E313" s="36" t="s">
        <v>45</v>
      </c>
      <c r="F313" s="14" t="s">
        <v>759</v>
      </c>
      <c r="G313" s="1">
        <v>2013</v>
      </c>
      <c r="H313" s="11" t="s">
        <v>671</v>
      </c>
      <c r="I313" s="204"/>
      <c r="J313" s="204"/>
      <c r="K313" s="210" t="s">
        <v>760</v>
      </c>
      <c r="L313" s="220"/>
      <c r="M313" s="220"/>
      <c r="N313" s="220"/>
      <c r="O313" s="57">
        <v>99.1</v>
      </c>
      <c r="P313" s="58">
        <v>14.9</v>
      </c>
      <c r="Q313" s="40">
        <v>57</v>
      </c>
      <c r="R313" s="69">
        <f>(845.7+774.9)/2</f>
        <v>810.3</v>
      </c>
      <c r="S313" s="70"/>
      <c r="T313" s="69"/>
      <c r="U313" s="57">
        <v>103.6</v>
      </c>
      <c r="V313" s="39">
        <v>13.6</v>
      </c>
      <c r="W313" s="40">
        <v>46</v>
      </c>
      <c r="Y313" s="55">
        <f>(U313-O313)/SQRT((V313^2+P313^2)/2)</f>
        <v>0.31546146331286101</v>
      </c>
      <c r="Z313" s="55"/>
      <c r="AA313" s="14">
        <v>-1</v>
      </c>
      <c r="AB313" s="43">
        <f>((U313-O313)/V313)*AA313 * (1-(3/(4*(Q313+W313-2)-1)))</f>
        <v>-0.32841920887461684</v>
      </c>
      <c r="AC313" s="61"/>
      <c r="AD313" s="44">
        <v>1</v>
      </c>
      <c r="AE313" s="44"/>
      <c r="AF313" s="14"/>
      <c r="AG313" s="14"/>
      <c r="AI313" s="62"/>
      <c r="AJ313" s="62"/>
      <c r="AK313" s="71">
        <v>3</v>
      </c>
      <c r="AL313" s="71" t="s">
        <v>761</v>
      </c>
      <c r="AM313" s="68" t="s">
        <v>117</v>
      </c>
      <c r="AN313" s="71" t="s">
        <v>761</v>
      </c>
    </row>
    <row r="314" spans="1:41" s="1" customFormat="1" ht="15.95" customHeight="1" x14ac:dyDescent="0.25">
      <c r="A314" s="1">
        <v>145</v>
      </c>
      <c r="B314" s="13" t="s">
        <v>43</v>
      </c>
      <c r="C314" s="14" t="s">
        <v>61</v>
      </c>
      <c r="D314" s="14" t="s">
        <v>61</v>
      </c>
      <c r="E314" s="36" t="s">
        <v>36</v>
      </c>
      <c r="F314" s="11" t="s">
        <v>46</v>
      </c>
      <c r="G314" s="13">
        <v>2008</v>
      </c>
      <c r="H314" s="103" t="s">
        <v>346</v>
      </c>
      <c r="I314" s="203"/>
      <c r="J314" s="203"/>
      <c r="K314" s="204" t="s">
        <v>52</v>
      </c>
      <c r="L314" s="207"/>
      <c r="M314" s="207"/>
      <c r="N314" s="204"/>
      <c r="O314" s="146">
        <v>35.21</v>
      </c>
      <c r="P314" s="125">
        <v>4.5956501172304227</v>
      </c>
      <c r="Q314" s="126">
        <v>33</v>
      </c>
      <c r="R314" s="97"/>
      <c r="S314" s="125"/>
      <c r="T314" s="97"/>
      <c r="U314" s="146">
        <v>35.94</v>
      </c>
      <c r="V314" s="125">
        <v>4.6647615158762408</v>
      </c>
      <c r="W314" s="126">
        <v>34</v>
      </c>
      <c r="X314" s="13"/>
      <c r="Y314" s="13"/>
      <c r="Z314" s="13"/>
      <c r="AA314" s="13">
        <v>-1</v>
      </c>
      <c r="AB314" s="43">
        <f>((U314-O314)/V314)*AA314 * (1-(3/(4*(Q314+W314-2)-1)))</f>
        <v>-0.15467980497795325</v>
      </c>
      <c r="AC314" s="128"/>
      <c r="AD314" s="44">
        <v>1</v>
      </c>
      <c r="AE314" s="44"/>
      <c r="AF314" s="13">
        <v>11.18</v>
      </c>
      <c r="AG314" s="129">
        <v>3.4</v>
      </c>
      <c r="AH314" s="129"/>
      <c r="AI314" s="147">
        <v>10.29</v>
      </c>
      <c r="AJ314" s="129">
        <v>3.1</v>
      </c>
      <c r="AK314" s="13"/>
      <c r="AL314" s="13"/>
      <c r="AM314" s="13"/>
      <c r="AN314" s="13"/>
    </row>
    <row r="315" spans="1:41" s="1" customFormat="1" ht="15.95" customHeight="1" x14ac:dyDescent="0.25">
      <c r="A315" s="1">
        <v>139</v>
      </c>
      <c r="B315" s="11" t="s">
        <v>43</v>
      </c>
      <c r="C315" s="14" t="s">
        <v>61</v>
      </c>
      <c r="D315" s="14" t="s">
        <v>61</v>
      </c>
      <c r="E315" s="36" t="s">
        <v>36</v>
      </c>
      <c r="F315" s="11" t="s">
        <v>46</v>
      </c>
      <c r="G315" s="11">
        <v>2008</v>
      </c>
      <c r="H315" s="63" t="s">
        <v>348</v>
      </c>
      <c r="I315" s="204"/>
      <c r="J315" s="204"/>
      <c r="K315" s="204" t="s">
        <v>52</v>
      </c>
      <c r="L315" s="207" t="s">
        <v>349</v>
      </c>
      <c r="M315" s="207"/>
      <c r="N315" s="204"/>
      <c r="O315" s="115">
        <v>3.56</v>
      </c>
      <c r="P315" s="39">
        <v>1.7233687939614086</v>
      </c>
      <c r="Q315" s="40">
        <v>33</v>
      </c>
      <c r="R315" s="41"/>
      <c r="S315" s="39"/>
      <c r="T315" s="41"/>
      <c r="U315" s="115">
        <v>4.6100000000000003</v>
      </c>
      <c r="V315" s="39">
        <v>1.7492855684535902</v>
      </c>
      <c r="W315" s="40">
        <v>34</v>
      </c>
      <c r="X315" s="11"/>
      <c r="Y315" s="11"/>
      <c r="Z315" s="11"/>
      <c r="AA315" s="11">
        <v>-1</v>
      </c>
      <c r="AB315" s="43">
        <f>((U315-O315)/V315)*AA315 * (1-(3/(4*(Q315+W315-2)-1)))</f>
        <v>-0.59329240265516592</v>
      </c>
      <c r="AC315" s="85"/>
      <c r="AD315" s="44">
        <v>1</v>
      </c>
      <c r="AE315" s="44"/>
      <c r="AF315" s="11">
        <v>11.18</v>
      </c>
      <c r="AG315" s="87">
        <v>3.4</v>
      </c>
      <c r="AH315" s="87"/>
      <c r="AI315" s="116">
        <v>10.29</v>
      </c>
      <c r="AJ315" s="87">
        <v>3.1</v>
      </c>
      <c r="AK315" s="11"/>
      <c r="AL315" s="11"/>
      <c r="AM315" s="11"/>
      <c r="AN315" s="11"/>
    </row>
    <row r="316" spans="1:41" s="1" customFormat="1" ht="15.95" customHeight="1" x14ac:dyDescent="0.25">
      <c r="A316" s="1">
        <v>152</v>
      </c>
      <c r="B316" s="11" t="s">
        <v>43</v>
      </c>
      <c r="C316" s="14" t="s">
        <v>61</v>
      </c>
      <c r="D316" s="14" t="s">
        <v>61</v>
      </c>
      <c r="E316" s="36" t="s">
        <v>36</v>
      </c>
      <c r="F316" s="13" t="s">
        <v>287</v>
      </c>
      <c r="G316" s="13">
        <v>2005</v>
      </c>
      <c r="H316" s="11" t="s">
        <v>449</v>
      </c>
      <c r="I316" s="204"/>
      <c r="J316" s="204"/>
      <c r="K316" s="204" t="s">
        <v>450</v>
      </c>
      <c r="L316" s="207"/>
      <c r="M316" s="207" t="s">
        <v>451</v>
      </c>
      <c r="N316" s="204"/>
      <c r="O316" s="38">
        <f>(56+51)/2</f>
        <v>53.5</v>
      </c>
      <c r="P316" s="39">
        <v>10.5</v>
      </c>
      <c r="Q316" s="126">
        <v>26</v>
      </c>
      <c r="R316" s="86">
        <f>(449+529)/2</f>
        <v>489</v>
      </c>
      <c r="S316" s="138">
        <f>(220+142)/2</f>
        <v>181</v>
      </c>
      <c r="T316" s="97"/>
      <c r="U316" s="38">
        <f>(53+43)/2</f>
        <v>48</v>
      </c>
      <c r="V316" s="39">
        <v>8.5</v>
      </c>
      <c r="W316" s="126">
        <v>21</v>
      </c>
      <c r="X316" s="13"/>
      <c r="Y316" s="13"/>
      <c r="Z316" s="13"/>
      <c r="AA316" s="13">
        <v>1</v>
      </c>
      <c r="AB316" s="43">
        <f>((U316-O316)/V316)*AA316 * (1-(3/(4*(Q316+W316-2)-1)))</f>
        <v>-0.63621426224120936</v>
      </c>
      <c r="AC316" s="128"/>
      <c r="AD316" s="44">
        <v>1</v>
      </c>
      <c r="AE316" s="44"/>
      <c r="AF316" s="118">
        <v>12.3</v>
      </c>
      <c r="AG316" s="118">
        <v>3.7</v>
      </c>
      <c r="AH316" s="118"/>
      <c r="AI316" s="139">
        <v>11.8</v>
      </c>
      <c r="AJ316" s="139">
        <v>3.6</v>
      </c>
      <c r="AK316" s="13"/>
      <c r="AL316" s="13"/>
      <c r="AM316" s="13"/>
      <c r="AN316" s="13"/>
      <c r="AO316" s="13"/>
    </row>
    <row r="317" spans="1:41" s="1" customFormat="1" ht="15.95" customHeight="1" x14ac:dyDescent="0.25">
      <c r="A317" s="1">
        <v>163</v>
      </c>
      <c r="B317" s="13" t="s">
        <v>43</v>
      </c>
      <c r="C317" s="14" t="s">
        <v>61</v>
      </c>
      <c r="D317" s="14" t="s">
        <v>61</v>
      </c>
      <c r="E317" s="36" t="s">
        <v>36</v>
      </c>
      <c r="F317" s="118" t="s">
        <v>477</v>
      </c>
      <c r="G317" s="13">
        <v>2002</v>
      </c>
      <c r="H317" s="13" t="s">
        <v>478</v>
      </c>
      <c r="I317" s="204"/>
      <c r="J317" s="204"/>
      <c r="K317" s="204" t="s">
        <v>479</v>
      </c>
      <c r="L317" s="207"/>
      <c r="M317" s="207" t="s">
        <v>480</v>
      </c>
      <c r="N317" s="204"/>
      <c r="O317" s="124">
        <v>12.9</v>
      </c>
      <c r="P317" s="125">
        <v>2.1100000000000003</v>
      </c>
      <c r="Q317" s="126">
        <v>30</v>
      </c>
      <c r="R317" s="86">
        <v>494</v>
      </c>
      <c r="S317" s="138">
        <v>291</v>
      </c>
      <c r="T317" s="97"/>
      <c r="U317" s="124">
        <v>11.16</v>
      </c>
      <c r="V317" s="125">
        <v>1.59</v>
      </c>
      <c r="W317" s="126">
        <v>32</v>
      </c>
      <c r="X317" s="13"/>
      <c r="Y317" s="13"/>
      <c r="Z317" s="13"/>
      <c r="AA317" s="13">
        <v>1</v>
      </c>
      <c r="AB317" s="43">
        <f>((U317-O317)/V317)*AA317 * (1-(3/(4*(Q317+W317-2)-1)))</f>
        <v>-1.0806031420225783</v>
      </c>
      <c r="AC317" s="128"/>
      <c r="AD317" s="44">
        <v>1</v>
      </c>
      <c r="AE317" s="44"/>
      <c r="AF317" s="13">
        <v>12.7</v>
      </c>
      <c r="AG317" s="13">
        <v>1.1000000000000001</v>
      </c>
      <c r="AH317" s="13"/>
      <c r="AI317" s="129">
        <v>13</v>
      </c>
      <c r="AJ317" s="129">
        <v>1.2</v>
      </c>
      <c r="AK317" s="13"/>
      <c r="AL317" s="13"/>
      <c r="AM317" s="13"/>
      <c r="AN317" s="13"/>
    </row>
    <row r="318" spans="1:41" s="11" customFormat="1" ht="15.95" customHeight="1" x14ac:dyDescent="0.25">
      <c r="A318" s="1">
        <v>168</v>
      </c>
      <c r="B318" s="13" t="s">
        <v>43</v>
      </c>
      <c r="C318" s="14" t="s">
        <v>61</v>
      </c>
      <c r="D318" s="14" t="s">
        <v>61</v>
      </c>
      <c r="E318" s="36" t="s">
        <v>36</v>
      </c>
      <c r="F318" s="13" t="s">
        <v>481</v>
      </c>
      <c r="G318" s="13">
        <v>2014</v>
      </c>
      <c r="H318" s="13" t="s">
        <v>494</v>
      </c>
      <c r="I318" s="204"/>
      <c r="J318" s="204"/>
      <c r="K318" s="204" t="s">
        <v>495</v>
      </c>
      <c r="L318" s="207"/>
      <c r="M318" s="207"/>
      <c r="N318" s="204"/>
      <c r="O318" s="124">
        <v>8.6999999999999993</v>
      </c>
      <c r="P318" s="125">
        <v>8.4</v>
      </c>
      <c r="Q318" s="126">
        <v>21</v>
      </c>
      <c r="R318" s="97">
        <v>590</v>
      </c>
      <c r="S318" s="125">
        <v>248</v>
      </c>
      <c r="T318" s="97"/>
      <c r="U318" s="124">
        <v>4.4000000000000004</v>
      </c>
      <c r="V318" s="125">
        <v>4.9000000000000004</v>
      </c>
      <c r="W318" s="126">
        <v>73</v>
      </c>
      <c r="X318" s="13"/>
      <c r="Y318" s="13"/>
      <c r="Z318" s="13"/>
      <c r="AA318" s="13">
        <v>1</v>
      </c>
      <c r="AB318" s="43">
        <f>((U318-O318)/V318)*AA318 * (1-(3/(4*(Q318+W318-2)-1)))</f>
        <v>-0.87037757882444511</v>
      </c>
      <c r="AC318" s="128"/>
      <c r="AD318" s="44">
        <v>1</v>
      </c>
      <c r="AE318" s="44"/>
      <c r="AF318" s="13">
        <v>10.6</v>
      </c>
      <c r="AG318" s="13">
        <v>2.5</v>
      </c>
      <c r="AH318" s="13"/>
      <c r="AI318" s="129">
        <v>10.9</v>
      </c>
      <c r="AJ318" s="129">
        <v>2.2000000000000002</v>
      </c>
      <c r="AK318" s="13"/>
      <c r="AL318" s="13"/>
      <c r="AM318" s="13"/>
      <c r="AN318" s="13"/>
      <c r="AO318" s="1"/>
    </row>
    <row r="319" spans="1:41" s="1" customFormat="1" ht="15.95" customHeight="1" x14ac:dyDescent="0.25">
      <c r="A319" s="1">
        <v>162</v>
      </c>
      <c r="B319" s="11" t="s">
        <v>43</v>
      </c>
      <c r="C319" s="14" t="s">
        <v>61</v>
      </c>
      <c r="D319" s="14" t="s">
        <v>61</v>
      </c>
      <c r="E319" s="36" t="s">
        <v>36</v>
      </c>
      <c r="F319" s="11" t="s">
        <v>300</v>
      </c>
      <c r="G319" s="11">
        <v>2012</v>
      </c>
      <c r="H319" s="11" t="s">
        <v>510</v>
      </c>
      <c r="I319" s="204"/>
      <c r="J319" s="204"/>
      <c r="K319" s="204" t="s">
        <v>511</v>
      </c>
      <c r="L319" s="207"/>
      <c r="M319" s="207"/>
      <c r="N319" s="204"/>
      <c r="O319" s="38">
        <v>183</v>
      </c>
      <c r="P319" s="39">
        <v>77</v>
      </c>
      <c r="Q319" s="40">
        <v>42</v>
      </c>
      <c r="R319" s="41">
        <v>546</v>
      </c>
      <c r="S319" s="39">
        <v>331</v>
      </c>
      <c r="T319" s="41"/>
      <c r="U319" s="38">
        <v>145</v>
      </c>
      <c r="V319" s="39">
        <v>57</v>
      </c>
      <c r="W319" s="40">
        <v>81</v>
      </c>
      <c r="X319" s="11"/>
      <c r="Y319" s="11"/>
      <c r="Z319" s="11"/>
      <c r="AA319" s="11">
        <v>1</v>
      </c>
      <c r="AB319" s="43">
        <f>((U319-O319)/V319)*AA319 * (1-(3/(4*(Q319+W319-2)-1)))</f>
        <v>-0.66252587991718426</v>
      </c>
      <c r="AC319" s="61"/>
      <c r="AD319" s="44">
        <v>1</v>
      </c>
      <c r="AE319" s="44"/>
      <c r="AF319" s="119">
        <v>11.8</v>
      </c>
      <c r="AG319" s="119">
        <v>3.5</v>
      </c>
      <c r="AH319" s="119"/>
      <c r="AI319" s="87">
        <v>12.3</v>
      </c>
      <c r="AJ319" s="87">
        <v>3.2</v>
      </c>
      <c r="AK319" s="11"/>
      <c r="AL319" s="11"/>
      <c r="AM319" s="11"/>
      <c r="AN319" s="11"/>
    </row>
    <row r="320" spans="1:41" s="1" customFormat="1" ht="15.95" customHeight="1" x14ac:dyDescent="0.25">
      <c r="A320" s="1">
        <v>143</v>
      </c>
      <c r="B320" s="13" t="s">
        <v>43</v>
      </c>
      <c r="C320" s="14" t="s">
        <v>61</v>
      </c>
      <c r="D320" s="14" t="s">
        <v>61</v>
      </c>
      <c r="E320" s="36" t="s">
        <v>36</v>
      </c>
      <c r="F320" s="13" t="s">
        <v>720</v>
      </c>
      <c r="G320" s="13">
        <v>2020</v>
      </c>
      <c r="H320" s="13" t="s">
        <v>724</v>
      </c>
      <c r="I320" s="204"/>
      <c r="J320" s="204"/>
      <c r="K320" s="204" t="s">
        <v>725</v>
      </c>
      <c r="L320" s="207"/>
      <c r="M320" s="204"/>
      <c r="N320" s="204" t="s">
        <v>723</v>
      </c>
      <c r="O320" s="124">
        <v>5</v>
      </c>
      <c r="P320" s="125">
        <f>5/4</f>
        <v>1.25</v>
      </c>
      <c r="Q320" s="126">
        <v>15</v>
      </c>
      <c r="R320" s="41">
        <v>289</v>
      </c>
      <c r="S320" s="39">
        <v>82.8</v>
      </c>
      <c r="T320" s="97"/>
      <c r="U320" s="124">
        <v>5</v>
      </c>
      <c r="V320" s="97">
        <f>3/4</f>
        <v>0.75</v>
      </c>
      <c r="W320" s="126">
        <v>14</v>
      </c>
      <c r="X320" s="127"/>
      <c r="Y320" s="13"/>
      <c r="Z320" s="13"/>
      <c r="AA320" s="13">
        <v>-1</v>
      </c>
      <c r="AB320" s="43">
        <f>((U320-O320)/V320)*AA320 * (1-(3/(4*(Q320+W320-2)-1)))</f>
        <v>0</v>
      </c>
      <c r="AC320" s="128"/>
      <c r="AD320" s="44">
        <v>1</v>
      </c>
      <c r="AE320" s="44"/>
      <c r="AF320" s="13"/>
      <c r="AG320" s="13"/>
      <c r="AH320" s="13"/>
      <c r="AI320" s="129"/>
      <c r="AJ320" s="129"/>
      <c r="AK320" s="13"/>
      <c r="AL320" s="13"/>
      <c r="AM320" s="13"/>
      <c r="AN320" s="13"/>
    </row>
    <row r="321" spans="1:41" s="1" customFormat="1" ht="15.95" customHeight="1" x14ac:dyDescent="0.25">
      <c r="A321" s="1">
        <v>142</v>
      </c>
      <c r="B321" s="13" t="s">
        <v>43</v>
      </c>
      <c r="C321" s="14" t="s">
        <v>61</v>
      </c>
      <c r="D321" s="14" t="s">
        <v>61</v>
      </c>
      <c r="E321" s="36" t="s">
        <v>36</v>
      </c>
      <c r="F321" s="13" t="s">
        <v>750</v>
      </c>
      <c r="G321" s="13">
        <v>1995</v>
      </c>
      <c r="H321" s="11" t="s">
        <v>671</v>
      </c>
      <c r="I321" s="204"/>
      <c r="J321" s="204"/>
      <c r="K321" s="204" t="s">
        <v>39</v>
      </c>
      <c r="L321" s="207"/>
      <c r="M321" s="207"/>
      <c r="N321" s="204"/>
      <c r="O321" s="124">
        <v>35.5</v>
      </c>
      <c r="P321" s="125">
        <v>26.6</v>
      </c>
      <c r="Q321" s="148">
        <v>20</v>
      </c>
      <c r="R321" s="97">
        <v>583</v>
      </c>
      <c r="S321" s="125">
        <v>377</v>
      </c>
      <c r="T321" s="97"/>
      <c r="U321" s="124">
        <v>58.5</v>
      </c>
      <c r="V321" s="125">
        <v>34.9</v>
      </c>
      <c r="W321" s="126">
        <v>20</v>
      </c>
      <c r="X321" s="13"/>
      <c r="Y321" s="13"/>
      <c r="Z321" s="13"/>
      <c r="AA321" s="13">
        <v>-1</v>
      </c>
      <c r="AB321" s="43">
        <f>((U321-O321)/V321)*AA321 * (1-(3/(4*(Q321+W321-2)-1)))</f>
        <v>-0.64593256039014024</v>
      </c>
      <c r="AC321" s="128"/>
      <c r="AD321" s="44">
        <v>1</v>
      </c>
      <c r="AE321" s="44"/>
      <c r="AF321" s="129">
        <f>131/12</f>
        <v>10.916666666666666</v>
      </c>
      <c r="AG321" s="129">
        <v>1.3</v>
      </c>
      <c r="AH321" s="129"/>
      <c r="AI321" s="129">
        <v>11</v>
      </c>
      <c r="AJ321" s="129">
        <v>1.1000000000000001</v>
      </c>
      <c r="AK321" s="13"/>
      <c r="AL321" s="13"/>
      <c r="AM321" s="13"/>
      <c r="AN321" s="13"/>
    </row>
    <row r="322" spans="1:41" s="1" customFormat="1" ht="15.95" customHeight="1" x14ac:dyDescent="0.25">
      <c r="A322" s="1">
        <v>155</v>
      </c>
      <c r="B322" s="11" t="s">
        <v>54</v>
      </c>
      <c r="C322" s="14" t="s">
        <v>61</v>
      </c>
      <c r="D322" s="14" t="s">
        <v>61</v>
      </c>
      <c r="E322" s="36"/>
      <c r="F322" s="11" t="s">
        <v>55</v>
      </c>
      <c r="G322" s="11">
        <v>1987</v>
      </c>
      <c r="H322" s="11" t="s">
        <v>56</v>
      </c>
      <c r="I322" s="204" t="s">
        <v>41</v>
      </c>
      <c r="J322" s="204" t="s">
        <v>41</v>
      </c>
      <c r="K322" s="207" t="s">
        <v>62</v>
      </c>
      <c r="L322" s="210"/>
      <c r="M322" s="204"/>
      <c r="N322" s="204"/>
      <c r="O322" s="38">
        <v>415.18</v>
      </c>
      <c r="P322" s="39">
        <v>107.71</v>
      </c>
      <c r="Q322" s="40">
        <v>22</v>
      </c>
      <c r="R322" s="41">
        <v>1529.32</v>
      </c>
      <c r="S322" s="39"/>
      <c r="T322" s="41"/>
      <c r="U322" s="38">
        <v>354.31</v>
      </c>
      <c r="V322" s="41">
        <v>55.72</v>
      </c>
      <c r="W322" s="40">
        <v>12</v>
      </c>
      <c r="X322" s="11" t="s">
        <v>58</v>
      </c>
      <c r="Y322" s="11"/>
      <c r="Z322" s="11"/>
      <c r="AA322" s="11">
        <v>1</v>
      </c>
      <c r="AB322" s="43">
        <f>((U322-O322)/V322)*AA322 * (1-(3/(4*(Q322+W322-2)-1)))</f>
        <v>-1.0666210693512559</v>
      </c>
      <c r="AC322" s="11"/>
      <c r="AD322" s="44">
        <v>1</v>
      </c>
      <c r="AE322" s="44"/>
      <c r="AF322" s="11">
        <v>16.399999999999999</v>
      </c>
      <c r="AG322" s="11">
        <v>5.6</v>
      </c>
      <c r="AH322" s="11"/>
      <c r="AI322" s="11">
        <v>13.4</v>
      </c>
      <c r="AJ322" s="11">
        <v>3.9</v>
      </c>
      <c r="AK322" s="11" t="s">
        <v>59</v>
      </c>
      <c r="AL322" s="11"/>
      <c r="AM322" s="11" t="s">
        <v>63</v>
      </c>
      <c r="AN322" s="11"/>
    </row>
    <row r="323" spans="1:41" s="1" customFormat="1" ht="15.95" customHeight="1" x14ac:dyDescent="0.25">
      <c r="A323" s="1">
        <v>153</v>
      </c>
      <c r="B323" s="11" t="s">
        <v>54</v>
      </c>
      <c r="C323" s="14" t="s">
        <v>61</v>
      </c>
      <c r="D323" s="14" t="s">
        <v>61</v>
      </c>
      <c r="E323" s="36"/>
      <c r="F323" s="11" t="s">
        <v>55</v>
      </c>
      <c r="G323" s="11">
        <v>1987</v>
      </c>
      <c r="H323" s="11" t="s">
        <v>56</v>
      </c>
      <c r="I323" s="204"/>
      <c r="J323" s="204"/>
      <c r="K323" s="207" t="s">
        <v>400</v>
      </c>
      <c r="L323" s="210"/>
      <c r="M323" s="204"/>
      <c r="N323" s="204"/>
      <c r="O323" s="38">
        <v>14.6</v>
      </c>
      <c r="P323" s="39">
        <v>13.84</v>
      </c>
      <c r="Q323" s="40">
        <v>22</v>
      </c>
      <c r="R323" s="41">
        <v>1529.32</v>
      </c>
      <c r="S323" s="39"/>
      <c r="T323" s="41"/>
      <c r="U323" s="38">
        <v>7.16</v>
      </c>
      <c r="V323" s="41">
        <v>12.97</v>
      </c>
      <c r="W323" s="40">
        <v>12</v>
      </c>
      <c r="X323" s="11" t="s">
        <v>58</v>
      </c>
      <c r="Y323" s="11"/>
      <c r="Z323" s="11"/>
      <c r="AA323" s="11">
        <v>1</v>
      </c>
      <c r="AB323" s="43">
        <f>((U323-O323)/V323)*AA323 * (1-(3/(4*(Q323+W323-2)-1)))</f>
        <v>-0.56008110782605514</v>
      </c>
      <c r="AC323" s="11"/>
      <c r="AD323" s="44">
        <v>1</v>
      </c>
      <c r="AE323" s="44"/>
      <c r="AF323" s="11">
        <v>16.399999999999999</v>
      </c>
      <c r="AG323" s="11">
        <v>5.6</v>
      </c>
      <c r="AH323" s="11"/>
      <c r="AI323" s="11">
        <v>13.4</v>
      </c>
      <c r="AJ323" s="11">
        <v>3.9</v>
      </c>
      <c r="AK323" s="11" t="s">
        <v>59</v>
      </c>
      <c r="AL323" s="11"/>
      <c r="AM323" s="11" t="s">
        <v>401</v>
      </c>
      <c r="AN323" s="11"/>
    </row>
    <row r="324" spans="1:41" s="1" customFormat="1" ht="15.95" customHeight="1" x14ac:dyDescent="0.25">
      <c r="A324" s="1">
        <v>170</v>
      </c>
      <c r="B324" s="13" t="s">
        <v>54</v>
      </c>
      <c r="C324" s="14" t="s">
        <v>61</v>
      </c>
      <c r="D324" s="14" t="s">
        <v>61</v>
      </c>
      <c r="E324" s="36"/>
      <c r="F324" s="13" t="s">
        <v>251</v>
      </c>
      <c r="G324" s="13">
        <v>2007</v>
      </c>
      <c r="H324" s="13" t="s">
        <v>748</v>
      </c>
      <c r="I324" s="204"/>
      <c r="J324" s="204"/>
      <c r="K324" s="204" t="s">
        <v>749</v>
      </c>
      <c r="L324" s="207"/>
      <c r="M324" s="207" t="s">
        <v>254</v>
      </c>
      <c r="N324" s="204"/>
      <c r="O324" s="124">
        <v>8.27</v>
      </c>
      <c r="P324" s="125">
        <v>3.89</v>
      </c>
      <c r="Q324" s="126">
        <v>15</v>
      </c>
      <c r="R324" s="86">
        <v>660</v>
      </c>
      <c r="S324" s="125">
        <v>337</v>
      </c>
      <c r="T324" s="97"/>
      <c r="U324" s="124">
        <v>10</v>
      </c>
      <c r="V324" s="125">
        <v>3</v>
      </c>
      <c r="W324" s="126">
        <v>20</v>
      </c>
      <c r="X324" s="13"/>
      <c r="Y324" s="13"/>
      <c r="Z324" s="13"/>
      <c r="AA324" s="13">
        <v>-1</v>
      </c>
      <c r="AB324" s="43">
        <f>((U324-O324)/V324)*AA324 * (1-(3/(4*(Q324+W324-2)-1)))</f>
        <v>-0.56346055979643772</v>
      </c>
      <c r="AC324" s="128"/>
      <c r="AD324" s="44">
        <v>1</v>
      </c>
      <c r="AE324" s="44"/>
      <c r="AF324" s="118">
        <v>14.8</v>
      </c>
      <c r="AG324" s="13">
        <f>(20-8)/4</f>
        <v>3</v>
      </c>
      <c r="AH324" s="13"/>
      <c r="AI324" s="129"/>
      <c r="AJ324" s="129"/>
      <c r="AK324" s="13"/>
      <c r="AL324" s="13"/>
      <c r="AM324" s="13"/>
      <c r="AN324" s="13"/>
    </row>
    <row r="325" spans="1:41" s="1" customFormat="1" ht="15.95" customHeight="1" x14ac:dyDescent="0.25">
      <c r="A325" s="11">
        <v>327</v>
      </c>
      <c r="B325" s="1" t="s">
        <v>34</v>
      </c>
      <c r="C325" s="14" t="s">
        <v>157</v>
      </c>
      <c r="D325" s="14" t="s">
        <v>157</v>
      </c>
      <c r="E325" s="36"/>
      <c r="F325" s="11" t="s">
        <v>148</v>
      </c>
      <c r="G325" s="1">
        <v>2018</v>
      </c>
      <c r="H325" s="11" t="s">
        <v>158</v>
      </c>
      <c r="I325" s="204" t="s">
        <v>39</v>
      </c>
      <c r="J325" s="204" t="s">
        <v>39</v>
      </c>
      <c r="K325" s="210" t="s">
        <v>159</v>
      </c>
      <c r="L325" s="220"/>
      <c r="M325" s="220"/>
      <c r="N325" s="220"/>
      <c r="O325" s="74">
        <v>2</v>
      </c>
      <c r="P325" s="60">
        <v>1.3</v>
      </c>
      <c r="Q325" s="91">
        <v>22</v>
      </c>
      <c r="R325" s="59">
        <v>751.2</v>
      </c>
      <c r="S325" s="60"/>
      <c r="T325" s="59"/>
      <c r="U325" s="74">
        <v>2.2000000000000002</v>
      </c>
      <c r="V325" s="92">
        <v>1.6</v>
      </c>
      <c r="W325" s="91">
        <v>25</v>
      </c>
      <c r="X325" s="14"/>
      <c r="Y325" s="55">
        <f>(U325-O325)/SQRT((V325^2+P325^2)/2)</f>
        <v>0.13719886811400719</v>
      </c>
      <c r="Z325" s="55"/>
      <c r="AA325" s="14">
        <v>1</v>
      </c>
      <c r="AB325" s="43">
        <f>((U325-O325)/V325)*AA325 * (1-(3/(4*(Q325+W325-2)-1)))</f>
        <v>0.122905027932961</v>
      </c>
      <c r="AC325" s="61"/>
      <c r="AD325" s="44">
        <v>1</v>
      </c>
      <c r="AE325" s="44"/>
      <c r="AF325" s="14"/>
      <c r="AG325" s="14"/>
      <c r="AI325" s="62"/>
      <c r="AJ325" s="62"/>
      <c r="AK325" s="14">
        <v>1</v>
      </c>
      <c r="AL325" s="14" t="s">
        <v>116</v>
      </c>
      <c r="AM325" s="1" t="s">
        <v>69</v>
      </c>
      <c r="AN325" s="14" t="s">
        <v>118</v>
      </c>
    </row>
    <row r="326" spans="1:41" s="1" customFormat="1" ht="15.95" customHeight="1" x14ac:dyDescent="0.25">
      <c r="A326" s="11">
        <v>328</v>
      </c>
      <c r="B326" s="1" t="s">
        <v>34</v>
      </c>
      <c r="C326" s="14" t="s">
        <v>157</v>
      </c>
      <c r="D326" s="14" t="s">
        <v>157</v>
      </c>
      <c r="E326" s="36"/>
      <c r="F326" s="11" t="s">
        <v>148</v>
      </c>
      <c r="G326" s="1">
        <v>2018</v>
      </c>
      <c r="H326" s="11" t="s">
        <v>158</v>
      </c>
      <c r="I326" s="204" t="s">
        <v>41</v>
      </c>
      <c r="J326" s="204" t="s">
        <v>41</v>
      </c>
      <c r="K326" s="210" t="s">
        <v>160</v>
      </c>
      <c r="L326" s="220"/>
      <c r="M326" s="220"/>
      <c r="N326" s="220"/>
      <c r="O326" s="74">
        <v>91.6</v>
      </c>
      <c r="P326" s="60">
        <v>44</v>
      </c>
      <c r="Q326" s="91">
        <v>22</v>
      </c>
      <c r="R326" s="59">
        <v>751.2</v>
      </c>
      <c r="S326" s="60"/>
      <c r="T326" s="59"/>
      <c r="U326" s="74">
        <v>76.900000000000006</v>
      </c>
      <c r="V326" s="92">
        <v>23</v>
      </c>
      <c r="W326" s="91">
        <v>25</v>
      </c>
      <c r="X326" s="14"/>
      <c r="Y326" s="55">
        <f>(U326-O326)/SQRT((V326^2+P326^2)/2)</f>
        <v>-0.41872015954347519</v>
      </c>
      <c r="Z326" s="55"/>
      <c r="AA326" s="14">
        <v>1</v>
      </c>
      <c r="AB326" s="43">
        <f>((U326-O326)/V326)*AA326 * (1-(3/(4*(Q326+W326-2)-1)))</f>
        <v>-0.62841875151809523</v>
      </c>
      <c r="AC326" s="61"/>
      <c r="AD326" s="44">
        <v>1</v>
      </c>
      <c r="AE326" s="44"/>
      <c r="AF326" s="14"/>
      <c r="AG326" s="14"/>
      <c r="AI326" s="62"/>
      <c r="AJ326" s="62"/>
      <c r="AK326" s="14">
        <v>1</v>
      </c>
      <c r="AL326" s="14" t="s">
        <v>116</v>
      </c>
      <c r="AM326" s="1" t="s">
        <v>69</v>
      </c>
      <c r="AN326" s="14" t="s">
        <v>118</v>
      </c>
      <c r="AO326" s="13"/>
    </row>
    <row r="327" spans="1:41" s="1" customFormat="1" ht="15.95" customHeight="1" x14ac:dyDescent="0.25">
      <c r="A327" s="11">
        <v>331</v>
      </c>
      <c r="B327" s="1" t="s">
        <v>34</v>
      </c>
      <c r="C327" s="14" t="s">
        <v>157</v>
      </c>
      <c r="D327" s="14" t="s">
        <v>157</v>
      </c>
      <c r="E327" s="36"/>
      <c r="F327" s="11" t="s">
        <v>148</v>
      </c>
      <c r="G327" s="1">
        <v>2018</v>
      </c>
      <c r="H327" s="11" t="s">
        <v>202</v>
      </c>
      <c r="I327" s="204" t="s">
        <v>39</v>
      </c>
      <c r="J327" s="204" t="s">
        <v>39</v>
      </c>
      <c r="K327" s="210" t="s">
        <v>203</v>
      </c>
      <c r="L327" s="220"/>
      <c r="M327" s="220"/>
      <c r="N327" s="220"/>
      <c r="O327" s="74">
        <v>1.3</v>
      </c>
      <c r="P327" s="60">
        <v>1.2</v>
      </c>
      <c r="Q327" s="91">
        <v>22</v>
      </c>
      <c r="R327" s="59">
        <v>751.2</v>
      </c>
      <c r="S327" s="60"/>
      <c r="T327" s="59"/>
      <c r="U327" s="74">
        <v>1.2</v>
      </c>
      <c r="V327" s="92">
        <v>1.2</v>
      </c>
      <c r="W327" s="91">
        <v>25</v>
      </c>
      <c r="X327" s="14"/>
      <c r="Y327" s="55">
        <f>(U327-O327)/SQRT((V327^2+P327^2)/2)</f>
        <v>-8.3333333333333412E-2</v>
      </c>
      <c r="Z327" s="55"/>
      <c r="AA327" s="14">
        <v>1</v>
      </c>
      <c r="AB327" s="43">
        <f>((U327-O327)/V327)*AA327 * (1-(3/(4*(Q327+W327-2)-1)))</f>
        <v>-8.1936685288640676E-2</v>
      </c>
      <c r="AC327" s="61"/>
      <c r="AD327" s="44">
        <v>1</v>
      </c>
      <c r="AE327" s="44"/>
      <c r="AF327" s="14"/>
      <c r="AG327" s="14"/>
      <c r="AI327" s="62"/>
      <c r="AJ327" s="62"/>
      <c r="AK327" s="14">
        <v>1</v>
      </c>
      <c r="AL327" s="14" t="s">
        <v>116</v>
      </c>
      <c r="AM327" s="1" t="s">
        <v>69</v>
      </c>
      <c r="AN327" s="14" t="s">
        <v>118</v>
      </c>
    </row>
    <row r="328" spans="1:41" s="1" customFormat="1" ht="15.95" customHeight="1" x14ac:dyDescent="0.25">
      <c r="A328" s="11">
        <v>332</v>
      </c>
      <c r="B328" s="1" t="s">
        <v>34</v>
      </c>
      <c r="C328" s="14" t="s">
        <v>157</v>
      </c>
      <c r="D328" s="14" t="s">
        <v>157</v>
      </c>
      <c r="E328" s="36"/>
      <c r="F328" s="11" t="s">
        <v>148</v>
      </c>
      <c r="G328" s="1">
        <v>2018</v>
      </c>
      <c r="H328" s="11" t="s">
        <v>204</v>
      </c>
      <c r="I328" s="204" t="s">
        <v>41</v>
      </c>
      <c r="J328" s="204" t="s">
        <v>41</v>
      </c>
      <c r="K328" s="210" t="s">
        <v>205</v>
      </c>
      <c r="L328" s="220"/>
      <c r="M328" s="220"/>
      <c r="N328" s="220"/>
      <c r="O328" s="74">
        <v>157.9</v>
      </c>
      <c r="P328" s="60">
        <v>54.6</v>
      </c>
      <c r="Q328" s="91">
        <v>22</v>
      </c>
      <c r="R328" s="59">
        <v>751.2</v>
      </c>
      <c r="S328" s="60"/>
      <c r="T328" s="59"/>
      <c r="U328" s="74">
        <v>119.2</v>
      </c>
      <c r="V328" s="92">
        <v>40</v>
      </c>
      <c r="W328" s="91">
        <v>25</v>
      </c>
      <c r="X328" s="14"/>
      <c r="Y328" s="55">
        <f>(U328-O328)/SQRT((V328^2+P328^2)/2)</f>
        <v>-0.80860837068414182</v>
      </c>
      <c r="Z328" s="55"/>
      <c r="AA328" s="14">
        <v>1</v>
      </c>
      <c r="AB328" s="43">
        <f>((U328-O328)/V328)*AA328 * (1-(3/(4*(Q328+W328-2)-1)))</f>
        <v>-0.95128491620111733</v>
      </c>
      <c r="AC328" s="61"/>
      <c r="AD328" s="44">
        <v>1</v>
      </c>
      <c r="AE328" s="44"/>
      <c r="AF328" s="14"/>
      <c r="AG328" s="14"/>
      <c r="AI328" s="62"/>
      <c r="AJ328" s="62"/>
      <c r="AK328" s="14">
        <v>1</v>
      </c>
      <c r="AL328" s="14" t="s">
        <v>116</v>
      </c>
      <c r="AM328" s="1" t="s">
        <v>69</v>
      </c>
      <c r="AN328" s="14" t="s">
        <v>118</v>
      </c>
      <c r="AO328" s="13"/>
    </row>
    <row r="329" spans="1:41" s="1" customFormat="1" ht="15.95" customHeight="1" x14ac:dyDescent="0.25">
      <c r="A329" s="11">
        <v>333</v>
      </c>
      <c r="B329" s="1" t="s">
        <v>34</v>
      </c>
      <c r="C329" s="14" t="s">
        <v>157</v>
      </c>
      <c r="D329" s="14" t="s">
        <v>157</v>
      </c>
      <c r="E329" s="36"/>
      <c r="F329" s="11" t="s">
        <v>148</v>
      </c>
      <c r="G329" s="1">
        <v>2018</v>
      </c>
      <c r="H329" s="11" t="s">
        <v>206</v>
      </c>
      <c r="I329" s="204" t="s">
        <v>39</v>
      </c>
      <c r="J329" s="204" t="s">
        <v>39</v>
      </c>
      <c r="K329" s="210" t="s">
        <v>207</v>
      </c>
      <c r="L329" s="220"/>
      <c r="M329" s="220"/>
      <c r="N329" s="220"/>
      <c r="O329" s="74">
        <v>1.1000000000000001</v>
      </c>
      <c r="P329" s="60">
        <v>1.7</v>
      </c>
      <c r="Q329" s="91">
        <v>22</v>
      </c>
      <c r="R329" s="59">
        <v>751.2</v>
      </c>
      <c r="S329" s="60"/>
      <c r="T329" s="59"/>
      <c r="U329" s="74">
        <v>2.2999999999999998</v>
      </c>
      <c r="V329" s="92">
        <v>3.1</v>
      </c>
      <c r="W329" s="91">
        <v>25</v>
      </c>
      <c r="X329" s="14"/>
      <c r="Y329" s="55">
        <f>(U329-O329)/SQRT((V329^2+P329^2)/2)</f>
        <v>0.47999999999999987</v>
      </c>
      <c r="Z329" s="55"/>
      <c r="AA329" s="14">
        <v>1</v>
      </c>
      <c r="AB329" s="43">
        <f>((U329-O329)/V329)*AA329 * (1-(3/(4*(Q329+W329-2)-1)))</f>
        <v>0.38060911876013681</v>
      </c>
      <c r="AC329" s="61"/>
      <c r="AD329" s="44">
        <v>1</v>
      </c>
      <c r="AE329" s="44"/>
      <c r="AF329" s="14"/>
      <c r="AG329" s="14"/>
      <c r="AI329" s="62"/>
      <c r="AJ329" s="62"/>
      <c r="AK329" s="14">
        <v>1</v>
      </c>
      <c r="AL329" s="14" t="s">
        <v>116</v>
      </c>
      <c r="AM329" s="1" t="s">
        <v>69</v>
      </c>
      <c r="AN329" s="14" t="s">
        <v>118</v>
      </c>
      <c r="AO329" s="13"/>
    </row>
    <row r="330" spans="1:41" s="1" customFormat="1" ht="15.95" customHeight="1" x14ac:dyDescent="0.25">
      <c r="A330" s="11">
        <v>334</v>
      </c>
      <c r="B330" s="1" t="s">
        <v>34</v>
      </c>
      <c r="C330" s="14" t="s">
        <v>157</v>
      </c>
      <c r="D330" s="14" t="s">
        <v>157</v>
      </c>
      <c r="E330" s="36"/>
      <c r="F330" s="11" t="s">
        <v>148</v>
      </c>
      <c r="G330" s="1">
        <v>2018</v>
      </c>
      <c r="H330" s="11" t="s">
        <v>208</v>
      </c>
      <c r="I330" s="204" t="s">
        <v>41</v>
      </c>
      <c r="J330" s="204" t="s">
        <v>41</v>
      </c>
      <c r="K330" s="210" t="s">
        <v>209</v>
      </c>
      <c r="L330" s="220"/>
      <c r="M330" s="220"/>
      <c r="N330" s="220"/>
      <c r="O330" s="74">
        <v>58.9</v>
      </c>
      <c r="P330" s="60">
        <v>34.299999999999997</v>
      </c>
      <c r="Q330" s="91">
        <v>22</v>
      </c>
      <c r="R330" s="59">
        <v>751.2</v>
      </c>
      <c r="S330" s="60"/>
      <c r="T330" s="59"/>
      <c r="U330" s="74">
        <v>41</v>
      </c>
      <c r="V330" s="92">
        <v>13</v>
      </c>
      <c r="W330" s="91">
        <v>25</v>
      </c>
      <c r="X330" s="14"/>
      <c r="Y330" s="55">
        <f>(U330-O330)/SQRT((V330^2+P330^2)/2)</f>
        <v>-0.69012505005173985</v>
      </c>
      <c r="Z330" s="55"/>
      <c r="AA330" s="14">
        <v>1</v>
      </c>
      <c r="AB330" s="43">
        <f>((U330-O330)/V330)*AA330 * (1-(3/(4*(Q330+W330-2)-1)))</f>
        <v>-1.3538461538461537</v>
      </c>
      <c r="AC330" s="61"/>
      <c r="AD330" s="44">
        <v>1</v>
      </c>
      <c r="AE330" s="44"/>
      <c r="AF330" s="14"/>
      <c r="AG330" s="14"/>
      <c r="AI330" s="62"/>
      <c r="AJ330" s="62"/>
      <c r="AK330" s="14">
        <v>1</v>
      </c>
      <c r="AL330" s="14" t="s">
        <v>116</v>
      </c>
      <c r="AM330" s="1" t="s">
        <v>69</v>
      </c>
      <c r="AN330" s="14" t="s">
        <v>118</v>
      </c>
      <c r="AO330" s="11"/>
    </row>
    <row r="331" spans="1:41" s="1" customFormat="1" ht="15.95" customHeight="1" x14ac:dyDescent="0.25">
      <c r="A331" s="11">
        <v>329</v>
      </c>
      <c r="B331" s="1" t="s">
        <v>34</v>
      </c>
      <c r="C331" s="14" t="s">
        <v>157</v>
      </c>
      <c r="D331" s="14" t="s">
        <v>157</v>
      </c>
      <c r="E331" s="36"/>
      <c r="F331" s="11" t="s">
        <v>148</v>
      </c>
      <c r="G331" s="1">
        <v>2018</v>
      </c>
      <c r="H331" s="11" t="s">
        <v>598</v>
      </c>
      <c r="I331" s="204"/>
      <c r="J331" s="204"/>
      <c r="K331" s="210" t="s">
        <v>599</v>
      </c>
      <c r="L331" s="220"/>
      <c r="M331" s="220"/>
      <c r="N331" s="220"/>
      <c r="O331" s="74">
        <v>1.1000000000000001</v>
      </c>
      <c r="P331" s="60">
        <v>1.2</v>
      </c>
      <c r="Q331" s="91">
        <v>22</v>
      </c>
      <c r="R331" s="59">
        <v>751.2</v>
      </c>
      <c r="S331" s="60"/>
      <c r="T331" s="59"/>
      <c r="U331" s="74">
        <v>1.4</v>
      </c>
      <c r="V331" s="92">
        <v>1.9</v>
      </c>
      <c r="W331" s="91">
        <v>25</v>
      </c>
      <c r="X331" s="14"/>
      <c r="Y331" s="55">
        <f>(U331-O331)/SQRT((V331^2+P331^2)/2)</f>
        <v>0.18879503265826567</v>
      </c>
      <c r="Z331" s="55"/>
      <c r="AA331" s="14">
        <v>1</v>
      </c>
      <c r="AB331" s="43">
        <f>((U331-O331)/V331)*AA331 * (1-(3/(4*(Q331+W331-2)-1)))</f>
        <v>0.15524845633637155</v>
      </c>
      <c r="AC331" s="61"/>
      <c r="AD331" s="44">
        <v>1</v>
      </c>
      <c r="AE331" s="44"/>
      <c r="AF331" s="14"/>
      <c r="AG331" s="14"/>
      <c r="AI331" s="62"/>
      <c r="AJ331" s="62"/>
      <c r="AK331" s="14">
        <v>1</v>
      </c>
      <c r="AL331" s="14" t="s">
        <v>116</v>
      </c>
      <c r="AM331" s="1" t="s">
        <v>69</v>
      </c>
      <c r="AN331" s="14" t="s">
        <v>118</v>
      </c>
    </row>
    <row r="332" spans="1:41" s="1" customFormat="1" ht="15.95" customHeight="1" x14ac:dyDescent="0.25">
      <c r="A332" s="11">
        <v>330</v>
      </c>
      <c r="B332" s="1" t="s">
        <v>34</v>
      </c>
      <c r="C332" s="14" t="s">
        <v>157</v>
      </c>
      <c r="D332" s="14" t="s">
        <v>157</v>
      </c>
      <c r="E332" s="36"/>
      <c r="F332" s="11" t="s">
        <v>148</v>
      </c>
      <c r="G332" s="1">
        <v>2018</v>
      </c>
      <c r="H332" s="11" t="s">
        <v>598</v>
      </c>
      <c r="I332" s="204"/>
      <c r="J332" s="204"/>
      <c r="K332" s="210" t="s">
        <v>600</v>
      </c>
      <c r="L332" s="220"/>
      <c r="M332" s="220"/>
      <c r="N332" s="220"/>
      <c r="O332" s="74">
        <v>0.6</v>
      </c>
      <c r="P332" s="60">
        <v>1.1000000000000001</v>
      </c>
      <c r="Q332" s="91">
        <v>22</v>
      </c>
      <c r="R332" s="59">
        <v>751.2</v>
      </c>
      <c r="S332" s="60"/>
      <c r="T332" s="59"/>
      <c r="U332" s="74">
        <v>0.3</v>
      </c>
      <c r="V332" s="92">
        <v>0.5</v>
      </c>
      <c r="W332" s="91">
        <v>25</v>
      </c>
      <c r="X332" s="14"/>
      <c r="Y332" s="55">
        <f>(U332-O332)/SQRT((V332^2+P332^2)/2)</f>
        <v>-0.35112344158839165</v>
      </c>
      <c r="Z332" s="55"/>
      <c r="AA332" s="14">
        <v>1</v>
      </c>
      <c r="AB332" s="43">
        <f>((U332-O332)/V332)*AA332 * (1-(3/(4*(Q332+W332-2)-1)))</f>
        <v>-0.58994413407821222</v>
      </c>
      <c r="AC332" s="61"/>
      <c r="AD332" s="44">
        <v>1</v>
      </c>
      <c r="AE332" s="44"/>
      <c r="AF332" s="14"/>
      <c r="AG332" s="14"/>
      <c r="AI332" s="62"/>
      <c r="AJ332" s="62"/>
      <c r="AK332" s="14">
        <v>1</v>
      </c>
      <c r="AL332" s="14" t="s">
        <v>116</v>
      </c>
      <c r="AM332" s="1" t="s">
        <v>69</v>
      </c>
      <c r="AN332" s="14" t="s">
        <v>118</v>
      </c>
    </row>
    <row r="333" spans="1:41" s="1" customFormat="1" ht="15.95" customHeight="1" x14ac:dyDescent="0.25">
      <c r="A333" s="11">
        <v>335</v>
      </c>
      <c r="B333" s="1" t="s">
        <v>34</v>
      </c>
      <c r="C333" s="14" t="s">
        <v>157</v>
      </c>
      <c r="D333" s="14" t="s">
        <v>157</v>
      </c>
      <c r="E333" s="36"/>
      <c r="F333" s="11" t="s">
        <v>148</v>
      </c>
      <c r="G333" s="1">
        <v>2018</v>
      </c>
      <c r="H333" s="11" t="s">
        <v>604</v>
      </c>
      <c r="I333" s="204"/>
      <c r="J333" s="204"/>
      <c r="K333" s="210" t="s">
        <v>605</v>
      </c>
      <c r="L333" s="220"/>
      <c r="M333" s="220"/>
      <c r="N333" s="220"/>
      <c r="O333" s="74">
        <v>0.2</v>
      </c>
      <c r="P333" s="60">
        <v>0.5</v>
      </c>
      <c r="Q333" s="91">
        <v>22</v>
      </c>
      <c r="R333" s="59">
        <v>751.2</v>
      </c>
      <c r="S333" s="60"/>
      <c r="T333" s="59"/>
      <c r="U333" s="74">
        <v>0.4</v>
      </c>
      <c r="V333" s="92">
        <v>0.8</v>
      </c>
      <c r="W333" s="91">
        <v>25</v>
      </c>
      <c r="X333" s="14"/>
      <c r="Y333" s="55">
        <f>(U333-O333)/SQRT((V333^2+P333^2)/2)</f>
        <v>0.29981267559834457</v>
      </c>
      <c r="Z333" s="55"/>
      <c r="AA333" s="14">
        <v>1</v>
      </c>
      <c r="AB333" s="43">
        <f>((U333-O333)/V333)*AA333 * (1-(3/(4*(Q333+W333-2)-1)))</f>
        <v>0.24581005586592178</v>
      </c>
      <c r="AC333" s="61"/>
      <c r="AD333" s="44">
        <v>1</v>
      </c>
      <c r="AE333" s="44"/>
      <c r="AF333" s="14"/>
      <c r="AG333" s="14"/>
      <c r="AI333" s="62"/>
      <c r="AJ333" s="62"/>
      <c r="AK333" s="14">
        <v>1</v>
      </c>
      <c r="AL333" s="14" t="s">
        <v>116</v>
      </c>
      <c r="AM333" s="1" t="s">
        <v>69</v>
      </c>
      <c r="AN333" s="14" t="s">
        <v>118</v>
      </c>
    </row>
    <row r="334" spans="1:41" s="1" customFormat="1" ht="15.95" customHeight="1" x14ac:dyDescent="0.25">
      <c r="A334" s="11">
        <v>336</v>
      </c>
      <c r="B334" s="1" t="s">
        <v>34</v>
      </c>
      <c r="C334" s="14" t="s">
        <v>157</v>
      </c>
      <c r="D334" s="14" t="s">
        <v>157</v>
      </c>
      <c r="E334" s="36"/>
      <c r="F334" s="11" t="s">
        <v>148</v>
      </c>
      <c r="G334" s="1">
        <v>2018</v>
      </c>
      <c r="H334" s="11" t="s">
        <v>627</v>
      </c>
      <c r="I334" s="204"/>
      <c r="J334" s="204"/>
      <c r="K334" s="210" t="s">
        <v>628</v>
      </c>
      <c r="L334" s="220"/>
      <c r="M334" s="220"/>
      <c r="N334" s="220"/>
      <c r="O334" s="74">
        <v>87.7</v>
      </c>
      <c r="P334" s="60">
        <v>7.8</v>
      </c>
      <c r="Q334" s="91">
        <v>33</v>
      </c>
      <c r="R334" s="59">
        <v>751.2</v>
      </c>
      <c r="S334" s="60"/>
      <c r="T334" s="59"/>
      <c r="U334" s="74">
        <v>91.7</v>
      </c>
      <c r="V334" s="92">
        <v>4.5999999999999996</v>
      </c>
      <c r="W334" s="91">
        <v>32</v>
      </c>
      <c r="X334" s="14"/>
      <c r="Y334" s="55">
        <f>(U334-O334)/SQRT((V334^2+P334^2)/2)</f>
        <v>0.62469504755442429</v>
      </c>
      <c r="Z334" s="55"/>
      <c r="AA334" s="14">
        <v>-1</v>
      </c>
      <c r="AB334" s="43">
        <f>((U334-O334)/V334)*AA334 * (1-(3/(4*(Q334+W334-2)-1)))</f>
        <v>-0.85917200762168722</v>
      </c>
      <c r="AC334" s="61"/>
      <c r="AD334" s="44">
        <v>1</v>
      </c>
      <c r="AE334" s="44"/>
      <c r="AF334" s="14"/>
      <c r="AG334" s="14"/>
      <c r="AI334" s="62"/>
      <c r="AJ334" s="62"/>
      <c r="AK334" s="14">
        <v>1</v>
      </c>
      <c r="AL334" s="14" t="s">
        <v>116</v>
      </c>
      <c r="AM334" s="1" t="s">
        <v>69</v>
      </c>
      <c r="AN334" s="14" t="s">
        <v>118</v>
      </c>
      <c r="AO334" s="13"/>
    </row>
    <row r="335" spans="1:41" s="1" customFormat="1" ht="15.95" customHeight="1" x14ac:dyDescent="0.25">
      <c r="A335" s="11">
        <v>337</v>
      </c>
      <c r="B335" s="1" t="s">
        <v>34</v>
      </c>
      <c r="C335" s="14" t="s">
        <v>157</v>
      </c>
      <c r="D335" s="14" t="s">
        <v>157</v>
      </c>
      <c r="E335" s="36"/>
      <c r="F335" s="11" t="s">
        <v>148</v>
      </c>
      <c r="G335" s="1">
        <v>2018</v>
      </c>
      <c r="H335" s="11" t="s">
        <v>631</v>
      </c>
      <c r="I335" s="204"/>
      <c r="J335" s="204"/>
      <c r="K335" s="210" t="s">
        <v>632</v>
      </c>
      <c r="L335" s="220"/>
      <c r="M335" s="220"/>
      <c r="N335" s="220"/>
      <c r="O335" s="74">
        <v>81.099999999999994</v>
      </c>
      <c r="P335" s="60">
        <v>21.2</v>
      </c>
      <c r="Q335" s="91">
        <v>33</v>
      </c>
      <c r="R335" s="59">
        <v>751.2</v>
      </c>
      <c r="S335" s="60"/>
      <c r="T335" s="59"/>
      <c r="U335" s="74">
        <v>86.7</v>
      </c>
      <c r="V335" s="92">
        <v>10.9</v>
      </c>
      <c r="W335" s="91">
        <v>32</v>
      </c>
      <c r="X335" s="14"/>
      <c r="Y335" s="55">
        <f>(U335-O335)/SQRT((V335^2+P335^2)/2)</f>
        <v>0.33222575927430026</v>
      </c>
      <c r="Z335" s="55"/>
      <c r="AA335" s="14">
        <v>-1</v>
      </c>
      <c r="AB335" s="43">
        <f>((U335-O335)/V335)*AA335 * (1-(3/(4*(Q335+W335-2)-1)))</f>
        <v>-0.50762089257648391</v>
      </c>
      <c r="AC335" s="61"/>
      <c r="AD335" s="44">
        <v>1</v>
      </c>
      <c r="AE335" s="44"/>
      <c r="AF335" s="14"/>
      <c r="AG335" s="14"/>
      <c r="AI335" s="62"/>
      <c r="AJ335" s="62"/>
      <c r="AK335" s="14">
        <v>1</v>
      </c>
      <c r="AL335" s="14" t="s">
        <v>116</v>
      </c>
      <c r="AM335" s="1" t="s">
        <v>69</v>
      </c>
      <c r="AN335" s="14" t="s">
        <v>118</v>
      </c>
    </row>
    <row r="336" spans="1:41" s="1" customFormat="1" ht="15.95" customHeight="1" x14ac:dyDescent="0.25">
      <c r="A336" s="11">
        <v>338</v>
      </c>
      <c r="B336" s="1" t="s">
        <v>34</v>
      </c>
      <c r="C336" s="14" t="s">
        <v>157</v>
      </c>
      <c r="D336" s="14" t="s">
        <v>157</v>
      </c>
      <c r="E336" s="36"/>
      <c r="F336" s="11" t="s">
        <v>148</v>
      </c>
      <c r="G336" s="1">
        <v>2018</v>
      </c>
      <c r="H336" s="11" t="s">
        <v>633</v>
      </c>
      <c r="I336" s="204"/>
      <c r="J336" s="204"/>
      <c r="K336" s="210" t="s">
        <v>634</v>
      </c>
      <c r="L336" s="220"/>
      <c r="M336" s="220"/>
      <c r="N336" s="220"/>
      <c r="O336" s="74">
        <v>13.2</v>
      </c>
      <c r="P336" s="60">
        <v>2.5</v>
      </c>
      <c r="Q336" s="91">
        <v>33</v>
      </c>
      <c r="R336" s="59">
        <v>751.2</v>
      </c>
      <c r="S336" s="60"/>
      <c r="T336" s="59"/>
      <c r="U336" s="74">
        <v>14.2</v>
      </c>
      <c r="V336" s="92">
        <v>3</v>
      </c>
      <c r="W336" s="91">
        <v>32</v>
      </c>
      <c r="X336" s="14"/>
      <c r="Y336" s="55">
        <f>(U336-O336)/SQRT((V336^2+P336^2)/2)</f>
        <v>0.36214298417007412</v>
      </c>
      <c r="Z336" s="55"/>
      <c r="AA336" s="14">
        <v>-1</v>
      </c>
      <c r="AB336" s="43">
        <f>((U336-O336)/V336)*AA336 * (1-(3/(4*(Q336+W336-2)-1)))</f>
        <v>-0.3293492695883134</v>
      </c>
      <c r="AC336" s="61"/>
      <c r="AD336" s="44">
        <v>1</v>
      </c>
      <c r="AE336" s="44"/>
      <c r="AF336" s="14"/>
      <c r="AG336" s="14"/>
      <c r="AI336" s="62"/>
      <c r="AJ336" s="62"/>
      <c r="AK336" s="14">
        <v>1</v>
      </c>
      <c r="AL336" s="14" t="s">
        <v>116</v>
      </c>
      <c r="AM336" s="1" t="s">
        <v>69</v>
      </c>
      <c r="AN336" s="14" t="s">
        <v>118</v>
      </c>
    </row>
    <row r="337" spans="1:41" s="1" customFormat="1" ht="15.95" customHeight="1" x14ac:dyDescent="0.25">
      <c r="A337" s="11">
        <v>339</v>
      </c>
      <c r="B337" s="1" t="s">
        <v>34</v>
      </c>
      <c r="C337" s="14" t="s">
        <v>157</v>
      </c>
      <c r="D337" s="14" t="s">
        <v>157</v>
      </c>
      <c r="E337" s="36"/>
      <c r="F337" s="11" t="s">
        <v>148</v>
      </c>
      <c r="G337" s="1">
        <v>2018</v>
      </c>
      <c r="H337" s="11" t="s">
        <v>635</v>
      </c>
      <c r="I337" s="204"/>
      <c r="J337" s="204"/>
      <c r="K337" s="210" t="s">
        <v>636</v>
      </c>
      <c r="L337" s="220"/>
      <c r="M337" s="220"/>
      <c r="N337" s="220"/>
      <c r="O337" s="74">
        <v>2.2000000000000002</v>
      </c>
      <c r="P337" s="60">
        <v>0.4</v>
      </c>
      <c r="Q337" s="91">
        <v>33</v>
      </c>
      <c r="R337" s="59">
        <v>751.2</v>
      </c>
      <c r="S337" s="60"/>
      <c r="T337" s="59"/>
      <c r="U337" s="74">
        <v>2.4</v>
      </c>
      <c r="V337" s="92">
        <v>0.4</v>
      </c>
      <c r="W337" s="91">
        <v>32</v>
      </c>
      <c r="X337" s="14"/>
      <c r="Y337" s="55">
        <f>(U337-O337)/SQRT((V337^2+P337^2)/2)</f>
        <v>0.49999999999999933</v>
      </c>
      <c r="Z337" s="55"/>
      <c r="AA337" s="14">
        <v>-1</v>
      </c>
      <c r="AB337" s="43">
        <f>((U337-O337)/V337)*AA337 * (1-(3/(4*(Q337+W337-2)-1)))</f>
        <v>-0.49402390438246946</v>
      </c>
      <c r="AC337" s="61"/>
      <c r="AD337" s="44">
        <v>1</v>
      </c>
      <c r="AE337" s="44"/>
      <c r="AF337" s="14"/>
      <c r="AG337" s="14"/>
      <c r="AI337" s="62"/>
      <c r="AJ337" s="62"/>
      <c r="AK337" s="14">
        <v>1</v>
      </c>
      <c r="AL337" s="14" t="s">
        <v>116</v>
      </c>
      <c r="AM337" s="1" t="s">
        <v>69</v>
      </c>
      <c r="AN337" s="14" t="s">
        <v>118</v>
      </c>
    </row>
    <row r="338" spans="1:41" s="1" customFormat="1" ht="15.95" customHeight="1" x14ac:dyDescent="0.25">
      <c r="A338" s="11">
        <v>340</v>
      </c>
      <c r="B338" s="1" t="s">
        <v>34</v>
      </c>
      <c r="C338" s="14" t="s">
        <v>157</v>
      </c>
      <c r="D338" s="14" t="s">
        <v>157</v>
      </c>
      <c r="E338" s="36"/>
      <c r="F338" s="11" t="s">
        <v>148</v>
      </c>
      <c r="G338" s="1">
        <v>2017</v>
      </c>
      <c r="H338" s="11" t="s">
        <v>638</v>
      </c>
      <c r="I338" s="204"/>
      <c r="J338" s="204"/>
      <c r="K338" s="210" t="s">
        <v>639</v>
      </c>
      <c r="L338" s="220"/>
      <c r="M338" s="220"/>
      <c r="N338" s="220"/>
      <c r="O338" s="74">
        <v>36</v>
      </c>
      <c r="P338" s="60">
        <v>5.8</v>
      </c>
      <c r="Q338" s="91">
        <v>37</v>
      </c>
      <c r="R338" s="59">
        <v>720</v>
      </c>
      <c r="S338" s="60"/>
      <c r="T338" s="59"/>
      <c r="U338" s="74">
        <v>39.200000000000003</v>
      </c>
      <c r="V338" s="92">
        <v>3.6</v>
      </c>
      <c r="W338" s="91">
        <v>30</v>
      </c>
      <c r="X338" s="14"/>
      <c r="Y338" s="55">
        <f>(U338-O338)/SQRT((V338^2+P338^2)/2)</f>
        <v>0.66293663237203393</v>
      </c>
      <c r="Z338" s="55"/>
      <c r="AA338" s="14">
        <v>-1</v>
      </c>
      <c r="AB338" s="43">
        <f>((U338-O338)/V338)*AA338 * (1-(3/(4*(Q338+W338-2)-1)))</f>
        <v>-0.87859287859287938</v>
      </c>
      <c r="AC338" s="61"/>
      <c r="AD338" s="44">
        <v>1</v>
      </c>
      <c r="AE338" s="44"/>
      <c r="AF338" s="14"/>
      <c r="AG338" s="14"/>
      <c r="AI338" s="62"/>
      <c r="AJ338" s="62"/>
      <c r="AK338" s="14">
        <v>1</v>
      </c>
      <c r="AL338" s="14" t="s">
        <v>116</v>
      </c>
      <c r="AM338" s="1" t="s">
        <v>69</v>
      </c>
      <c r="AN338" s="14" t="s">
        <v>118</v>
      </c>
    </row>
    <row r="339" spans="1:41" s="1" customFormat="1" ht="15.95" customHeight="1" x14ac:dyDescent="0.25">
      <c r="A339" s="11">
        <v>341</v>
      </c>
      <c r="B339" s="1" t="s">
        <v>34</v>
      </c>
      <c r="C339" s="14" t="s">
        <v>157</v>
      </c>
      <c r="D339" s="14" t="s">
        <v>157</v>
      </c>
      <c r="E339" s="36"/>
      <c r="F339" s="11" t="s">
        <v>148</v>
      </c>
      <c r="G339" s="1">
        <v>2017</v>
      </c>
      <c r="H339" s="11" t="s">
        <v>640</v>
      </c>
      <c r="I339" s="204"/>
      <c r="J339" s="204"/>
      <c r="K339" s="210" t="s">
        <v>641</v>
      </c>
      <c r="L339" s="220"/>
      <c r="M339" s="220"/>
      <c r="N339" s="220"/>
      <c r="O339" s="74">
        <v>58.4</v>
      </c>
      <c r="P339" s="60">
        <v>8.6999999999999993</v>
      </c>
      <c r="Q339" s="91">
        <v>37</v>
      </c>
      <c r="R339" s="59">
        <v>720</v>
      </c>
      <c r="S339" s="60"/>
      <c r="T339" s="59"/>
      <c r="U339" s="74">
        <v>64.2</v>
      </c>
      <c r="V339" s="92">
        <v>7.2</v>
      </c>
      <c r="W339" s="91">
        <v>30</v>
      </c>
      <c r="X339" s="14"/>
      <c r="Y339" s="55">
        <f>(U339-O339)/SQRT((V339^2+P339^2)/2)</f>
        <v>0.72633473153983363</v>
      </c>
      <c r="Z339" s="55"/>
      <c r="AA339" s="14">
        <v>-1</v>
      </c>
      <c r="AB339" s="43">
        <f>((U339-O339)/V339)*AA339 * (1-(3/(4*(Q339+W339-2)-1)))</f>
        <v>-0.7962247962247968</v>
      </c>
      <c r="AC339" s="61"/>
      <c r="AD339" s="44">
        <v>1</v>
      </c>
      <c r="AE339" s="100">
        <f>AVERAGE(AB322:AB339)</f>
        <v>-0.48644469266651158</v>
      </c>
      <c r="AF339" s="14"/>
      <c r="AG339" s="14"/>
      <c r="AI339" s="62"/>
      <c r="AJ339" s="62"/>
      <c r="AK339" s="14">
        <v>1</v>
      </c>
      <c r="AL339" s="14" t="s">
        <v>116</v>
      </c>
      <c r="AM339" s="1" t="s">
        <v>69</v>
      </c>
      <c r="AN339" s="14" t="s">
        <v>118</v>
      </c>
    </row>
    <row r="340" spans="1:41" s="1" customFormat="1" ht="15.95" customHeight="1" x14ac:dyDescent="0.25">
      <c r="A340" s="11">
        <v>506</v>
      </c>
      <c r="B340" s="1" t="s">
        <v>34</v>
      </c>
      <c r="C340" s="1" t="s">
        <v>324</v>
      </c>
      <c r="D340" s="1" t="s">
        <v>324</v>
      </c>
      <c r="E340" s="36"/>
      <c r="F340" s="14" t="s">
        <v>37</v>
      </c>
      <c r="G340" s="1">
        <v>2022</v>
      </c>
      <c r="H340" s="11" t="s">
        <v>325</v>
      </c>
      <c r="I340" s="204"/>
      <c r="J340" s="204"/>
      <c r="K340" s="204" t="s">
        <v>326</v>
      </c>
      <c r="L340" s="207"/>
      <c r="M340" s="220"/>
      <c r="N340" s="220"/>
      <c r="O340" s="74">
        <v>97</v>
      </c>
      <c r="P340" s="58">
        <v>11.9</v>
      </c>
      <c r="Q340" s="40">
        <v>20</v>
      </c>
      <c r="R340" s="59">
        <v>702.3</v>
      </c>
      <c r="S340" s="60"/>
      <c r="T340" s="59"/>
      <c r="U340" s="57">
        <v>105.1</v>
      </c>
      <c r="V340" s="39">
        <v>13.7</v>
      </c>
      <c r="W340" s="40">
        <v>40</v>
      </c>
      <c r="X340" s="14"/>
      <c r="Y340" s="55">
        <f>(U340-O340)/SQRT((V340^2+P340^2)/2)</f>
        <v>0.63125401202298137</v>
      </c>
      <c r="Z340" s="55"/>
      <c r="AA340" s="14">
        <v>-1</v>
      </c>
      <c r="AB340" s="43">
        <f>((U340-O340)/V340)*AA340 * (1-(3/(4*(Q340+W340-2)-1)))</f>
        <v>-0.58356242297848093</v>
      </c>
      <c r="AC340" s="61"/>
      <c r="AD340" s="44">
        <v>1</v>
      </c>
      <c r="AE340" s="44"/>
      <c r="AF340" s="14"/>
      <c r="AG340" s="14"/>
      <c r="AI340" s="62"/>
      <c r="AJ340" s="62"/>
      <c r="AK340" s="14">
        <v>1</v>
      </c>
      <c r="AL340" s="14"/>
    </row>
    <row r="341" spans="1:41" s="13" customFormat="1" ht="15.95" customHeight="1" x14ac:dyDescent="0.25">
      <c r="A341" s="11">
        <v>512</v>
      </c>
      <c r="B341" s="1" t="s">
        <v>34</v>
      </c>
      <c r="C341" s="1" t="s">
        <v>324</v>
      </c>
      <c r="D341" s="1" t="s">
        <v>324</v>
      </c>
      <c r="E341" s="36"/>
      <c r="F341" s="14" t="s">
        <v>270</v>
      </c>
      <c r="G341" s="1">
        <v>1997</v>
      </c>
      <c r="H341" s="11" t="s">
        <v>404</v>
      </c>
      <c r="I341" s="204"/>
      <c r="J341" s="204"/>
      <c r="K341" s="210" t="s">
        <v>405</v>
      </c>
      <c r="L341" s="220"/>
      <c r="M341" s="210"/>
      <c r="N341" s="210"/>
      <c r="O341" s="57">
        <v>104.5</v>
      </c>
      <c r="P341" s="58">
        <v>10.46</v>
      </c>
      <c r="Q341" s="40">
        <v>8</v>
      </c>
      <c r="R341" s="42">
        <v>870</v>
      </c>
      <c r="S341" s="58"/>
      <c r="T341" s="42"/>
      <c r="U341" s="57">
        <v>104.5</v>
      </c>
      <c r="V341" s="39">
        <v>11.31</v>
      </c>
      <c r="W341" s="40">
        <v>15</v>
      </c>
      <c r="X341" s="1"/>
      <c r="Y341" s="55">
        <f>(U341-O341)/SQRT((V341^2+P341^2)/2)</f>
        <v>0</v>
      </c>
      <c r="Z341" s="55"/>
      <c r="AA341" s="1">
        <v>-1</v>
      </c>
      <c r="AB341" s="43">
        <f>((U341-O341)/V341)*AA341 * (1-(3/(4*(Q341+W341-2)-1)))</f>
        <v>0</v>
      </c>
      <c r="AC341" s="61"/>
      <c r="AD341" s="44">
        <v>1</v>
      </c>
      <c r="AE341" s="44"/>
      <c r="AF341" s="14"/>
      <c r="AG341" s="14"/>
      <c r="AH341" s="1"/>
      <c r="AI341" s="62"/>
      <c r="AJ341" s="62"/>
      <c r="AK341" s="1">
        <v>4</v>
      </c>
      <c r="AL341" s="1" t="s">
        <v>215</v>
      </c>
      <c r="AM341" s="14" t="s">
        <v>273</v>
      </c>
      <c r="AN341" s="1" t="s">
        <v>215</v>
      </c>
      <c r="AO341" s="1"/>
    </row>
    <row r="342" spans="1:41" s="1" customFormat="1" ht="15.95" customHeight="1" x14ac:dyDescent="0.25">
      <c r="A342" s="11">
        <v>510</v>
      </c>
      <c r="B342" s="1" t="s">
        <v>34</v>
      </c>
      <c r="C342" s="1" t="s">
        <v>324</v>
      </c>
      <c r="D342" s="1" t="s">
        <v>324</v>
      </c>
      <c r="E342" s="36"/>
      <c r="F342" s="1" t="s">
        <v>406</v>
      </c>
      <c r="G342" s="1">
        <v>2004</v>
      </c>
      <c r="H342" s="11" t="s">
        <v>422</v>
      </c>
      <c r="I342" s="204"/>
      <c r="J342" s="204"/>
      <c r="K342" s="210" t="s">
        <v>345</v>
      </c>
      <c r="L342" s="220"/>
      <c r="M342" s="210"/>
      <c r="N342" s="210"/>
      <c r="O342" s="57">
        <v>112.3</v>
      </c>
      <c r="P342" s="58">
        <v>9.68</v>
      </c>
      <c r="Q342" s="40">
        <v>20</v>
      </c>
      <c r="R342" s="42">
        <v>859</v>
      </c>
      <c r="S342" s="58"/>
      <c r="T342" s="42"/>
      <c r="U342" s="57">
        <v>114.65</v>
      </c>
      <c r="V342" s="39">
        <v>10.43</v>
      </c>
      <c r="W342" s="40">
        <v>20</v>
      </c>
      <c r="Y342" s="55">
        <f>(U342-O342)/SQRT((V342^2+P342^2)/2)</f>
        <v>0.23355220150051281</v>
      </c>
      <c r="Z342" s="55"/>
      <c r="AA342" s="1">
        <v>-1</v>
      </c>
      <c r="AB342" s="43">
        <f>((U342-O342)/V342)*AA342 * (1-(3/(4*(Q342+W342-2)-1)))</f>
        <v>-0.22083521172369647</v>
      </c>
      <c r="AC342" s="61"/>
      <c r="AD342" s="44">
        <v>1</v>
      </c>
      <c r="AE342" s="44"/>
      <c r="AF342" s="14"/>
      <c r="AG342" s="14"/>
      <c r="AI342" s="62"/>
      <c r="AJ342" s="62"/>
      <c r="AK342" s="1">
        <v>2</v>
      </c>
      <c r="AL342" s="1" t="s">
        <v>68</v>
      </c>
      <c r="AM342" s="14" t="s">
        <v>69</v>
      </c>
      <c r="AN342" s="1" t="s">
        <v>68</v>
      </c>
      <c r="AO342" s="11"/>
    </row>
    <row r="343" spans="1:41" s="13" customFormat="1" ht="15.95" customHeight="1" x14ac:dyDescent="0.25">
      <c r="A343" s="11">
        <v>511</v>
      </c>
      <c r="B343" s="1" t="s">
        <v>34</v>
      </c>
      <c r="C343" s="1" t="s">
        <v>324</v>
      </c>
      <c r="D343" s="1" t="s">
        <v>324</v>
      </c>
      <c r="E343" s="36"/>
      <c r="F343" s="1" t="s">
        <v>406</v>
      </c>
      <c r="G343" s="1">
        <v>2004</v>
      </c>
      <c r="H343" s="11" t="s">
        <v>423</v>
      </c>
      <c r="I343" s="204"/>
      <c r="J343" s="204"/>
      <c r="K343" s="210" t="s">
        <v>345</v>
      </c>
      <c r="L343" s="220"/>
      <c r="M343" s="210"/>
      <c r="N343" s="210"/>
      <c r="O343" s="57">
        <v>108.55</v>
      </c>
      <c r="P343" s="58">
        <v>9.4700000000000006</v>
      </c>
      <c r="Q343" s="40">
        <v>20</v>
      </c>
      <c r="R343" s="42">
        <v>859</v>
      </c>
      <c r="S343" s="58"/>
      <c r="T343" s="42"/>
      <c r="U343" s="57">
        <v>107.2</v>
      </c>
      <c r="V343" s="39">
        <v>10.84</v>
      </c>
      <c r="W343" s="40">
        <v>20</v>
      </c>
      <c r="X343" s="1"/>
      <c r="Y343" s="55">
        <f>(U343-O343)/SQRT((V343^2+P343^2)/2)</f>
        <v>-0.13263802280519524</v>
      </c>
      <c r="Z343" s="55"/>
      <c r="AA343" s="1">
        <v>-1</v>
      </c>
      <c r="AB343" s="43">
        <f>((U343-O343)/V343)*AA343 * (1-(3/(4*(Q343+W343-2)-1)))</f>
        <v>0.12206446567776885</v>
      </c>
      <c r="AC343" s="61"/>
      <c r="AD343" s="44">
        <v>1</v>
      </c>
      <c r="AE343" s="44"/>
      <c r="AF343" s="14"/>
      <c r="AG343" s="14"/>
      <c r="AH343" s="1"/>
      <c r="AI343" s="62"/>
      <c r="AJ343" s="62"/>
      <c r="AK343" s="1">
        <v>2</v>
      </c>
      <c r="AL343" s="1" t="s">
        <v>68</v>
      </c>
      <c r="AM343" s="14" t="s">
        <v>69</v>
      </c>
      <c r="AN343" s="1" t="s">
        <v>68</v>
      </c>
      <c r="AO343" s="98"/>
    </row>
    <row r="344" spans="1:41" s="1" customFormat="1" ht="15.95" customHeight="1" x14ac:dyDescent="0.25">
      <c r="A344" s="11">
        <v>508</v>
      </c>
      <c r="B344" s="1" t="s">
        <v>34</v>
      </c>
      <c r="C344" s="1" t="s">
        <v>324</v>
      </c>
      <c r="D344" s="1" t="s">
        <v>324</v>
      </c>
      <c r="E344" s="36"/>
      <c r="F344" s="1" t="s">
        <v>65</v>
      </c>
      <c r="G344" s="1">
        <v>2005</v>
      </c>
      <c r="H344" s="11" t="s">
        <v>427</v>
      </c>
      <c r="I344" s="204"/>
      <c r="J344" s="204"/>
      <c r="K344" s="210" t="s">
        <v>428</v>
      </c>
      <c r="L344" s="220"/>
      <c r="M344" s="210"/>
      <c r="N344" s="210"/>
      <c r="O344" s="57">
        <v>107.04</v>
      </c>
      <c r="P344" s="58">
        <v>12.01</v>
      </c>
      <c r="Q344" s="40">
        <v>25</v>
      </c>
      <c r="R344" s="42">
        <v>759</v>
      </c>
      <c r="S344" s="58"/>
      <c r="T344" s="42"/>
      <c r="U344" s="57">
        <v>107.28</v>
      </c>
      <c r="V344" s="39">
        <v>10.35</v>
      </c>
      <c r="W344" s="40">
        <v>25</v>
      </c>
      <c r="Y344" s="55">
        <f>(U344-O344)/SQRT((V344^2+P344^2)/2)</f>
        <v>2.1407990807067737E-2</v>
      </c>
      <c r="Z344" s="55"/>
      <c r="AA344" s="1">
        <v>-1</v>
      </c>
      <c r="AB344" s="43">
        <f>((U344-O344)/V344)*AA344 * (1-(3/(4*(Q344+W344-2)-1)))</f>
        <v>-2.2824189999240733E-2</v>
      </c>
      <c r="AC344" s="61"/>
      <c r="AD344" s="44">
        <v>1</v>
      </c>
      <c r="AE344" s="44"/>
      <c r="AF344" s="14"/>
      <c r="AG344" s="14"/>
      <c r="AI344" s="62"/>
      <c r="AJ344" s="62"/>
      <c r="AK344" s="1">
        <v>2</v>
      </c>
      <c r="AL344" s="1" t="s">
        <v>68</v>
      </c>
      <c r="AM344" s="14" t="s">
        <v>69</v>
      </c>
      <c r="AN344" s="1" t="s">
        <v>68</v>
      </c>
    </row>
    <row r="345" spans="1:41" s="1" customFormat="1" ht="15.95" customHeight="1" x14ac:dyDescent="0.25">
      <c r="A345" s="11">
        <v>516</v>
      </c>
      <c r="B345" s="1" t="s">
        <v>34</v>
      </c>
      <c r="C345" s="1" t="s">
        <v>324</v>
      </c>
      <c r="D345" s="1" t="s">
        <v>324</v>
      </c>
      <c r="E345" s="36"/>
      <c r="F345" s="1" t="s">
        <v>429</v>
      </c>
      <c r="G345" s="1">
        <v>2007</v>
      </c>
      <c r="H345" s="11" t="s">
        <v>427</v>
      </c>
      <c r="I345" s="204"/>
      <c r="J345" s="204"/>
      <c r="K345" s="210" t="s">
        <v>430</v>
      </c>
      <c r="L345" s="220"/>
      <c r="M345" s="210"/>
      <c r="N345" s="210"/>
      <c r="O345" s="57">
        <v>101.48</v>
      </c>
      <c r="P345" s="58">
        <v>14.6</v>
      </c>
      <c r="Q345" s="40">
        <v>25</v>
      </c>
      <c r="R345" s="42">
        <v>1286</v>
      </c>
      <c r="S345" s="58"/>
      <c r="T345" s="42"/>
      <c r="U345" s="57">
        <v>106.98</v>
      </c>
      <c r="V345" s="39">
        <v>8.9</v>
      </c>
      <c r="W345" s="40">
        <v>45</v>
      </c>
      <c r="Y345" s="55">
        <f>(U345-O345)/SQRT((V345^2+P345^2)/2)</f>
        <v>0.45489512586732106</v>
      </c>
      <c r="Z345" s="55"/>
      <c r="AA345" s="1">
        <v>-1</v>
      </c>
      <c r="AB345" s="43">
        <f>((U345-O345)/V345)*AA345 * (1-(3/(4*(Q345+W345-2)-1)))</f>
        <v>-0.61113644844313608</v>
      </c>
      <c r="AC345" s="61"/>
      <c r="AD345" s="44">
        <v>1</v>
      </c>
      <c r="AE345" s="44"/>
      <c r="AF345" s="14"/>
      <c r="AG345" s="14"/>
      <c r="AI345" s="62"/>
      <c r="AJ345" s="62"/>
      <c r="AK345" s="1">
        <v>2</v>
      </c>
      <c r="AL345" s="1" t="s">
        <v>68</v>
      </c>
      <c r="AM345" s="14" t="s">
        <v>69</v>
      </c>
      <c r="AN345" s="1" t="s">
        <v>68</v>
      </c>
    </row>
    <row r="346" spans="1:41" s="13" customFormat="1" ht="15.95" customHeight="1" x14ac:dyDescent="0.25">
      <c r="A346" s="11">
        <v>505</v>
      </c>
      <c r="B346" s="1" t="s">
        <v>34</v>
      </c>
      <c r="C346" s="1" t="s">
        <v>324</v>
      </c>
      <c r="D346" s="1" t="s">
        <v>324</v>
      </c>
      <c r="E346" s="36"/>
      <c r="F346" s="1" t="s">
        <v>113</v>
      </c>
      <c r="G346" s="1">
        <v>2017</v>
      </c>
      <c r="H346" s="11" t="s">
        <v>508</v>
      </c>
      <c r="I346" s="204"/>
      <c r="J346" s="204"/>
      <c r="K346" s="210" t="s">
        <v>509</v>
      </c>
      <c r="L346" s="220"/>
      <c r="M346" s="210"/>
      <c r="N346" s="210"/>
      <c r="O346" s="57">
        <v>100</v>
      </c>
      <c r="P346" s="58">
        <v>12</v>
      </c>
      <c r="Q346" s="40">
        <v>57</v>
      </c>
      <c r="R346" s="42">
        <v>655</v>
      </c>
      <c r="S346" s="58"/>
      <c r="T346" s="42"/>
      <c r="U346" s="57">
        <v>108</v>
      </c>
      <c r="V346" s="39">
        <v>11</v>
      </c>
      <c r="W346" s="40">
        <v>57</v>
      </c>
      <c r="X346" s="1"/>
      <c r="Y346" s="55">
        <f>(U346-O346)/SQRT((V346^2+P346^2)/2)</f>
        <v>0.69499558842091103</v>
      </c>
      <c r="Z346" s="55"/>
      <c r="AA346" s="1">
        <v>-1</v>
      </c>
      <c r="AB346" s="43">
        <f>((U346-O346)/V346)*AA346 * (1-(3/(4*(Q346+W346-2)-1)))</f>
        <v>-0.72239170225747407</v>
      </c>
      <c r="AC346" s="61"/>
      <c r="AD346" s="44">
        <v>1</v>
      </c>
      <c r="AE346" s="44"/>
      <c r="AF346" s="14"/>
      <c r="AG346" s="14"/>
      <c r="AH346" s="1"/>
      <c r="AI346" s="62"/>
      <c r="AJ346" s="62"/>
      <c r="AK346" s="1">
        <v>1</v>
      </c>
      <c r="AL346" s="1" t="s">
        <v>116</v>
      </c>
      <c r="AM346" s="14" t="s">
        <v>117</v>
      </c>
      <c r="AN346" s="1" t="s">
        <v>118</v>
      </c>
      <c r="AO346" s="1"/>
    </row>
    <row r="347" spans="1:41" s="1" customFormat="1" ht="15.95" customHeight="1" x14ac:dyDescent="0.25">
      <c r="A347" s="11">
        <v>520</v>
      </c>
      <c r="B347" s="1" t="s">
        <v>34</v>
      </c>
      <c r="C347" s="1" t="s">
        <v>324</v>
      </c>
      <c r="D347" s="1" t="s">
        <v>324</v>
      </c>
      <c r="E347" s="36"/>
      <c r="F347" s="1" t="s">
        <v>547</v>
      </c>
      <c r="G347" s="1">
        <v>2007</v>
      </c>
      <c r="H347" s="11" t="s">
        <v>554</v>
      </c>
      <c r="I347" s="204"/>
      <c r="J347" s="204"/>
      <c r="K347" s="210" t="s">
        <v>555</v>
      </c>
      <c r="L347" s="220"/>
      <c r="M347" s="210"/>
      <c r="N347" s="210"/>
      <c r="O347" s="57">
        <v>101</v>
      </c>
      <c r="P347" s="58">
        <v>19.7</v>
      </c>
      <c r="Q347" s="40">
        <v>12</v>
      </c>
      <c r="R347" s="42" t="s">
        <v>117</v>
      </c>
      <c r="S347" s="58"/>
      <c r="T347" s="42"/>
      <c r="U347" s="57">
        <v>115</v>
      </c>
      <c r="V347" s="39">
        <v>14.2</v>
      </c>
      <c r="W347" s="40">
        <v>12</v>
      </c>
      <c r="Y347" s="55">
        <f>(U347-O347)/SQRT((V347^2+P347^2)/2)</f>
        <v>0.81529808624004929</v>
      </c>
      <c r="Z347" s="55"/>
      <c r="AA347" s="1">
        <v>-1</v>
      </c>
      <c r="AB347" s="43">
        <f>((U347-O347)/V347)*AA347 * (1-(3/(4*(Q347+W347-2)-1)))</f>
        <v>-0.95191840699368635</v>
      </c>
      <c r="AC347" s="61"/>
      <c r="AD347" s="44">
        <v>1</v>
      </c>
      <c r="AE347" s="44"/>
      <c r="AF347" s="14"/>
      <c r="AG347" s="14"/>
      <c r="AI347" s="62"/>
      <c r="AJ347" s="62"/>
      <c r="AK347" s="1">
        <v>1</v>
      </c>
      <c r="AL347" s="1" t="s">
        <v>116</v>
      </c>
      <c r="AM347" s="14" t="s">
        <v>93</v>
      </c>
      <c r="AN347" s="1" t="s">
        <v>118</v>
      </c>
      <c r="AO347" s="13"/>
    </row>
    <row r="348" spans="1:41" s="1" customFormat="1" ht="15.95" customHeight="1" x14ac:dyDescent="0.25">
      <c r="A348" s="11">
        <v>521</v>
      </c>
      <c r="B348" s="1" t="s">
        <v>34</v>
      </c>
      <c r="C348" s="1" t="s">
        <v>324</v>
      </c>
      <c r="D348" s="1" t="s">
        <v>324</v>
      </c>
      <c r="E348" s="36"/>
      <c r="F348" s="1" t="s">
        <v>547</v>
      </c>
      <c r="G348" s="1">
        <v>2007</v>
      </c>
      <c r="H348" s="11" t="s">
        <v>556</v>
      </c>
      <c r="I348" s="204"/>
      <c r="J348" s="204"/>
      <c r="K348" s="210" t="s">
        <v>557</v>
      </c>
      <c r="L348" s="220"/>
      <c r="M348" s="210"/>
      <c r="N348" s="210"/>
      <c r="O348" s="57">
        <v>92</v>
      </c>
      <c r="P348" s="58">
        <v>12.5</v>
      </c>
      <c r="Q348" s="40">
        <v>12</v>
      </c>
      <c r="R348" s="42" t="s">
        <v>117</v>
      </c>
      <c r="S348" s="58"/>
      <c r="T348" s="42"/>
      <c r="U348" s="57">
        <v>106</v>
      </c>
      <c r="V348" s="39">
        <v>12.5</v>
      </c>
      <c r="W348" s="40">
        <v>12</v>
      </c>
      <c r="Y348" s="55">
        <f>(U348-O348)/SQRT((V348^2+P348^2)/2)</f>
        <v>1.1200000000000001</v>
      </c>
      <c r="Z348" s="55"/>
      <c r="AA348" s="1">
        <v>-1</v>
      </c>
      <c r="AB348" s="43">
        <f>((U348-O348)/V348)*AA348 * (1-(3/(4*(Q348+W348-2)-1)))</f>
        <v>-1.0813793103448277</v>
      </c>
      <c r="AC348" s="61"/>
      <c r="AD348" s="44">
        <v>1</v>
      </c>
      <c r="AE348" s="44"/>
      <c r="AF348" s="14"/>
      <c r="AG348" s="14"/>
      <c r="AI348" s="62"/>
      <c r="AJ348" s="62"/>
      <c r="AK348" s="1">
        <v>1</v>
      </c>
      <c r="AL348" s="1" t="s">
        <v>116</v>
      </c>
      <c r="AM348" s="14" t="s">
        <v>93</v>
      </c>
      <c r="AN348" s="1" t="s">
        <v>118</v>
      </c>
    </row>
    <row r="349" spans="1:41" s="1" customFormat="1" ht="15.95" customHeight="1" x14ac:dyDescent="0.25">
      <c r="A349" s="11">
        <v>522</v>
      </c>
      <c r="B349" s="1" t="s">
        <v>34</v>
      </c>
      <c r="C349" s="1" t="s">
        <v>324</v>
      </c>
      <c r="D349" s="1" t="s">
        <v>324</v>
      </c>
      <c r="E349" s="36"/>
      <c r="F349" s="1" t="s">
        <v>547</v>
      </c>
      <c r="G349" s="1">
        <v>2007</v>
      </c>
      <c r="H349" s="11" t="s">
        <v>558</v>
      </c>
      <c r="I349" s="204"/>
      <c r="J349" s="204"/>
      <c r="K349" s="210" t="s">
        <v>559</v>
      </c>
      <c r="L349" s="220"/>
      <c r="M349" s="210"/>
      <c r="N349" s="210"/>
      <c r="O349" s="57">
        <v>103</v>
      </c>
      <c r="P349" s="58">
        <v>19.7</v>
      </c>
      <c r="Q349" s="40">
        <v>12</v>
      </c>
      <c r="R349" s="42" t="s">
        <v>117</v>
      </c>
      <c r="S349" s="58"/>
      <c r="T349" s="42"/>
      <c r="U349" s="57">
        <v>101</v>
      </c>
      <c r="V349" s="39">
        <v>12.5</v>
      </c>
      <c r="W349" s="40">
        <v>12</v>
      </c>
      <c r="Y349" s="55">
        <f>(U349-O349)/SQRT((V349^2+P349^2)/2)</f>
        <v>-0.12122993408134736</v>
      </c>
      <c r="Z349" s="55"/>
      <c r="AA349" s="1">
        <v>-1</v>
      </c>
      <c r="AB349" s="43">
        <f>((U349-O349)/V349)*AA349 * (1-(3/(4*(Q349+W349-2)-1)))</f>
        <v>0.15448275862068966</v>
      </c>
      <c r="AC349" s="61"/>
      <c r="AD349" s="44">
        <v>1</v>
      </c>
      <c r="AE349" s="44"/>
      <c r="AF349" s="14"/>
      <c r="AG349" s="14"/>
      <c r="AI349" s="62"/>
      <c r="AJ349" s="62"/>
      <c r="AK349" s="1">
        <v>1</v>
      </c>
      <c r="AL349" s="1" t="s">
        <v>116</v>
      </c>
      <c r="AM349" s="14" t="s">
        <v>93</v>
      </c>
      <c r="AN349" s="1" t="s">
        <v>118</v>
      </c>
    </row>
    <row r="350" spans="1:41" s="1" customFormat="1" ht="15.95" customHeight="1" x14ac:dyDescent="0.25">
      <c r="A350" s="11">
        <v>519</v>
      </c>
      <c r="B350" s="1" t="s">
        <v>34</v>
      </c>
      <c r="C350" s="1" t="s">
        <v>324</v>
      </c>
      <c r="D350" s="1" t="s">
        <v>324</v>
      </c>
      <c r="E350" s="36"/>
      <c r="F350" s="1" t="s">
        <v>588</v>
      </c>
      <c r="G350" s="1">
        <v>2015</v>
      </c>
      <c r="H350" s="11" t="s">
        <v>427</v>
      </c>
      <c r="I350" s="204"/>
      <c r="J350" s="204"/>
      <c r="K350" s="210" t="s">
        <v>595</v>
      </c>
      <c r="L350" s="220"/>
      <c r="M350" s="210"/>
      <c r="N350" s="210"/>
      <c r="O350" s="57">
        <v>97.64</v>
      </c>
      <c r="P350" s="58">
        <v>10.75</v>
      </c>
      <c r="Q350" s="40">
        <v>14</v>
      </c>
      <c r="R350" s="42" t="s">
        <v>117</v>
      </c>
      <c r="S350" s="58"/>
      <c r="T350" s="42"/>
      <c r="U350" s="57">
        <v>114.07</v>
      </c>
      <c r="V350" s="39">
        <v>8.91</v>
      </c>
      <c r="W350" s="40">
        <v>14</v>
      </c>
      <c r="Y350" s="55">
        <f>(U350-O350)/SQRT((V350^2+P350^2)/2)</f>
        <v>1.6641415847376684</v>
      </c>
      <c r="Z350" s="55"/>
      <c r="AA350" s="1">
        <v>-1</v>
      </c>
      <c r="AB350" s="43">
        <f>((U350-O350)/V350)*AA350 * (1-(3/(4*(Q350+W350-2)-1)))</f>
        <v>-1.7902869035555111</v>
      </c>
      <c r="AC350" s="61"/>
      <c r="AD350" s="44">
        <v>1</v>
      </c>
      <c r="AE350" s="44"/>
      <c r="AF350" s="14"/>
      <c r="AG350" s="14"/>
      <c r="AI350" s="62"/>
      <c r="AJ350" s="62"/>
      <c r="AK350" s="1">
        <v>3</v>
      </c>
      <c r="AL350" s="1" t="s">
        <v>591</v>
      </c>
      <c r="AM350" s="14" t="s">
        <v>69</v>
      </c>
      <c r="AN350" s="1" t="s">
        <v>591</v>
      </c>
    </row>
    <row r="351" spans="1:41" s="1" customFormat="1" ht="15.95" customHeight="1" x14ac:dyDescent="0.25">
      <c r="A351" s="11">
        <v>507</v>
      </c>
      <c r="B351" s="1" t="s">
        <v>34</v>
      </c>
      <c r="C351" s="1" t="s">
        <v>324</v>
      </c>
      <c r="D351" s="1" t="s">
        <v>324</v>
      </c>
      <c r="E351" s="36"/>
      <c r="F351" s="11" t="s">
        <v>148</v>
      </c>
      <c r="G351" s="1">
        <v>2018</v>
      </c>
      <c r="H351" s="11" t="s">
        <v>427</v>
      </c>
      <c r="I351" s="204"/>
      <c r="J351" s="204"/>
      <c r="K351" s="210" t="s">
        <v>637</v>
      </c>
      <c r="L351" s="220"/>
      <c r="M351" s="210"/>
      <c r="N351" s="210"/>
      <c r="O351" s="57">
        <v>103</v>
      </c>
      <c r="P351" s="58">
        <v>13.9</v>
      </c>
      <c r="Q351" s="40">
        <v>38</v>
      </c>
      <c r="R351" s="42">
        <v>751</v>
      </c>
      <c r="S351" s="58"/>
      <c r="T351" s="42"/>
      <c r="U351" s="57">
        <v>113.9</v>
      </c>
      <c r="V351" s="39">
        <v>9.6999999999999993</v>
      </c>
      <c r="W351" s="40">
        <v>39</v>
      </c>
      <c r="Y351" s="55">
        <f>(U351-O351)/SQRT((V351^2+P351^2)/2)</f>
        <v>0.90943922700898217</v>
      </c>
      <c r="Z351" s="55"/>
      <c r="AA351" s="1">
        <v>-1</v>
      </c>
      <c r="AB351" s="43">
        <f>((U351-O351)/V351)*AA351 * (1-(3/(4*(Q351+W351-2)-1)))</f>
        <v>-1.112436644485054</v>
      </c>
      <c r="AC351" s="61"/>
      <c r="AD351" s="44">
        <v>1</v>
      </c>
      <c r="AE351" s="44"/>
      <c r="AF351" s="14"/>
      <c r="AG351" s="14"/>
      <c r="AI351" s="62"/>
      <c r="AJ351" s="62"/>
      <c r="AK351" s="1">
        <v>1</v>
      </c>
      <c r="AL351" s="1" t="s">
        <v>116</v>
      </c>
      <c r="AM351" s="14" t="s">
        <v>69</v>
      </c>
      <c r="AN351" s="1" t="s">
        <v>118</v>
      </c>
      <c r="AO351" s="13"/>
    </row>
    <row r="352" spans="1:41" s="1" customFormat="1" ht="15.95" customHeight="1" x14ac:dyDescent="0.25">
      <c r="A352" s="11">
        <v>514</v>
      </c>
      <c r="B352" s="1" t="s">
        <v>34</v>
      </c>
      <c r="C352" s="1" t="s">
        <v>324</v>
      </c>
      <c r="D352" s="1" t="s">
        <v>324</v>
      </c>
      <c r="E352" s="36"/>
      <c r="F352" s="1" t="s">
        <v>647</v>
      </c>
      <c r="G352" s="1">
        <v>1998</v>
      </c>
      <c r="H352" s="11" t="s">
        <v>427</v>
      </c>
      <c r="I352" s="204"/>
      <c r="J352" s="204"/>
      <c r="K352" s="210" t="s">
        <v>595</v>
      </c>
      <c r="L352" s="220"/>
      <c r="M352" s="210"/>
      <c r="N352" s="210"/>
      <c r="O352" s="57">
        <v>97.6</v>
      </c>
      <c r="P352" s="58">
        <v>15.7</v>
      </c>
      <c r="Q352" s="40">
        <v>57</v>
      </c>
      <c r="R352" s="42">
        <v>1085</v>
      </c>
      <c r="S352" s="58"/>
      <c r="T352" s="42"/>
      <c r="U352" s="57">
        <v>105.5</v>
      </c>
      <c r="V352" s="39">
        <v>16.100000000000001</v>
      </c>
      <c r="W352" s="40">
        <v>40</v>
      </c>
      <c r="Y352" s="55">
        <f>(U352-O352)/SQRT((V352^2+P352^2)/2)</f>
        <v>0.49681604395445206</v>
      </c>
      <c r="Z352" s="55"/>
      <c r="AA352" s="1">
        <v>-1</v>
      </c>
      <c r="AB352" s="43">
        <f>((U352-O352)/V352)*AA352 * (1-(3/(4*(Q352+W352-2)-1)))</f>
        <v>-0.48679919369376784</v>
      </c>
      <c r="AC352" s="61"/>
      <c r="AD352" s="44">
        <v>1</v>
      </c>
      <c r="AE352" s="44"/>
      <c r="AF352" s="14"/>
      <c r="AG352" s="14"/>
      <c r="AI352" s="62"/>
      <c r="AJ352" s="62"/>
      <c r="AK352" s="1">
        <v>4</v>
      </c>
      <c r="AL352" s="1" t="s">
        <v>215</v>
      </c>
      <c r="AM352" s="14" t="s">
        <v>117</v>
      </c>
      <c r="AN352" s="1" t="s">
        <v>215</v>
      </c>
    </row>
    <row r="353" spans="1:41" s="1" customFormat="1" ht="15.95" customHeight="1" x14ac:dyDescent="0.25">
      <c r="A353" s="11">
        <v>517</v>
      </c>
      <c r="B353" s="1" t="s">
        <v>34</v>
      </c>
      <c r="C353" s="1" t="s">
        <v>324</v>
      </c>
      <c r="D353" s="1" t="s">
        <v>324</v>
      </c>
      <c r="E353" s="36"/>
      <c r="F353" s="1" t="s">
        <v>680</v>
      </c>
      <c r="G353" s="1">
        <v>1994</v>
      </c>
      <c r="H353" s="11" t="s">
        <v>427</v>
      </c>
      <c r="I353" s="204"/>
      <c r="J353" s="204"/>
      <c r="K353" s="210" t="s">
        <v>595</v>
      </c>
      <c r="L353" s="220"/>
      <c r="M353" s="210"/>
      <c r="N353" s="210"/>
      <c r="O353" s="57">
        <v>90</v>
      </c>
      <c r="P353" s="58">
        <v>11</v>
      </c>
      <c r="Q353" s="40">
        <v>25</v>
      </c>
      <c r="R353" s="42">
        <v>1332</v>
      </c>
      <c r="S353" s="58"/>
      <c r="T353" s="42"/>
      <c r="U353" s="57">
        <v>100</v>
      </c>
      <c r="V353" s="39">
        <v>9</v>
      </c>
      <c r="W353" s="40">
        <v>15</v>
      </c>
      <c r="Y353" s="55">
        <f>(U353-O353)/SQRT((V353^2+P353^2)/2)</f>
        <v>0.99503719020998915</v>
      </c>
      <c r="Z353" s="55"/>
      <c r="AA353" s="1">
        <v>-1</v>
      </c>
      <c r="AB353" s="43">
        <f>((U353-O353)/V353)*AA353 * (1-(3/(4*(Q353+W353-2)-1)))</f>
        <v>-1.0890360559234733</v>
      </c>
      <c r="AC353" s="61"/>
      <c r="AD353" s="44">
        <v>1</v>
      </c>
      <c r="AE353" s="44"/>
      <c r="AF353" s="14"/>
      <c r="AG353" s="14"/>
      <c r="AI353" s="62"/>
      <c r="AJ353" s="62"/>
      <c r="AK353" s="1">
        <v>2</v>
      </c>
      <c r="AL353" s="1" t="s">
        <v>68</v>
      </c>
      <c r="AM353" s="14" t="s">
        <v>69</v>
      </c>
      <c r="AN353" s="1" t="s">
        <v>68</v>
      </c>
    </row>
    <row r="354" spans="1:41" s="1" customFormat="1" ht="15.95" customHeight="1" x14ac:dyDescent="0.25">
      <c r="A354" s="11">
        <v>513</v>
      </c>
      <c r="B354" s="1" t="s">
        <v>34</v>
      </c>
      <c r="C354" s="1" t="s">
        <v>324</v>
      </c>
      <c r="D354" s="1" t="s">
        <v>324</v>
      </c>
      <c r="E354" s="36"/>
      <c r="F354" s="1" t="s">
        <v>228</v>
      </c>
      <c r="G354" s="1">
        <v>2020</v>
      </c>
      <c r="H354" s="11" t="s">
        <v>427</v>
      </c>
      <c r="I354" s="204"/>
      <c r="J354" s="204"/>
      <c r="K354" s="210" t="s">
        <v>686</v>
      </c>
      <c r="L354" s="220"/>
      <c r="M354" s="210"/>
      <c r="N354" s="210"/>
      <c r="O354" s="57">
        <v>98.9</v>
      </c>
      <c r="P354" s="58">
        <v>15</v>
      </c>
      <c r="Q354" s="40">
        <v>19</v>
      </c>
      <c r="R354" s="59">
        <v>1042</v>
      </c>
      <c r="S354" s="60"/>
      <c r="T354" s="59"/>
      <c r="U354" s="57">
        <v>110.1</v>
      </c>
      <c r="V354" s="39">
        <v>12</v>
      </c>
      <c r="W354" s="40">
        <v>19</v>
      </c>
      <c r="Y354" s="55">
        <f>(U354-O354)/SQRT((V354^2+P354^2)/2)</f>
        <v>0.82455539469218675</v>
      </c>
      <c r="Z354" s="55"/>
      <c r="AA354" s="1">
        <v>-1</v>
      </c>
      <c r="AB354" s="43">
        <f>((U354-O354)/V354)*AA354 * (1-(3/(4*(Q354+W354-2)-1)))</f>
        <v>-0.91375291375291279</v>
      </c>
      <c r="AC354" s="61"/>
      <c r="AD354" s="44">
        <v>1</v>
      </c>
      <c r="AE354" s="44"/>
      <c r="AF354" s="14"/>
      <c r="AG354" s="14"/>
      <c r="AI354" s="62"/>
      <c r="AJ354" s="62"/>
      <c r="AK354" s="1">
        <v>1</v>
      </c>
      <c r="AL354" s="1" t="s">
        <v>116</v>
      </c>
      <c r="AM354" s="14" t="s">
        <v>117</v>
      </c>
      <c r="AN354" s="1" t="s">
        <v>118</v>
      </c>
      <c r="AO354" s="11"/>
    </row>
    <row r="355" spans="1:41" s="1" customFormat="1" ht="15.95" customHeight="1" x14ac:dyDescent="0.25">
      <c r="A355" s="11">
        <v>518</v>
      </c>
      <c r="B355" s="1" t="s">
        <v>34</v>
      </c>
      <c r="C355" s="1" t="s">
        <v>324</v>
      </c>
      <c r="D355" s="1" t="s">
        <v>324</v>
      </c>
      <c r="E355" s="36"/>
      <c r="F355" s="14" t="s">
        <v>687</v>
      </c>
      <c r="G355" s="1">
        <v>1996</v>
      </c>
      <c r="H355" s="11" t="s">
        <v>427</v>
      </c>
      <c r="I355" s="204"/>
      <c r="J355" s="204"/>
      <c r="K355" s="210" t="s">
        <v>686</v>
      </c>
      <c r="L355" s="220"/>
      <c r="M355" s="210"/>
      <c r="N355" s="210"/>
      <c r="O355" s="57">
        <v>95</v>
      </c>
      <c r="P355" s="58">
        <f>(108-79)/4</f>
        <v>7.25</v>
      </c>
      <c r="Q355" s="40">
        <v>11</v>
      </c>
      <c r="R355" s="59">
        <v>1545</v>
      </c>
      <c r="S355" s="60"/>
      <c r="T355" s="59"/>
      <c r="U355" s="57">
        <v>101</v>
      </c>
      <c r="V355" s="39">
        <f>(121-84)/4</f>
        <v>9.25</v>
      </c>
      <c r="W355" s="40">
        <v>22</v>
      </c>
      <c r="Y355" s="55">
        <f>(U355-O355)/SQRT((V355^2+P355^2)/2)</f>
        <v>0.72198820511542416</v>
      </c>
      <c r="Z355" s="55"/>
      <c r="AA355" s="1">
        <v>-1</v>
      </c>
      <c r="AB355" s="43">
        <f>((U355-O355)/V355)*AA355 * (1-(3/(4*(Q355+W355-2)-1)))</f>
        <v>-0.63282794990112068</v>
      </c>
      <c r="AC355" s="61"/>
      <c r="AD355" s="44">
        <v>1</v>
      </c>
      <c r="AE355" s="44"/>
      <c r="AF355" s="14"/>
      <c r="AG355" s="14"/>
      <c r="AI355" s="62"/>
      <c r="AJ355" s="62"/>
      <c r="AK355" s="71" t="s">
        <v>146</v>
      </c>
      <c r="AL355" s="71" t="s">
        <v>146</v>
      </c>
      <c r="AM355" s="14" t="s">
        <v>117</v>
      </c>
      <c r="AN355" s="71" t="s">
        <v>146</v>
      </c>
    </row>
    <row r="356" spans="1:41" s="1" customFormat="1" ht="15.95" customHeight="1" x14ac:dyDescent="0.25">
      <c r="A356" s="11">
        <v>504</v>
      </c>
      <c r="B356" s="1" t="s">
        <v>34</v>
      </c>
      <c r="C356" s="1" t="s">
        <v>324</v>
      </c>
      <c r="D356" s="1" t="s">
        <v>324</v>
      </c>
      <c r="E356" s="36"/>
      <c r="F356" s="14" t="s">
        <v>697</v>
      </c>
      <c r="G356" s="1">
        <v>1996</v>
      </c>
      <c r="H356" s="1" t="s">
        <v>427</v>
      </c>
      <c r="I356" s="210"/>
      <c r="J356" s="210"/>
      <c r="K356" s="210" t="s">
        <v>686</v>
      </c>
      <c r="L356" s="220"/>
      <c r="M356" s="210"/>
      <c r="N356" s="210"/>
      <c r="O356" s="57">
        <v>96</v>
      </c>
      <c r="P356" s="39">
        <f>(108-79)/4</f>
        <v>7.25</v>
      </c>
      <c r="Q356" s="40">
        <v>11</v>
      </c>
      <c r="R356" s="59">
        <v>566</v>
      </c>
      <c r="S356" s="60"/>
      <c r="T356" s="59"/>
      <c r="U356" s="57">
        <v>101</v>
      </c>
      <c r="V356" s="39">
        <f>(121-84)/4</f>
        <v>9.25</v>
      </c>
      <c r="W356" s="40">
        <v>22</v>
      </c>
      <c r="Y356" s="55">
        <f>(U356-O356)/SQRT((V356^2+P356^2)/2)</f>
        <v>0.60165683759618682</v>
      </c>
      <c r="Z356" s="55"/>
      <c r="AA356" s="1">
        <v>-1</v>
      </c>
      <c r="AB356" s="43">
        <f>((U356-O356)/V356)*AA356 * (1-(3/(4*(Q356+W356-2)-1)))</f>
        <v>-0.52735662491760049</v>
      </c>
      <c r="AC356" s="61"/>
      <c r="AD356" s="44">
        <v>1</v>
      </c>
      <c r="AE356" s="44"/>
      <c r="AF356" s="14"/>
      <c r="AG356" s="14"/>
      <c r="AI356" s="62"/>
      <c r="AJ356" s="62"/>
      <c r="AK356" s="71" t="s">
        <v>146</v>
      </c>
      <c r="AL356" s="71" t="s">
        <v>146</v>
      </c>
      <c r="AM356" s="14" t="s">
        <v>117</v>
      </c>
      <c r="AN356" s="71" t="s">
        <v>146</v>
      </c>
      <c r="AO356" s="11"/>
    </row>
    <row r="357" spans="1:41" s="1" customFormat="1" ht="15.95" customHeight="1" x14ac:dyDescent="0.25">
      <c r="A357" s="11">
        <v>523</v>
      </c>
      <c r="B357" s="1" t="s">
        <v>34</v>
      </c>
      <c r="C357" s="1" t="s">
        <v>324</v>
      </c>
      <c r="D357" s="1" t="s">
        <v>324</v>
      </c>
      <c r="E357" s="36"/>
      <c r="F357" s="11" t="s">
        <v>711</v>
      </c>
      <c r="G357" s="11">
        <v>1993</v>
      </c>
      <c r="H357" s="11" t="s">
        <v>344</v>
      </c>
      <c r="I357" s="204"/>
      <c r="J357" s="204"/>
      <c r="K357" s="210" t="s">
        <v>345</v>
      </c>
      <c r="L357" s="207"/>
      <c r="M357" s="204"/>
      <c r="N357" s="210"/>
      <c r="O357" s="38">
        <v>85.7</v>
      </c>
      <c r="P357" s="39">
        <v>16</v>
      </c>
      <c r="Q357" s="40">
        <v>70</v>
      </c>
      <c r="R357" s="41" t="s">
        <v>712</v>
      </c>
      <c r="S357" s="41"/>
      <c r="T357" s="41"/>
      <c r="U357" s="38">
        <v>95.2</v>
      </c>
      <c r="V357" s="41">
        <v>14</v>
      </c>
      <c r="W357" s="40">
        <v>68</v>
      </c>
      <c r="X357" s="11"/>
      <c r="Y357" s="11"/>
      <c r="Z357" s="11"/>
      <c r="AA357" s="11">
        <v>-1</v>
      </c>
      <c r="AB357" s="43">
        <f>((U357-O357)/V357)*AA357 * (1-(3/(4*(Q357+W357-2)-1)))</f>
        <v>-0.67482241515390695</v>
      </c>
      <c r="AC357" s="11"/>
      <c r="AD357" s="44">
        <v>1</v>
      </c>
      <c r="AF357" s="11">
        <v>21</v>
      </c>
      <c r="AG357" s="11">
        <v>3.5</v>
      </c>
      <c r="AH357" s="11"/>
      <c r="AI357" s="11">
        <v>21.2</v>
      </c>
      <c r="AJ357" s="11">
        <v>3.7</v>
      </c>
      <c r="AK357" s="11"/>
      <c r="AL357" s="11" t="s">
        <v>712</v>
      </c>
    </row>
    <row r="358" spans="1:41" s="13" customFormat="1" ht="15.95" customHeight="1" x14ac:dyDescent="0.25">
      <c r="A358" s="11">
        <v>515</v>
      </c>
      <c r="B358" s="1" t="s">
        <v>34</v>
      </c>
      <c r="C358" s="1" t="s">
        <v>324</v>
      </c>
      <c r="D358" s="1" t="s">
        <v>324</v>
      </c>
      <c r="E358" s="36"/>
      <c r="F358" s="11" t="s">
        <v>734</v>
      </c>
      <c r="G358" s="1">
        <v>1996</v>
      </c>
      <c r="H358" s="11" t="s">
        <v>427</v>
      </c>
      <c r="I358" s="204"/>
      <c r="J358" s="204"/>
      <c r="K358" s="210" t="s">
        <v>686</v>
      </c>
      <c r="L358" s="220"/>
      <c r="M358" s="210"/>
      <c r="N358" s="210"/>
      <c r="O358" s="57">
        <v>82</v>
      </c>
      <c r="P358" s="58">
        <v>14</v>
      </c>
      <c r="Q358" s="40">
        <v>8</v>
      </c>
      <c r="R358" s="59">
        <v>1253.0999999999999</v>
      </c>
      <c r="S358" s="60"/>
      <c r="T358" s="59"/>
      <c r="U358" s="57">
        <v>92.2</v>
      </c>
      <c r="V358" s="39">
        <v>8.5</v>
      </c>
      <c r="W358" s="40">
        <v>8</v>
      </c>
      <c r="X358" s="1"/>
      <c r="Y358" s="55">
        <f>(U358-O358)/SQRT((V358^2+P358^2)/2)</f>
        <v>0.88073509922374515</v>
      </c>
      <c r="Z358" s="55"/>
      <c r="AA358" s="1">
        <v>-1</v>
      </c>
      <c r="AB358" s="43">
        <f>((U358-O358)/V358)*AA358 * (1-(3/(4*(Q358+W358-2)-1)))</f>
        <v>-1.134545454545455</v>
      </c>
      <c r="AC358" s="61"/>
      <c r="AD358" s="44">
        <v>1</v>
      </c>
      <c r="AE358" s="44"/>
      <c r="AF358" s="14"/>
      <c r="AG358" s="14"/>
      <c r="AH358" s="1"/>
      <c r="AI358" s="62"/>
      <c r="AJ358" s="62"/>
      <c r="AK358" s="71" t="s">
        <v>146</v>
      </c>
      <c r="AL358" s="71" t="s">
        <v>146</v>
      </c>
      <c r="AM358" s="14" t="s">
        <v>117</v>
      </c>
      <c r="AN358" s="71" t="s">
        <v>146</v>
      </c>
      <c r="AO358" s="1"/>
    </row>
    <row r="359" spans="1:41" s="1" customFormat="1" ht="15.95" customHeight="1" x14ac:dyDescent="0.25">
      <c r="A359" s="11">
        <v>509</v>
      </c>
      <c r="B359" s="1" t="s">
        <v>34</v>
      </c>
      <c r="C359" s="1" t="s">
        <v>324</v>
      </c>
      <c r="D359" s="1" t="s">
        <v>324</v>
      </c>
      <c r="E359" s="36"/>
      <c r="F359" s="1" t="s">
        <v>759</v>
      </c>
      <c r="G359" s="1">
        <v>2013</v>
      </c>
      <c r="H359" s="11" t="s">
        <v>427</v>
      </c>
      <c r="I359" s="204"/>
      <c r="J359" s="204"/>
      <c r="K359" s="210" t="s">
        <v>763</v>
      </c>
      <c r="L359" s="220"/>
      <c r="M359" s="210"/>
      <c r="N359" s="210"/>
      <c r="O359" s="57">
        <v>89.8</v>
      </c>
      <c r="P359" s="58">
        <v>20.72</v>
      </c>
      <c r="Q359" s="40">
        <v>57</v>
      </c>
      <c r="R359" s="42">
        <v>810</v>
      </c>
      <c r="S359" s="58"/>
      <c r="T359" s="42"/>
      <c r="U359" s="57">
        <v>103.3</v>
      </c>
      <c r="V359" s="39">
        <v>16.5</v>
      </c>
      <c r="W359" s="40">
        <v>46</v>
      </c>
      <c r="Y359" s="55">
        <f>(U359-O359)/SQRT((V359^2+P359^2)/2)</f>
        <v>0.72079830492902019</v>
      </c>
      <c r="Z359" s="55"/>
      <c r="AA359" s="1">
        <v>-1</v>
      </c>
      <c r="AB359" s="43">
        <f>((U359-O359)/V359)*AA359 * (1-(3/(4*(Q359+W359-2)-1)))</f>
        <v>-0.81209113467177996</v>
      </c>
      <c r="AC359" s="61"/>
      <c r="AD359" s="44">
        <v>1</v>
      </c>
      <c r="AE359" s="44"/>
      <c r="AF359" s="14"/>
      <c r="AG359" s="14"/>
      <c r="AI359" s="62"/>
      <c r="AJ359" s="62"/>
      <c r="AK359" s="1">
        <v>3</v>
      </c>
      <c r="AL359" s="1" t="s">
        <v>761</v>
      </c>
      <c r="AM359" s="14" t="s">
        <v>117</v>
      </c>
      <c r="AN359" s="1" t="s">
        <v>761</v>
      </c>
    </row>
    <row r="360" spans="1:41" s="1" customFormat="1" ht="15.95" customHeight="1" x14ac:dyDescent="0.25">
      <c r="A360" s="11">
        <v>530</v>
      </c>
      <c r="B360" s="13" t="s">
        <v>43</v>
      </c>
      <c r="C360" s="13" t="s">
        <v>324</v>
      </c>
      <c r="D360" s="13" t="s">
        <v>324</v>
      </c>
      <c r="E360" s="36"/>
      <c r="F360" s="13" t="s">
        <v>46</v>
      </c>
      <c r="G360" s="13">
        <v>2002</v>
      </c>
      <c r="H360" s="13" t="s">
        <v>364</v>
      </c>
      <c r="I360" s="204"/>
      <c r="J360" s="204"/>
      <c r="K360" s="204"/>
      <c r="L360" s="207"/>
      <c r="M360" s="207"/>
      <c r="N360" s="204"/>
      <c r="O360" s="124">
        <v>93.34</v>
      </c>
      <c r="P360" s="125">
        <v>10.23</v>
      </c>
      <c r="Q360" s="40">
        <v>36</v>
      </c>
      <c r="R360" s="114">
        <f>8.1*60.5364</f>
        <v>490.34483999999998</v>
      </c>
      <c r="S360" s="117">
        <f>6.2*60.5364</f>
        <v>375.32568000000003</v>
      </c>
      <c r="T360" s="41"/>
      <c r="U360" s="115">
        <v>102.92</v>
      </c>
      <c r="V360" s="39">
        <v>11.77</v>
      </c>
      <c r="W360" s="40">
        <v>69</v>
      </c>
      <c r="X360" s="11"/>
      <c r="Y360" s="11"/>
      <c r="Z360" s="11"/>
      <c r="AA360" s="11">
        <v>-1</v>
      </c>
      <c r="AB360" s="43">
        <f>((U360-O360)/V360)*AA360 * (1-(3/(4*(Q360+W360-2)-1)))</f>
        <v>-0.80799260770609416</v>
      </c>
      <c r="AC360" s="61"/>
      <c r="AD360" s="44">
        <v>1</v>
      </c>
      <c r="AE360" s="44"/>
      <c r="AF360" s="118">
        <v>11.18</v>
      </c>
      <c r="AG360" s="118">
        <v>3.4</v>
      </c>
      <c r="AH360" s="87"/>
      <c r="AI360" s="103">
        <v>10.29</v>
      </c>
      <c r="AJ360" s="13">
        <v>3.1</v>
      </c>
      <c r="AK360" s="13"/>
      <c r="AL360" s="11"/>
      <c r="AM360" s="11"/>
      <c r="AN360" s="11"/>
    </row>
    <row r="361" spans="1:41" s="1" customFormat="1" ht="15.95" customHeight="1" x14ac:dyDescent="0.25">
      <c r="A361" s="11">
        <v>531</v>
      </c>
      <c r="B361" s="13" t="s">
        <v>43</v>
      </c>
      <c r="C361" s="13" t="s">
        <v>324</v>
      </c>
      <c r="D361" s="13" t="s">
        <v>324</v>
      </c>
      <c r="E361" s="36"/>
      <c r="F361" s="11" t="s">
        <v>267</v>
      </c>
      <c r="G361" s="11">
        <v>2003</v>
      </c>
      <c r="H361" s="11" t="s">
        <v>364</v>
      </c>
      <c r="I361" s="204"/>
      <c r="J361" s="204"/>
      <c r="K361" s="204"/>
      <c r="L361" s="207"/>
      <c r="M361" s="204"/>
      <c r="N361" s="204"/>
      <c r="O361" s="38">
        <v>104.2</v>
      </c>
      <c r="P361" s="39">
        <v>10.7</v>
      </c>
      <c r="Q361" s="40">
        <v>46</v>
      </c>
      <c r="R361" s="114">
        <f>8.1*60.5364</f>
        <v>490.34483999999998</v>
      </c>
      <c r="S361" s="117">
        <f>6.2*60.5364</f>
        <v>375.32568000000003</v>
      </c>
      <c r="T361" s="41"/>
      <c r="U361" s="38">
        <v>102.2</v>
      </c>
      <c r="V361" s="39">
        <v>13.4</v>
      </c>
      <c r="W361" s="40">
        <v>18</v>
      </c>
      <c r="X361" s="11"/>
      <c r="Y361" s="55">
        <f>(U361-O361)/SQRT((V361^2+P361^2)/2)</f>
        <v>-0.16494319458289577</v>
      </c>
      <c r="Z361" s="11"/>
      <c r="AA361" s="11">
        <v>-1</v>
      </c>
      <c r="AB361" s="43">
        <f>((U361-O361)/V361)*AA361 * (1-(3/(4*(Q361+W361-2)-1)))</f>
        <v>0.1474409329868874</v>
      </c>
      <c r="AC361" s="61"/>
      <c r="AD361" s="44">
        <v>1</v>
      </c>
      <c r="AE361" s="44"/>
      <c r="AF361" s="119">
        <f>129/12</f>
        <v>10.75</v>
      </c>
      <c r="AG361" s="118">
        <v>2.1</v>
      </c>
      <c r="AH361" s="119"/>
      <c r="AI361" s="120">
        <v>13.1</v>
      </c>
      <c r="AJ361" s="120">
        <v>3.2</v>
      </c>
      <c r="AK361" s="11"/>
      <c r="AL361" s="11"/>
      <c r="AM361" s="11"/>
      <c r="AN361" s="11"/>
    </row>
    <row r="362" spans="1:41" s="11" customFormat="1" ht="15.95" customHeight="1" x14ac:dyDescent="0.25">
      <c r="A362" s="11">
        <v>532</v>
      </c>
      <c r="B362" s="13" t="s">
        <v>43</v>
      </c>
      <c r="C362" s="13" t="s">
        <v>324</v>
      </c>
      <c r="D362" s="13" t="s">
        <v>324</v>
      </c>
      <c r="E362" s="36"/>
      <c r="F362" s="13" t="s">
        <v>380</v>
      </c>
      <c r="G362" s="13">
        <v>2011</v>
      </c>
      <c r="H362" s="13" t="s">
        <v>344</v>
      </c>
      <c r="I362" s="204"/>
      <c r="J362" s="204"/>
      <c r="K362" s="204"/>
      <c r="L362" s="207"/>
      <c r="M362" s="207"/>
      <c r="N362" s="204"/>
      <c r="O362" s="124">
        <v>105.8</v>
      </c>
      <c r="P362" s="125">
        <v>9.6</v>
      </c>
      <c r="Q362" s="40">
        <v>36</v>
      </c>
      <c r="R362" s="114">
        <f>8.4*60.5364</f>
        <v>508.50576000000001</v>
      </c>
      <c r="S362" s="117">
        <f>4.7*60.5364</f>
        <v>284.52108000000004</v>
      </c>
      <c r="T362" s="41"/>
      <c r="U362" s="38">
        <v>108.5</v>
      </c>
      <c r="V362" s="39">
        <v>10</v>
      </c>
      <c r="W362" s="40">
        <v>41</v>
      </c>
      <c r="AA362" s="11">
        <v>-1</v>
      </c>
      <c r="AB362" s="43">
        <f>((U362-O362)/V362)*AA362 * (1-(3/(4*(Q362+W362-2)-1)))</f>
        <v>-0.26729096989966583</v>
      </c>
      <c r="AC362" s="128"/>
      <c r="AD362" s="44">
        <v>1</v>
      </c>
      <c r="AE362" s="44"/>
      <c r="AF362" s="129"/>
      <c r="AG362" s="129"/>
      <c r="AH362" s="129"/>
      <c r="AI362" s="129"/>
      <c r="AJ362" s="129"/>
      <c r="AK362" s="13"/>
      <c r="AL362" s="13"/>
      <c r="AM362" s="13"/>
      <c r="AN362" s="13"/>
      <c r="AO362" s="1"/>
    </row>
    <row r="363" spans="1:41" s="11" customFormat="1" ht="15.95" customHeight="1" x14ac:dyDescent="0.25">
      <c r="A363" s="11">
        <v>539</v>
      </c>
      <c r="B363" s="13" t="s">
        <v>43</v>
      </c>
      <c r="C363" s="13" t="s">
        <v>324</v>
      </c>
      <c r="D363" s="13" t="s">
        <v>324</v>
      </c>
      <c r="E363" s="36"/>
      <c r="F363" s="72" t="s">
        <v>95</v>
      </c>
      <c r="G363" s="1">
        <v>2006</v>
      </c>
      <c r="H363" s="11" t="s">
        <v>344</v>
      </c>
      <c r="I363" s="204"/>
      <c r="J363" s="204"/>
      <c r="K363" s="210"/>
      <c r="L363" s="220"/>
      <c r="M363" s="210"/>
      <c r="N363" s="210"/>
      <c r="O363" s="57">
        <v>102.2</v>
      </c>
      <c r="P363" s="58">
        <v>9.9</v>
      </c>
      <c r="Q363" s="40">
        <v>26</v>
      </c>
      <c r="R363" s="41">
        <v>423.8</v>
      </c>
      <c r="S363" s="39">
        <v>339</v>
      </c>
      <c r="T363" s="41"/>
      <c r="U363" s="38">
        <v>107.7</v>
      </c>
      <c r="V363" s="39">
        <v>10.6</v>
      </c>
      <c r="W363" s="40">
        <v>25</v>
      </c>
      <c r="AA363" s="11">
        <v>-1</v>
      </c>
      <c r="AB363" s="43">
        <f>((U363-O363)/V363)*AA363 * (1-(3/(4*(Q363+W363-2)-1)))</f>
        <v>-0.51088534107402039</v>
      </c>
      <c r="AC363" s="61"/>
      <c r="AD363" s="44">
        <v>1</v>
      </c>
      <c r="AE363" s="44"/>
      <c r="AF363" s="11">
        <v>11.2</v>
      </c>
      <c r="AG363" s="11">
        <v>3.1</v>
      </c>
      <c r="AI363" s="87">
        <v>11.3</v>
      </c>
      <c r="AJ363" s="87">
        <v>3.4</v>
      </c>
      <c r="AK363" s="1"/>
      <c r="AL363" s="1"/>
      <c r="AM363" s="14"/>
      <c r="AN363" s="1"/>
      <c r="AO363" s="1"/>
    </row>
    <row r="364" spans="1:41" s="1" customFormat="1" ht="15.95" customHeight="1" x14ac:dyDescent="0.25">
      <c r="A364" s="11">
        <v>540</v>
      </c>
      <c r="B364" s="13" t="s">
        <v>43</v>
      </c>
      <c r="C364" s="13" t="s">
        <v>324</v>
      </c>
      <c r="D364" s="13" t="s">
        <v>324</v>
      </c>
      <c r="E364" s="36"/>
      <c r="F364" s="72" t="s">
        <v>287</v>
      </c>
      <c r="G364" s="1">
        <v>2005</v>
      </c>
      <c r="H364" s="11" t="s">
        <v>458</v>
      </c>
      <c r="I364" s="204"/>
      <c r="J364" s="204"/>
      <c r="K364" s="210"/>
      <c r="L364" s="220"/>
      <c r="M364" s="210"/>
      <c r="N364" s="210"/>
      <c r="O364" s="57">
        <v>102</v>
      </c>
      <c r="P364" s="58">
        <v>9</v>
      </c>
      <c r="Q364" s="40">
        <v>26</v>
      </c>
      <c r="R364" s="114">
        <f>(449+529)/2</f>
        <v>489</v>
      </c>
      <c r="S364" s="117">
        <f>(220+142)/2</f>
        <v>181</v>
      </c>
      <c r="T364" s="41"/>
      <c r="U364" s="38">
        <v>112</v>
      </c>
      <c r="V364" s="39">
        <v>8</v>
      </c>
      <c r="W364" s="40">
        <v>21</v>
      </c>
      <c r="X364" s="11"/>
      <c r="Y364" s="11"/>
      <c r="Z364" s="11"/>
      <c r="AA364" s="11">
        <v>-1</v>
      </c>
      <c r="AB364" s="43">
        <f>((U364-O364)/V364)*AA364 * (1-(3/(4*(Q364+W364-2)-1)))</f>
        <v>-1.229050279329609</v>
      </c>
      <c r="AC364" s="61"/>
      <c r="AD364" s="44">
        <v>1</v>
      </c>
      <c r="AE364" s="44"/>
      <c r="AF364" s="119">
        <v>12.3</v>
      </c>
      <c r="AG364" s="119">
        <v>3.7</v>
      </c>
      <c r="AH364" s="119"/>
      <c r="AI364" s="120">
        <v>11.8</v>
      </c>
      <c r="AJ364" s="120">
        <v>3.6</v>
      </c>
      <c r="AM364" s="14"/>
    </row>
    <row r="365" spans="1:41" s="1" customFormat="1" ht="15.95" customHeight="1" x14ac:dyDescent="0.25">
      <c r="A365" s="11">
        <v>533</v>
      </c>
      <c r="B365" s="13" t="s">
        <v>43</v>
      </c>
      <c r="C365" s="13" t="s">
        <v>324</v>
      </c>
      <c r="D365" s="13" t="s">
        <v>324</v>
      </c>
      <c r="E365" s="36"/>
      <c r="F365" s="13" t="s">
        <v>300</v>
      </c>
      <c r="G365" s="13">
        <v>2012</v>
      </c>
      <c r="H365" s="13" t="s">
        <v>518</v>
      </c>
      <c r="I365" s="204"/>
      <c r="J365" s="204"/>
      <c r="K365" s="204"/>
      <c r="L365" s="207"/>
      <c r="M365" s="207"/>
      <c r="N365" s="204"/>
      <c r="O365" s="124">
        <v>106</v>
      </c>
      <c r="P365" s="125">
        <v>10.9</v>
      </c>
      <c r="Q365" s="40">
        <v>42</v>
      </c>
      <c r="R365" s="41">
        <v>546</v>
      </c>
      <c r="S365" s="39">
        <v>331</v>
      </c>
      <c r="T365" s="41"/>
      <c r="U365" s="38">
        <v>114.6</v>
      </c>
      <c r="V365" s="39">
        <v>13.9</v>
      </c>
      <c r="W365" s="40">
        <v>81</v>
      </c>
      <c r="X365" s="11"/>
      <c r="Y365" s="11"/>
      <c r="Z365" s="11"/>
      <c r="AA365" s="11">
        <v>-1</v>
      </c>
      <c r="AB365" s="43">
        <f>((U365-O365)/V365)*AA365 * (1-(3/(4*(Q365+W365-2)-1)))</f>
        <v>-0.61486214754904112</v>
      </c>
      <c r="AC365" s="61"/>
      <c r="AD365" s="44">
        <v>1</v>
      </c>
      <c r="AE365" s="44"/>
      <c r="AF365" s="119">
        <v>11.8</v>
      </c>
      <c r="AG365" s="119">
        <v>3.5</v>
      </c>
      <c r="AH365" s="119"/>
      <c r="AI365" s="87">
        <v>12.3</v>
      </c>
      <c r="AJ365" s="87">
        <v>3.2</v>
      </c>
      <c r="AK365" s="11"/>
      <c r="AL365" s="11"/>
      <c r="AM365" s="11"/>
      <c r="AN365" s="11"/>
    </row>
    <row r="366" spans="1:41" s="13" customFormat="1" ht="15.95" customHeight="1" x14ac:dyDescent="0.25">
      <c r="A366" s="11">
        <v>534</v>
      </c>
      <c r="B366" s="13" t="s">
        <v>43</v>
      </c>
      <c r="C366" s="13" t="s">
        <v>324</v>
      </c>
      <c r="D366" s="13" t="s">
        <v>324</v>
      </c>
      <c r="E366" s="36"/>
      <c r="F366" s="13" t="s">
        <v>519</v>
      </c>
      <c r="G366" s="13">
        <v>2004</v>
      </c>
      <c r="H366" s="13" t="s">
        <v>531</v>
      </c>
      <c r="I366" s="204"/>
      <c r="J366" s="204"/>
      <c r="K366" s="204"/>
      <c r="L366" s="207"/>
      <c r="M366" s="207"/>
      <c r="N366" s="204"/>
      <c r="O366" s="124">
        <v>102.14</v>
      </c>
      <c r="P366" s="125">
        <v>10.210000000000001</v>
      </c>
      <c r="Q366" s="40">
        <v>14</v>
      </c>
      <c r="R366" s="114">
        <v>491</v>
      </c>
      <c r="S366" s="117">
        <v>149.19999999999999</v>
      </c>
      <c r="T366" s="41"/>
      <c r="U366" s="38">
        <v>108.8</v>
      </c>
      <c r="V366" s="39">
        <v>12.7</v>
      </c>
      <c r="W366" s="40">
        <v>14</v>
      </c>
      <c r="X366" s="11"/>
      <c r="Y366" s="11"/>
      <c r="Z366" s="11"/>
      <c r="AA366" s="11">
        <v>-1</v>
      </c>
      <c r="AB366" s="43">
        <f>((U366-O366)/V366)*AA366 * (1-(3/(4*(Q366+W366-2)-1)))</f>
        <v>-0.50913538720281304</v>
      </c>
      <c r="AC366" s="61"/>
      <c r="AD366" s="44">
        <v>1</v>
      </c>
      <c r="AE366" s="44"/>
      <c r="AF366" s="119">
        <v>10.8</v>
      </c>
      <c r="AG366" s="119">
        <f>(13-8)/4</f>
        <v>1.25</v>
      </c>
      <c r="AH366" s="119"/>
      <c r="AI366" s="120">
        <v>10.9</v>
      </c>
      <c r="AJ366" s="121">
        <f>(13-8)/4</f>
        <v>1.25</v>
      </c>
      <c r="AO366" s="1"/>
    </row>
    <row r="367" spans="1:41" s="1" customFormat="1" ht="15.95" customHeight="1" x14ac:dyDescent="0.25">
      <c r="A367" s="11">
        <v>535</v>
      </c>
      <c r="B367" s="13" t="s">
        <v>43</v>
      </c>
      <c r="C367" s="13" t="s">
        <v>324</v>
      </c>
      <c r="D367" s="13" t="s">
        <v>324</v>
      </c>
      <c r="E367" s="36"/>
      <c r="F367" s="13" t="s">
        <v>698</v>
      </c>
      <c r="G367" s="13">
        <v>2000</v>
      </c>
      <c r="H367" s="13" t="s">
        <v>699</v>
      </c>
      <c r="I367" s="204"/>
      <c r="J367" s="204"/>
      <c r="K367" s="210" t="s">
        <v>700</v>
      </c>
      <c r="L367" s="207"/>
      <c r="M367" s="207"/>
      <c r="N367" s="204"/>
      <c r="O367" s="124">
        <v>101</v>
      </c>
      <c r="P367" s="125">
        <v>10.4</v>
      </c>
      <c r="Q367" s="40">
        <v>19</v>
      </c>
      <c r="R367" s="41">
        <v>777.2</v>
      </c>
      <c r="S367" s="39">
        <v>199.9</v>
      </c>
      <c r="T367" s="41"/>
      <c r="U367" s="122">
        <v>101</v>
      </c>
      <c r="V367" s="39">
        <v>12</v>
      </c>
      <c r="W367" s="40">
        <v>19</v>
      </c>
      <c r="X367" s="11"/>
      <c r="Y367" s="11"/>
      <c r="Z367" s="11"/>
      <c r="AA367" s="11">
        <v>-1</v>
      </c>
      <c r="AB367" s="43">
        <f>((U367-O367)/V367)*AA367 * (1-(3/(4*(Q367+W367-2)-1)))</f>
        <v>0</v>
      </c>
      <c r="AC367" s="61"/>
      <c r="AD367" s="44">
        <v>1</v>
      </c>
      <c r="AE367" s="44"/>
      <c r="AF367" s="11">
        <v>9.4</v>
      </c>
      <c r="AG367" s="11">
        <v>2.9</v>
      </c>
      <c r="AH367" s="11"/>
      <c r="AI367" s="87">
        <v>9.3000000000000007</v>
      </c>
      <c r="AJ367" s="87">
        <v>2.9</v>
      </c>
      <c r="AK367" s="13"/>
      <c r="AL367" s="13"/>
      <c r="AM367" s="13"/>
      <c r="AN367" s="13"/>
    </row>
    <row r="368" spans="1:41" s="11" customFormat="1" ht="15.95" customHeight="1" x14ac:dyDescent="0.25">
      <c r="A368" s="11">
        <v>536</v>
      </c>
      <c r="B368" s="13" t="s">
        <v>43</v>
      </c>
      <c r="C368" s="13" t="s">
        <v>324</v>
      </c>
      <c r="D368" s="13" t="s">
        <v>324</v>
      </c>
      <c r="E368" s="36"/>
      <c r="F368" s="13" t="s">
        <v>713</v>
      </c>
      <c r="G368" s="13">
        <v>1999</v>
      </c>
      <c r="H368" s="13" t="s">
        <v>531</v>
      </c>
      <c r="I368" s="204"/>
      <c r="J368" s="204"/>
      <c r="K368" s="204"/>
      <c r="L368" s="207"/>
      <c r="M368" s="207"/>
      <c r="N368" s="204"/>
      <c r="O368" s="124">
        <v>98</v>
      </c>
      <c r="P368" s="125">
        <v>13</v>
      </c>
      <c r="Q368" s="40">
        <v>36</v>
      </c>
      <c r="R368" s="41">
        <v>455</v>
      </c>
      <c r="S368" s="39">
        <v>250</v>
      </c>
      <c r="T368" s="41"/>
      <c r="U368" s="38">
        <v>105</v>
      </c>
      <c r="V368" s="39">
        <v>11</v>
      </c>
      <c r="W368" s="40">
        <v>36</v>
      </c>
      <c r="AA368" s="11">
        <v>-1</v>
      </c>
      <c r="AB368" s="43">
        <f>((U368-O368)/V368)*AA368 * (1-(3/(4*(Q368+W368-2)-1)))</f>
        <v>-0.62952101661779081</v>
      </c>
      <c r="AC368" s="61"/>
      <c r="AD368" s="44">
        <v>1</v>
      </c>
      <c r="AE368" s="44"/>
      <c r="AF368" s="11">
        <v>13.3</v>
      </c>
      <c r="AG368" s="11">
        <v>3</v>
      </c>
      <c r="AI368" s="87">
        <v>13.2</v>
      </c>
      <c r="AJ368" s="87">
        <v>3</v>
      </c>
      <c r="AL368" s="13"/>
      <c r="AM368" s="13"/>
      <c r="AN368" s="13"/>
      <c r="AO368" s="1"/>
    </row>
    <row r="369" spans="1:41" s="1" customFormat="1" ht="15.95" customHeight="1" x14ac:dyDescent="0.25">
      <c r="A369" s="11">
        <v>528</v>
      </c>
      <c r="B369" s="13" t="s">
        <v>43</v>
      </c>
      <c r="C369" s="13" t="s">
        <v>324</v>
      </c>
      <c r="D369" s="13" t="s">
        <v>324</v>
      </c>
      <c r="E369" s="36"/>
      <c r="F369" s="13" t="s">
        <v>750</v>
      </c>
      <c r="G369" s="13">
        <v>1995</v>
      </c>
      <c r="H369" s="13" t="s">
        <v>754</v>
      </c>
      <c r="I369" s="204"/>
      <c r="J369" s="204"/>
      <c r="K369" s="204"/>
      <c r="L369" s="207"/>
      <c r="M369" s="207"/>
      <c r="N369" s="204"/>
      <c r="O369" s="124">
        <v>101.4</v>
      </c>
      <c r="P369" s="125">
        <v>10</v>
      </c>
      <c r="Q369" s="148">
        <v>20</v>
      </c>
      <c r="R369" s="97">
        <v>583</v>
      </c>
      <c r="S369" s="125">
        <v>377</v>
      </c>
      <c r="T369" s="97"/>
      <c r="U369" s="124">
        <v>104.7</v>
      </c>
      <c r="V369" s="125">
        <v>9.5</v>
      </c>
      <c r="W369" s="126">
        <v>20</v>
      </c>
      <c r="X369" s="127">
        <v>20</v>
      </c>
      <c r="Y369" s="13"/>
      <c r="Z369" s="13"/>
      <c r="AA369" s="13">
        <v>-1</v>
      </c>
      <c r="AB369" s="43">
        <f>((U369-O369)/V369)*AA369 * (1-(3/(4*(Q369+W369-2)-1)))</f>
        <v>-0.34046706169396973</v>
      </c>
      <c r="AC369" s="128"/>
      <c r="AD369" s="44">
        <v>1</v>
      </c>
      <c r="AE369" s="44"/>
      <c r="AF369" s="129">
        <f>131/12</f>
        <v>10.916666666666666</v>
      </c>
      <c r="AG369" s="129">
        <v>1.3</v>
      </c>
      <c r="AH369" s="129"/>
      <c r="AI369" s="129">
        <v>11</v>
      </c>
      <c r="AJ369" s="129">
        <v>1.1000000000000001</v>
      </c>
      <c r="AK369" s="13"/>
      <c r="AL369" s="13"/>
      <c r="AM369" s="13"/>
      <c r="AN369" s="13"/>
      <c r="AO369" s="13"/>
    </row>
    <row r="370" spans="1:41" s="1" customFormat="1" ht="15.95" customHeight="1" x14ac:dyDescent="0.25">
      <c r="A370" s="11">
        <v>538</v>
      </c>
      <c r="B370" s="13" t="s">
        <v>43</v>
      </c>
      <c r="C370" s="13" t="s">
        <v>324</v>
      </c>
      <c r="D370" s="13" t="s">
        <v>324</v>
      </c>
      <c r="E370" s="36"/>
      <c r="F370" s="13" t="s">
        <v>322</v>
      </c>
      <c r="G370" s="13">
        <v>2001</v>
      </c>
      <c r="H370" s="13" t="s">
        <v>764</v>
      </c>
      <c r="I370" s="204"/>
      <c r="J370" s="204"/>
      <c r="K370" s="204" t="s">
        <v>765</v>
      </c>
      <c r="L370" s="207"/>
      <c r="M370" s="207"/>
      <c r="N370" s="204"/>
      <c r="O370" s="124">
        <v>107</v>
      </c>
      <c r="P370" s="125">
        <v>15</v>
      </c>
      <c r="Q370" s="40">
        <v>23</v>
      </c>
      <c r="R370" s="41">
        <v>496.4</v>
      </c>
      <c r="S370" s="39">
        <v>230</v>
      </c>
      <c r="T370" s="41"/>
      <c r="U370" s="38">
        <v>114</v>
      </c>
      <c r="V370" s="39">
        <v>16</v>
      </c>
      <c r="W370" s="40">
        <v>23</v>
      </c>
      <c r="X370" s="11"/>
      <c r="Y370" s="11"/>
      <c r="Z370" s="11"/>
      <c r="AA370" s="11">
        <v>-1</v>
      </c>
      <c r="AB370" s="43">
        <f>((U370-O370)/V370)*AA370 * (1-(3/(4*(Q370+W370-2)-1)))</f>
        <v>-0.43</v>
      </c>
      <c r="AC370" s="61"/>
      <c r="AD370" s="44">
        <v>1</v>
      </c>
      <c r="AE370" s="44"/>
      <c r="AF370" s="11">
        <v>10.7</v>
      </c>
      <c r="AG370" s="11">
        <v>3.4</v>
      </c>
      <c r="AH370" s="11"/>
      <c r="AI370" s="87">
        <v>11.1</v>
      </c>
      <c r="AJ370" s="87">
        <v>3.7</v>
      </c>
      <c r="AK370" s="13"/>
      <c r="AL370" s="13"/>
      <c r="AM370" s="13"/>
      <c r="AN370" s="13"/>
      <c r="AO370" s="18"/>
    </row>
    <row r="371" spans="1:41" s="1" customFormat="1" ht="15.95" customHeight="1" x14ac:dyDescent="0.25">
      <c r="A371" s="11">
        <v>537</v>
      </c>
      <c r="B371" s="13" t="s">
        <v>43</v>
      </c>
      <c r="C371" s="13" t="s">
        <v>324</v>
      </c>
      <c r="D371" s="13" t="s">
        <v>324</v>
      </c>
      <c r="E371" s="36"/>
      <c r="F371" s="13" t="s">
        <v>322</v>
      </c>
      <c r="G371" s="13">
        <v>2001</v>
      </c>
      <c r="H371" s="13" t="s">
        <v>769</v>
      </c>
      <c r="I371" s="204"/>
      <c r="J371" s="204"/>
      <c r="K371" s="204" t="s">
        <v>770</v>
      </c>
      <c r="L371" s="207"/>
      <c r="M371" s="207"/>
      <c r="N371" s="204"/>
      <c r="O371" s="124">
        <v>106</v>
      </c>
      <c r="P371" s="125">
        <v>19</v>
      </c>
      <c r="Q371" s="40">
        <v>23</v>
      </c>
      <c r="R371" s="41">
        <v>496.4</v>
      </c>
      <c r="S371" s="39">
        <v>230</v>
      </c>
      <c r="T371" s="41"/>
      <c r="U371" s="38">
        <v>113</v>
      </c>
      <c r="V371" s="39">
        <v>19</v>
      </c>
      <c r="W371" s="40">
        <v>23</v>
      </c>
      <c r="X371" s="11"/>
      <c r="Y371" s="11"/>
      <c r="Z371" s="11"/>
      <c r="AA371" s="11">
        <v>-1</v>
      </c>
      <c r="AB371" s="43">
        <f>((U371-O371)/V371)*AA371 * (1-(3/(4*(Q371+W371-2)-1)))</f>
        <v>-0.36210526315789471</v>
      </c>
      <c r="AC371" s="61"/>
      <c r="AD371" s="44">
        <v>1</v>
      </c>
      <c r="AE371" s="44"/>
      <c r="AF371" s="11">
        <v>10.7</v>
      </c>
      <c r="AG371" s="11">
        <v>3.4</v>
      </c>
      <c r="AH371" s="11"/>
      <c r="AI371" s="87">
        <v>11.1</v>
      </c>
      <c r="AJ371" s="87">
        <v>3.7</v>
      </c>
      <c r="AK371" s="13"/>
      <c r="AL371" s="13"/>
      <c r="AM371" s="13"/>
      <c r="AN371" s="13"/>
      <c r="AO371" s="98"/>
    </row>
    <row r="372" spans="1:41" s="11" customFormat="1" ht="15.95" customHeight="1" x14ac:dyDescent="0.25">
      <c r="A372" s="11">
        <v>529</v>
      </c>
      <c r="B372" s="13" t="s">
        <v>43</v>
      </c>
      <c r="C372" s="13" t="s">
        <v>324</v>
      </c>
      <c r="D372" s="13" t="s">
        <v>324</v>
      </c>
      <c r="E372" s="36"/>
      <c r="F372" s="118" t="s">
        <v>776</v>
      </c>
      <c r="G372" s="118">
        <v>2005</v>
      </c>
      <c r="H372" s="123" t="s">
        <v>364</v>
      </c>
      <c r="I372" s="205"/>
      <c r="J372" s="205"/>
      <c r="K372" s="205"/>
      <c r="L372" s="235">
        <v>9.1999999999999993</v>
      </c>
      <c r="M372" s="204">
        <v>2</v>
      </c>
      <c r="N372" s="236"/>
      <c r="O372" s="156">
        <v>99</v>
      </c>
      <c r="P372" s="39">
        <v>8.1</v>
      </c>
      <c r="Q372" s="97">
        <v>9</v>
      </c>
      <c r="R372" s="41">
        <v>297</v>
      </c>
      <c r="S372" s="41">
        <v>165</v>
      </c>
      <c r="T372" s="97"/>
      <c r="U372" s="38">
        <v>103</v>
      </c>
      <c r="V372" s="41">
        <v>7.9</v>
      </c>
      <c r="W372" s="41">
        <v>9</v>
      </c>
      <c r="X372" s="155">
        <v>9</v>
      </c>
      <c r="Y372" s="155">
        <v>5</v>
      </c>
      <c r="AA372" s="44">
        <v>-1</v>
      </c>
      <c r="AB372" s="43">
        <f>((U372-O372)/V372)*AA372 * (1-(3/(4*(Q372+W372-2)-1)))</f>
        <v>-0.48221820373719099</v>
      </c>
      <c r="AC372" s="157"/>
      <c r="AD372" s="13">
        <v>1</v>
      </c>
      <c r="AE372" s="13"/>
      <c r="AF372" s="157">
        <v>9.1999999999999993</v>
      </c>
      <c r="AG372" s="157">
        <v>2</v>
      </c>
      <c r="AH372" s="13"/>
      <c r="AI372" s="13">
        <v>9.1999999999999993</v>
      </c>
      <c r="AJ372" s="123">
        <v>1.9</v>
      </c>
      <c r="AK372" s="13"/>
      <c r="AL372" s="118" t="s">
        <v>777</v>
      </c>
      <c r="AM372" s="123" t="s">
        <v>778</v>
      </c>
      <c r="AN372" s="13"/>
      <c r="AO372" s="1"/>
    </row>
    <row r="373" spans="1:41" s="1" customFormat="1" ht="15.95" customHeight="1" x14ac:dyDescent="0.25">
      <c r="A373" s="11">
        <v>524</v>
      </c>
      <c r="B373" s="11" t="s">
        <v>54</v>
      </c>
      <c r="C373" s="1" t="s">
        <v>324</v>
      </c>
      <c r="D373" s="1" t="s">
        <v>324</v>
      </c>
      <c r="E373" s="36"/>
      <c r="F373" s="72" t="s">
        <v>343</v>
      </c>
      <c r="G373" s="1">
        <v>2020</v>
      </c>
      <c r="H373" s="11" t="s">
        <v>344</v>
      </c>
      <c r="I373" s="204"/>
      <c r="J373" s="204"/>
      <c r="K373" s="210" t="s">
        <v>345</v>
      </c>
      <c r="L373" s="220"/>
      <c r="M373" s="210"/>
      <c r="N373" s="210"/>
      <c r="O373" s="57">
        <v>106.3</v>
      </c>
      <c r="P373" s="58">
        <v>11.8</v>
      </c>
      <c r="Q373" s="40">
        <v>20</v>
      </c>
      <c r="R373" s="42">
        <v>593.29999999999995</v>
      </c>
      <c r="S373" s="58">
        <v>356</v>
      </c>
      <c r="T373" s="42"/>
      <c r="U373" s="57">
        <v>113.9</v>
      </c>
      <c r="V373" s="39">
        <v>13.4</v>
      </c>
      <c r="W373" s="40">
        <v>20</v>
      </c>
      <c r="Y373" s="55"/>
      <c r="Z373" s="55"/>
      <c r="AA373" s="1">
        <v>-1</v>
      </c>
      <c r="AB373" s="43">
        <f>((U373-O373)/V373)*AA373 * (1-(3/(4*(Q373+W373-2)-1)))</f>
        <v>-0.55589601660571375</v>
      </c>
      <c r="AC373" s="61"/>
      <c r="AD373" s="44">
        <v>1</v>
      </c>
      <c r="AE373" s="44"/>
      <c r="AF373" s="14">
        <v>16</v>
      </c>
      <c r="AG373" s="14">
        <v>3.8</v>
      </c>
      <c r="AI373" s="62">
        <v>16.2</v>
      </c>
      <c r="AJ373" s="62">
        <v>3.8</v>
      </c>
      <c r="AL373" s="14" t="s">
        <v>116</v>
      </c>
      <c r="AM373" s="14" t="s">
        <v>117</v>
      </c>
      <c r="AN373" s="1" t="s">
        <v>116</v>
      </c>
      <c r="AO373" s="13"/>
    </row>
    <row r="374" spans="1:41" s="1" customFormat="1" ht="15.95" customHeight="1" x14ac:dyDescent="0.25">
      <c r="A374" s="11">
        <v>526</v>
      </c>
      <c r="B374" s="11" t="s">
        <v>54</v>
      </c>
      <c r="C374" s="1" t="s">
        <v>324</v>
      </c>
      <c r="D374" s="1" t="s">
        <v>324</v>
      </c>
      <c r="E374" s="36"/>
      <c r="F374" s="72" t="s">
        <v>369</v>
      </c>
      <c r="G374" s="1">
        <v>2013</v>
      </c>
      <c r="H374" s="11" t="s">
        <v>344</v>
      </c>
      <c r="I374" s="204"/>
      <c r="J374" s="204"/>
      <c r="K374" s="210" t="s">
        <v>345</v>
      </c>
      <c r="L374" s="220"/>
      <c r="M374" s="210"/>
      <c r="N374" s="210"/>
      <c r="O374" s="57">
        <v>99</v>
      </c>
      <c r="P374" s="58">
        <v>13</v>
      </c>
      <c r="Q374" s="40">
        <v>32</v>
      </c>
      <c r="R374" s="42">
        <v>734</v>
      </c>
      <c r="S374" s="58">
        <v>410</v>
      </c>
      <c r="T374" s="42"/>
      <c r="U374" s="57">
        <v>109</v>
      </c>
      <c r="V374" s="39">
        <v>11</v>
      </c>
      <c r="W374" s="40">
        <v>12</v>
      </c>
      <c r="Y374" s="55"/>
      <c r="Z374" s="55"/>
      <c r="AA374" s="1">
        <v>-1</v>
      </c>
      <c r="AB374" s="43">
        <f>((U374-O374)/V374)*AA374 * (1-(3/(4*(Q374+W374-2)-1)))</f>
        <v>-0.89275993467610226</v>
      </c>
      <c r="AC374" s="61"/>
      <c r="AD374" s="44">
        <v>1</v>
      </c>
      <c r="AE374" s="44"/>
      <c r="AF374" s="14">
        <v>18</v>
      </c>
      <c r="AG374" s="14">
        <v>9</v>
      </c>
      <c r="AI374" s="62">
        <v>17.8</v>
      </c>
      <c r="AJ374" s="62">
        <v>8</v>
      </c>
      <c r="AL374" s="1" t="s">
        <v>147</v>
      </c>
      <c r="AM374" s="14"/>
      <c r="AO374" s="13"/>
    </row>
    <row r="375" spans="1:41" s="1" customFormat="1" ht="15.95" customHeight="1" x14ac:dyDescent="0.25">
      <c r="A375" s="11">
        <v>525</v>
      </c>
      <c r="B375" s="11" t="s">
        <v>54</v>
      </c>
      <c r="C375" s="11" t="s">
        <v>324</v>
      </c>
      <c r="D375" s="11" t="s">
        <v>324</v>
      </c>
      <c r="E375" s="36"/>
      <c r="F375" s="11" t="s">
        <v>398</v>
      </c>
      <c r="G375" s="11">
        <v>2012</v>
      </c>
      <c r="H375" s="11" t="s">
        <v>344</v>
      </c>
      <c r="I375" s="204"/>
      <c r="J375" s="204"/>
      <c r="K375" s="210" t="s">
        <v>345</v>
      </c>
      <c r="L375" s="207"/>
      <c r="M375" s="204"/>
      <c r="N375" s="210"/>
      <c r="O375" s="38">
        <v>99.3</v>
      </c>
      <c r="P375" s="39">
        <v>11.3</v>
      </c>
      <c r="Q375" s="40">
        <v>13</v>
      </c>
      <c r="R375" s="168">
        <v>780</v>
      </c>
      <c r="S375" s="41"/>
      <c r="T375" s="41"/>
      <c r="U375" s="38">
        <v>110.1</v>
      </c>
      <c r="V375" s="41">
        <v>9.4</v>
      </c>
      <c r="W375" s="40">
        <v>13</v>
      </c>
      <c r="X375" s="11"/>
      <c r="Y375" s="11"/>
      <c r="Z375" s="11"/>
      <c r="AA375" s="11">
        <v>-1</v>
      </c>
      <c r="AB375" s="43">
        <f>((U375-O375)/V375)*AA375 * (1-(3/(4*(Q375+W375-2)-1)))</f>
        <v>-1.1126539753639415</v>
      </c>
      <c r="AC375" s="11"/>
      <c r="AD375" s="44">
        <v>1</v>
      </c>
      <c r="AE375" s="11"/>
      <c r="AF375" s="11">
        <v>22.1</v>
      </c>
      <c r="AG375" s="11">
        <v>9.4</v>
      </c>
      <c r="AH375" s="11"/>
      <c r="AI375" s="11">
        <v>22.7</v>
      </c>
      <c r="AJ375" s="11">
        <v>8.9</v>
      </c>
      <c r="AK375" s="11"/>
      <c r="AL375" s="11" t="s">
        <v>399</v>
      </c>
    </row>
    <row r="376" spans="1:41" s="1" customFormat="1" ht="15.95" customHeight="1" x14ac:dyDescent="0.25">
      <c r="A376" s="11">
        <v>346</v>
      </c>
      <c r="B376" s="1" t="s">
        <v>34</v>
      </c>
      <c r="C376" s="14" t="s">
        <v>161</v>
      </c>
      <c r="D376" s="14" t="s">
        <v>161</v>
      </c>
      <c r="E376" s="36" t="s">
        <v>81</v>
      </c>
      <c r="F376" s="11" t="s">
        <v>148</v>
      </c>
      <c r="G376" s="1">
        <v>2018</v>
      </c>
      <c r="H376" s="11" t="s">
        <v>162</v>
      </c>
      <c r="I376" s="204" t="s">
        <v>39</v>
      </c>
      <c r="J376" s="204" t="s">
        <v>39</v>
      </c>
      <c r="K376" s="210" t="s">
        <v>163</v>
      </c>
      <c r="L376" s="220" t="s">
        <v>164</v>
      </c>
      <c r="M376" s="220"/>
      <c r="N376" s="220"/>
      <c r="O376" s="57">
        <v>12.8</v>
      </c>
      <c r="P376" s="58">
        <v>9.5</v>
      </c>
      <c r="Q376" s="40">
        <v>15</v>
      </c>
      <c r="R376" s="59">
        <v>751.2</v>
      </c>
      <c r="S376" s="60"/>
      <c r="T376" s="59"/>
      <c r="U376" s="57">
        <v>10.7</v>
      </c>
      <c r="V376" s="39">
        <v>7.1</v>
      </c>
      <c r="W376" s="40">
        <v>24</v>
      </c>
      <c r="Y376" s="55">
        <f>(U376-O376)/SQRT((V376^2+P376^2)/2)</f>
        <v>-0.25040845347782331</v>
      </c>
      <c r="Z376" s="55"/>
      <c r="AA376" s="14">
        <v>1</v>
      </c>
      <c r="AB376" s="43">
        <f>((U376-O376)/V376)*AA376 * (1-(3/(4*(Q376+W376-2)-1)))</f>
        <v>-0.28973843058350124</v>
      </c>
      <c r="AC376" s="61"/>
      <c r="AD376" s="44">
        <v>1</v>
      </c>
      <c r="AE376" s="44"/>
      <c r="AF376" s="14"/>
      <c r="AG376" s="14"/>
      <c r="AI376" s="62"/>
      <c r="AJ376" s="62"/>
      <c r="AK376" s="14">
        <v>1</v>
      </c>
      <c r="AL376" s="14" t="s">
        <v>116</v>
      </c>
      <c r="AM376" s="1" t="s">
        <v>69</v>
      </c>
      <c r="AN376" s="14" t="s">
        <v>118</v>
      </c>
    </row>
    <row r="377" spans="1:41" s="1" customFormat="1" ht="15.95" customHeight="1" x14ac:dyDescent="0.25">
      <c r="A377" s="11">
        <v>352</v>
      </c>
      <c r="B377" s="1" t="s">
        <v>34</v>
      </c>
      <c r="C377" s="14" t="s">
        <v>161</v>
      </c>
      <c r="D377" s="14" t="s">
        <v>161</v>
      </c>
      <c r="E377" s="36" t="s">
        <v>81</v>
      </c>
      <c r="F377" s="11" t="s">
        <v>148</v>
      </c>
      <c r="G377" s="1">
        <v>2017</v>
      </c>
      <c r="H377" s="11" t="s">
        <v>170</v>
      </c>
      <c r="I377" s="204" t="s">
        <v>39</v>
      </c>
      <c r="J377" s="204" t="s">
        <v>39</v>
      </c>
      <c r="K377" s="210" t="s">
        <v>171</v>
      </c>
      <c r="L377" s="220"/>
      <c r="M377" s="220"/>
      <c r="N377" s="220"/>
      <c r="O377" s="57">
        <v>0.1</v>
      </c>
      <c r="P377" s="58">
        <v>0.2</v>
      </c>
      <c r="Q377" s="40">
        <v>37</v>
      </c>
      <c r="R377" s="59">
        <v>720</v>
      </c>
      <c r="S377" s="60"/>
      <c r="T377" s="59"/>
      <c r="U377" s="57">
        <v>0.1</v>
      </c>
      <c r="V377" s="39">
        <v>0.2</v>
      </c>
      <c r="W377" s="40">
        <v>30</v>
      </c>
      <c r="Y377" s="55">
        <f>(U377-O377)/SQRT((V377^2+P377^2)/2)</f>
        <v>0</v>
      </c>
      <c r="Z377" s="55"/>
      <c r="AA377" s="14">
        <v>1</v>
      </c>
      <c r="AB377" s="43">
        <f>((U377-O377)/V377)*AA377 * (1-(3/(4*(Q377+W377-2)-1)))</f>
        <v>0</v>
      </c>
      <c r="AC377" s="61"/>
      <c r="AD377" s="44">
        <v>1</v>
      </c>
      <c r="AE377" s="44"/>
      <c r="AF377" s="14"/>
      <c r="AG377" s="14"/>
      <c r="AI377" s="62"/>
      <c r="AJ377" s="62"/>
      <c r="AK377" s="14">
        <v>1</v>
      </c>
      <c r="AL377" s="14" t="s">
        <v>116</v>
      </c>
      <c r="AM377" s="1" t="s">
        <v>69</v>
      </c>
      <c r="AN377" s="14" t="s">
        <v>118</v>
      </c>
      <c r="AO377" s="13"/>
    </row>
    <row r="378" spans="1:41" s="11" customFormat="1" ht="15.95" customHeight="1" x14ac:dyDescent="0.25">
      <c r="A378" s="11">
        <v>351</v>
      </c>
      <c r="B378" s="1" t="s">
        <v>34</v>
      </c>
      <c r="C378" s="14" t="s">
        <v>161</v>
      </c>
      <c r="D378" s="14" t="s">
        <v>161</v>
      </c>
      <c r="E378" s="36" t="s">
        <v>81</v>
      </c>
      <c r="F378" s="11" t="s">
        <v>148</v>
      </c>
      <c r="G378" s="1">
        <v>2017</v>
      </c>
      <c r="H378" s="11" t="s">
        <v>176</v>
      </c>
      <c r="I378" s="204" t="s">
        <v>39</v>
      </c>
      <c r="J378" s="204" t="s">
        <v>39</v>
      </c>
      <c r="K378" s="210" t="s">
        <v>177</v>
      </c>
      <c r="L378" s="220"/>
      <c r="M378" s="220"/>
      <c r="N378" s="220"/>
      <c r="O378" s="57">
        <v>8.5</v>
      </c>
      <c r="P378" s="58">
        <v>11</v>
      </c>
      <c r="Q378" s="40">
        <v>30</v>
      </c>
      <c r="R378" s="59">
        <v>720</v>
      </c>
      <c r="S378" s="60"/>
      <c r="T378" s="59"/>
      <c r="U378" s="57">
        <v>7.1</v>
      </c>
      <c r="V378" s="39">
        <v>5.0999999999999996</v>
      </c>
      <c r="W378" s="40">
        <v>30</v>
      </c>
      <c r="X378" s="1"/>
      <c r="Y378" s="55">
        <f>(U378-O378)/SQRT((V378^2+P378^2)/2)</f>
        <v>-0.16329376207040713</v>
      </c>
      <c r="Z378" s="55"/>
      <c r="AA378" s="14">
        <v>1</v>
      </c>
      <c r="AB378" s="43">
        <f>((U378-O378)/V378)*AA378 * (1-(3/(4*(Q378+W378-2)-1)))</f>
        <v>-0.27094474153297693</v>
      </c>
      <c r="AC378" s="61"/>
      <c r="AD378" s="44">
        <v>1</v>
      </c>
      <c r="AE378" s="44"/>
      <c r="AF378" s="14"/>
      <c r="AG378" s="14"/>
      <c r="AH378" s="1"/>
      <c r="AI378" s="62"/>
      <c r="AJ378" s="62"/>
      <c r="AK378" s="14">
        <v>1</v>
      </c>
      <c r="AL378" s="14" t="s">
        <v>116</v>
      </c>
      <c r="AM378" s="1" t="s">
        <v>69</v>
      </c>
      <c r="AN378" s="14" t="s">
        <v>118</v>
      </c>
      <c r="AO378" s="1"/>
    </row>
    <row r="379" spans="1:41" s="1" customFormat="1" ht="15.95" customHeight="1" x14ac:dyDescent="0.25">
      <c r="A379" s="11">
        <v>353</v>
      </c>
      <c r="B379" s="1" t="s">
        <v>34</v>
      </c>
      <c r="C379" s="14" t="s">
        <v>161</v>
      </c>
      <c r="D379" s="14" t="s">
        <v>161</v>
      </c>
      <c r="E379" s="36" t="s">
        <v>81</v>
      </c>
      <c r="F379" s="11" t="s">
        <v>148</v>
      </c>
      <c r="G379" s="1">
        <v>2017</v>
      </c>
      <c r="H379" s="11" t="s">
        <v>210</v>
      </c>
      <c r="I379" s="204" t="s">
        <v>39</v>
      </c>
      <c r="J379" s="204" t="s">
        <v>39</v>
      </c>
      <c r="K379" s="210" t="s">
        <v>211</v>
      </c>
      <c r="L379" s="220"/>
      <c r="M379" s="220"/>
      <c r="N379" s="220"/>
      <c r="O379" s="57">
        <v>7.9</v>
      </c>
      <c r="P379" s="58">
        <v>10.8</v>
      </c>
      <c r="Q379" s="40">
        <v>37</v>
      </c>
      <c r="R379" s="59">
        <v>720</v>
      </c>
      <c r="S379" s="60"/>
      <c r="T379" s="59"/>
      <c r="U379" s="57">
        <v>5.8</v>
      </c>
      <c r="V379" s="39">
        <v>5.7</v>
      </c>
      <c r="W379" s="40">
        <v>30</v>
      </c>
      <c r="Y379" s="55">
        <f>(U379-O379)/SQRT((V379^2+P379^2)/2)</f>
        <v>-0.24319339952292043</v>
      </c>
      <c r="Z379" s="55"/>
      <c r="AA379" s="14">
        <v>1</v>
      </c>
      <c r="AB379" s="43">
        <f>((U379-O379)/V379)*AA379 * (1-(3/(4*(Q379+W379-2)-1)))</f>
        <v>-0.36415362731152212</v>
      </c>
      <c r="AC379" s="61"/>
      <c r="AD379" s="44">
        <v>1</v>
      </c>
      <c r="AE379" s="44"/>
      <c r="AF379" s="14"/>
      <c r="AG379" s="14"/>
      <c r="AI379" s="62"/>
      <c r="AJ379" s="62"/>
      <c r="AK379" s="14">
        <v>1</v>
      </c>
      <c r="AL379" s="14" t="s">
        <v>116</v>
      </c>
      <c r="AM379" s="1" t="s">
        <v>69</v>
      </c>
      <c r="AN379" s="14" t="s">
        <v>118</v>
      </c>
    </row>
    <row r="380" spans="1:41" s="1" customFormat="1" ht="15.95" customHeight="1" x14ac:dyDescent="0.25">
      <c r="A380" s="11">
        <v>355</v>
      </c>
      <c r="B380" s="1" t="s">
        <v>34</v>
      </c>
      <c r="C380" s="14" t="s">
        <v>161</v>
      </c>
      <c r="D380" s="14" t="s">
        <v>161</v>
      </c>
      <c r="E380" s="36" t="s">
        <v>81</v>
      </c>
      <c r="F380" s="11" t="s">
        <v>148</v>
      </c>
      <c r="G380" s="1">
        <v>2017</v>
      </c>
      <c r="H380" s="11" t="s">
        <v>224</v>
      </c>
      <c r="I380" s="204" t="s">
        <v>39</v>
      </c>
      <c r="J380" s="204" t="s">
        <v>39</v>
      </c>
      <c r="K380" s="210" t="s">
        <v>225</v>
      </c>
      <c r="L380" s="220"/>
      <c r="M380" s="220"/>
      <c r="N380" s="220"/>
      <c r="O380" s="57">
        <v>0.7</v>
      </c>
      <c r="P380" s="58">
        <v>1</v>
      </c>
      <c r="Q380" s="40">
        <v>37</v>
      </c>
      <c r="R380" s="59">
        <v>720</v>
      </c>
      <c r="S380" s="60"/>
      <c r="T380" s="59"/>
      <c r="U380" s="57">
        <v>0.6</v>
      </c>
      <c r="V380" s="39">
        <v>0.8</v>
      </c>
      <c r="W380" s="40">
        <v>30</v>
      </c>
      <c r="Y380" s="55">
        <f>(U380-O380)/SQRT((V380^2+P380^2)/2)</f>
        <v>-0.11043152607484651</v>
      </c>
      <c r="Z380" s="55"/>
      <c r="AA380" s="14">
        <v>1</v>
      </c>
      <c r="AB380" s="43">
        <f>((U380-O380)/V380)*AA380 * (1-(3/(4*(Q380+W380-2)-1)))</f>
        <v>-0.12355212355212353</v>
      </c>
      <c r="AC380" s="61"/>
      <c r="AD380" s="44">
        <v>1</v>
      </c>
      <c r="AE380" s="101">
        <f>AVERAGE(AB336:AB380)</f>
        <v>-0.560787395609738</v>
      </c>
      <c r="AF380" s="14"/>
      <c r="AG380" s="14"/>
      <c r="AI380" s="62"/>
      <c r="AJ380" s="62"/>
      <c r="AK380" s="14">
        <v>1</v>
      </c>
      <c r="AL380" s="14" t="s">
        <v>116</v>
      </c>
      <c r="AM380" s="1" t="s">
        <v>69</v>
      </c>
      <c r="AN380" s="14" t="s">
        <v>118</v>
      </c>
    </row>
    <row r="381" spans="1:41" s="13" customFormat="1" ht="15.95" customHeight="1" x14ac:dyDescent="0.25">
      <c r="A381" s="11">
        <v>354</v>
      </c>
      <c r="B381" s="1" t="s">
        <v>34</v>
      </c>
      <c r="C381" s="14" t="s">
        <v>161</v>
      </c>
      <c r="D381" s="14" t="s">
        <v>161</v>
      </c>
      <c r="E381" s="36" t="s">
        <v>81</v>
      </c>
      <c r="F381" s="11" t="s">
        <v>148</v>
      </c>
      <c r="G381" s="1">
        <v>2017</v>
      </c>
      <c r="H381" s="11" t="s">
        <v>608</v>
      </c>
      <c r="I381" s="204"/>
      <c r="J381" s="204"/>
      <c r="K381" s="210" t="s">
        <v>609</v>
      </c>
      <c r="L381" s="220"/>
      <c r="M381" s="220"/>
      <c r="N381" s="220"/>
      <c r="O381" s="57">
        <v>13.3</v>
      </c>
      <c r="P381" s="58">
        <v>8.1999999999999993</v>
      </c>
      <c r="Q381" s="40">
        <v>37</v>
      </c>
      <c r="R381" s="59">
        <v>720</v>
      </c>
      <c r="S381" s="60"/>
      <c r="T381" s="59"/>
      <c r="U381" s="57">
        <v>11.9</v>
      </c>
      <c r="V381" s="39">
        <v>7.6</v>
      </c>
      <c r="W381" s="40">
        <v>30</v>
      </c>
      <c r="X381" s="1"/>
      <c r="Y381" s="55">
        <f>(U381-O381)/SQRT((V381^2+P381^2)/2)</f>
        <v>-0.1770875489694293</v>
      </c>
      <c r="Z381" s="55"/>
      <c r="AA381" s="14">
        <v>1</v>
      </c>
      <c r="AB381" s="43">
        <f>((U381-O381)/V381)*AA381 * (1-(3/(4*(Q381+W381-2)-1)))</f>
        <v>-0.18207681365576106</v>
      </c>
      <c r="AC381" s="61"/>
      <c r="AD381" s="44">
        <v>1</v>
      </c>
      <c r="AE381" s="44"/>
      <c r="AF381" s="14"/>
      <c r="AG381" s="14"/>
      <c r="AH381" s="1"/>
      <c r="AI381" s="62"/>
      <c r="AJ381" s="62"/>
      <c r="AK381" s="14">
        <v>1</v>
      </c>
      <c r="AL381" s="14" t="s">
        <v>116</v>
      </c>
      <c r="AM381" s="1" t="s">
        <v>69</v>
      </c>
      <c r="AN381" s="14" t="s">
        <v>118</v>
      </c>
      <c r="AO381" s="1"/>
    </row>
    <row r="382" spans="1:41" s="1" customFormat="1" ht="15.95" customHeight="1" x14ac:dyDescent="0.25">
      <c r="A382" s="11">
        <v>347</v>
      </c>
      <c r="B382" s="1" t="s">
        <v>34</v>
      </c>
      <c r="C382" s="14" t="s">
        <v>161</v>
      </c>
      <c r="D382" s="14" t="s">
        <v>161</v>
      </c>
      <c r="E382" s="36" t="s">
        <v>81</v>
      </c>
      <c r="F382" s="11" t="s">
        <v>148</v>
      </c>
      <c r="G382" s="1">
        <v>2018</v>
      </c>
      <c r="H382" s="11" t="s">
        <v>629</v>
      </c>
      <c r="I382" s="204"/>
      <c r="J382" s="204"/>
      <c r="K382" s="210" t="s">
        <v>630</v>
      </c>
      <c r="L382" s="220"/>
      <c r="M382" s="220"/>
      <c r="N382" s="220"/>
      <c r="O382" s="74">
        <v>2.1</v>
      </c>
      <c r="P382" s="60">
        <v>1.4</v>
      </c>
      <c r="Q382" s="91">
        <v>33</v>
      </c>
      <c r="R382" s="59">
        <v>751.2</v>
      </c>
      <c r="S382" s="60"/>
      <c r="T382" s="59"/>
      <c r="U382" s="74">
        <v>1.8</v>
      </c>
      <c r="V382" s="92">
        <v>1.7</v>
      </c>
      <c r="W382" s="91">
        <v>32</v>
      </c>
      <c r="X382" s="14"/>
      <c r="Y382" s="55">
        <f>(U382-O382)/SQRT((V382^2+P382^2)/2)</f>
        <v>-0.1926483897203807</v>
      </c>
      <c r="Z382" s="55"/>
      <c r="AA382" s="14">
        <v>1</v>
      </c>
      <c r="AB382" s="43">
        <f>((U382-O382)/V382)*AA382 * (1-(3/(4*(Q382+W382-2)-1)))</f>
        <v>-0.17436137801734244</v>
      </c>
      <c r="AC382" s="61"/>
      <c r="AD382" s="44">
        <v>1</v>
      </c>
      <c r="AE382" s="44"/>
      <c r="AF382" s="14"/>
      <c r="AG382" s="14"/>
      <c r="AI382" s="62"/>
      <c r="AJ382" s="62"/>
      <c r="AK382" s="14">
        <v>1</v>
      </c>
      <c r="AL382" s="14" t="s">
        <v>116</v>
      </c>
      <c r="AM382" s="1" t="s">
        <v>69</v>
      </c>
      <c r="AN382" s="14" t="s">
        <v>118</v>
      </c>
    </row>
    <row r="383" spans="1:41" s="1" customFormat="1" ht="15.95" customHeight="1" x14ac:dyDescent="0.25">
      <c r="A383" s="11">
        <v>356</v>
      </c>
      <c r="B383" s="1" t="s">
        <v>34</v>
      </c>
      <c r="C383" s="14" t="s">
        <v>161</v>
      </c>
      <c r="D383" s="14" t="s">
        <v>161</v>
      </c>
      <c r="E383" s="36" t="s">
        <v>81</v>
      </c>
      <c r="F383" s="11" t="s">
        <v>148</v>
      </c>
      <c r="G383" s="1">
        <v>2017</v>
      </c>
      <c r="H383" s="11" t="s">
        <v>643</v>
      </c>
      <c r="I383" s="204"/>
      <c r="J383" s="204"/>
      <c r="K383" s="210" t="s">
        <v>644</v>
      </c>
      <c r="L383" s="220"/>
      <c r="M383" s="220"/>
      <c r="N383" s="220"/>
      <c r="O383" s="57">
        <v>3.9</v>
      </c>
      <c r="P383" s="58">
        <v>4.7</v>
      </c>
      <c r="Q383" s="40">
        <v>37</v>
      </c>
      <c r="R383" s="59">
        <v>720</v>
      </c>
      <c r="S383" s="60"/>
      <c r="T383" s="59"/>
      <c r="U383" s="57">
        <v>4.8</v>
      </c>
      <c r="V383" s="39">
        <v>5.7</v>
      </c>
      <c r="W383" s="40">
        <v>30</v>
      </c>
      <c r="Y383" s="55">
        <f>(U383-O383)/SQRT((V383^2+P383^2)/2)</f>
        <v>0.172282331959664</v>
      </c>
      <c r="Z383" s="55"/>
      <c r="AA383" s="14">
        <v>1</v>
      </c>
      <c r="AB383" s="43">
        <f>((U383-O383)/V383)*AA383 * (1-(3/(4*(Q383+W383-2)-1)))</f>
        <v>0.15606584027636658</v>
      </c>
      <c r="AC383" s="61"/>
      <c r="AD383" s="44">
        <v>1</v>
      </c>
      <c r="AE383" s="44"/>
      <c r="AF383" s="14"/>
      <c r="AG383" s="14"/>
      <c r="AI383" s="62"/>
      <c r="AJ383" s="62"/>
      <c r="AK383" s="14">
        <v>1</v>
      </c>
      <c r="AL383" s="14" t="s">
        <v>116</v>
      </c>
      <c r="AM383" s="1" t="s">
        <v>69</v>
      </c>
      <c r="AN383" s="14" t="s">
        <v>118</v>
      </c>
      <c r="AO383" s="13"/>
    </row>
    <row r="384" spans="1:41" s="1" customFormat="1" ht="15.95" customHeight="1" x14ac:dyDescent="0.25">
      <c r="A384" s="11">
        <v>357</v>
      </c>
      <c r="B384" s="1" t="s">
        <v>34</v>
      </c>
      <c r="C384" s="14" t="s">
        <v>161</v>
      </c>
      <c r="D384" s="14" t="s">
        <v>161</v>
      </c>
      <c r="E384" s="36" t="s">
        <v>81</v>
      </c>
      <c r="F384" s="14" t="s">
        <v>670</v>
      </c>
      <c r="G384" s="1">
        <v>2021</v>
      </c>
      <c r="H384" s="11" t="s">
        <v>673</v>
      </c>
      <c r="I384" s="204"/>
      <c r="J384" s="204"/>
      <c r="K384" s="204" t="s">
        <v>674</v>
      </c>
      <c r="L384" s="220"/>
      <c r="M384" s="220"/>
      <c r="N384" s="220"/>
      <c r="O384" s="74">
        <v>15</v>
      </c>
      <c r="P384" s="60">
        <v>0.8</v>
      </c>
      <c r="Q384" s="91">
        <v>19</v>
      </c>
      <c r="R384" s="59">
        <v>890</v>
      </c>
      <c r="S384" s="60"/>
      <c r="T384" s="59"/>
      <c r="U384" s="74">
        <v>15</v>
      </c>
      <c r="V384" s="92">
        <v>0.8</v>
      </c>
      <c r="W384" s="91">
        <v>25</v>
      </c>
      <c r="X384" s="14"/>
      <c r="Y384" s="55">
        <f>(U384-O384)/SQRT((V384^2+P384^2)/2)</f>
        <v>0</v>
      </c>
      <c r="Z384" s="55"/>
      <c r="AA384" s="14">
        <v>-1</v>
      </c>
      <c r="AB384" s="43">
        <f>((U384-O384)/V384)*AA384 * (1-(3/(4*(Q384+W384-2)-1)))</f>
        <v>0</v>
      </c>
      <c r="AC384" s="61"/>
      <c r="AD384" s="44">
        <v>1</v>
      </c>
      <c r="AE384" s="44"/>
      <c r="AF384" s="14"/>
      <c r="AG384" s="14"/>
      <c r="AI384" s="62"/>
      <c r="AJ384" s="62"/>
      <c r="AK384" s="14">
        <v>2</v>
      </c>
      <c r="AL384" s="14"/>
      <c r="AN384" s="14"/>
      <c r="AO384" s="11"/>
    </row>
    <row r="385" spans="1:41" s="1" customFormat="1" ht="15.95" customHeight="1" x14ac:dyDescent="0.25">
      <c r="A385" s="11">
        <v>358</v>
      </c>
      <c r="B385" s="1" t="s">
        <v>34</v>
      </c>
      <c r="C385" s="14" t="s">
        <v>161</v>
      </c>
      <c r="D385" s="14" t="s">
        <v>161</v>
      </c>
      <c r="E385" s="36" t="s">
        <v>81</v>
      </c>
      <c r="F385" s="14" t="s">
        <v>670</v>
      </c>
      <c r="G385" s="1">
        <v>2021</v>
      </c>
      <c r="H385" s="11" t="s">
        <v>675</v>
      </c>
      <c r="I385" s="204"/>
      <c r="J385" s="204"/>
      <c r="K385" s="210"/>
      <c r="L385" s="220"/>
      <c r="M385" s="220"/>
      <c r="N385" s="220"/>
      <c r="O385" s="74">
        <v>33</v>
      </c>
      <c r="P385" s="60">
        <v>4.8</v>
      </c>
      <c r="Q385" s="91">
        <v>19</v>
      </c>
      <c r="R385" s="59">
        <v>890</v>
      </c>
      <c r="S385" s="60"/>
      <c r="T385" s="59"/>
      <c r="U385" s="74">
        <v>35</v>
      </c>
      <c r="V385" s="92">
        <v>1.57</v>
      </c>
      <c r="W385" s="91">
        <v>25</v>
      </c>
      <c r="X385" s="14"/>
      <c r="Y385" s="55">
        <f>(U385-O385)/SQRT((V385^2+P385^2)/2)</f>
        <v>0.56005822668002581</v>
      </c>
      <c r="Z385" s="55"/>
      <c r="AA385" s="14">
        <v>-1</v>
      </c>
      <c r="AB385" s="43">
        <f>((U385-O385)/V385)*AA385 * (1-(3/(4*(Q385+W385-2)-1)))</f>
        <v>-1.2510011823486784</v>
      </c>
      <c r="AC385" s="61"/>
      <c r="AD385" s="44">
        <v>1</v>
      </c>
      <c r="AE385" s="44"/>
      <c r="AF385" s="14"/>
      <c r="AG385" s="14"/>
      <c r="AI385" s="62"/>
      <c r="AJ385" s="62"/>
      <c r="AK385" s="14">
        <v>2</v>
      </c>
      <c r="AL385" s="14"/>
      <c r="AN385" s="14"/>
    </row>
    <row r="386" spans="1:41" s="1" customFormat="1" ht="15.95" customHeight="1" x14ac:dyDescent="0.25">
      <c r="A386" s="11">
        <v>359</v>
      </c>
      <c r="B386" s="1" t="s">
        <v>34</v>
      </c>
      <c r="C386" s="14" t="s">
        <v>161</v>
      </c>
      <c r="D386" s="14" t="s">
        <v>161</v>
      </c>
      <c r="E386" s="36" t="s">
        <v>81</v>
      </c>
      <c r="F386" s="14" t="s">
        <v>670</v>
      </c>
      <c r="G386" s="1">
        <v>2021</v>
      </c>
      <c r="H386" s="11" t="s">
        <v>679</v>
      </c>
      <c r="I386" s="204"/>
      <c r="J386" s="204"/>
      <c r="K386" s="210"/>
      <c r="L386" s="220"/>
      <c r="M386" s="220"/>
      <c r="N386" s="220"/>
      <c r="O386" s="74">
        <v>36</v>
      </c>
      <c r="P386" s="60">
        <v>0.01</v>
      </c>
      <c r="Q386" s="91">
        <v>19</v>
      </c>
      <c r="R386" s="59">
        <v>890</v>
      </c>
      <c r="S386" s="60"/>
      <c r="T386" s="59"/>
      <c r="U386" s="74">
        <v>36</v>
      </c>
      <c r="V386" s="92">
        <v>0.01</v>
      </c>
      <c r="W386" s="91">
        <v>25</v>
      </c>
      <c r="X386" s="14"/>
      <c r="Y386" s="55">
        <v>0</v>
      </c>
      <c r="Z386" s="55"/>
      <c r="AA386" s="14">
        <v>-1</v>
      </c>
      <c r="AB386" s="43">
        <f>((U386-O386)/V386)*AA386 * (1-(3/(4*(Q386+W386-2)-1)))</f>
        <v>0</v>
      </c>
      <c r="AC386" s="61"/>
      <c r="AD386" s="44">
        <v>1</v>
      </c>
      <c r="AE386" s="44"/>
      <c r="AF386" s="14"/>
      <c r="AG386" s="14"/>
      <c r="AI386" s="62"/>
      <c r="AJ386" s="62"/>
      <c r="AK386" s="14">
        <v>2</v>
      </c>
      <c r="AL386" s="14"/>
      <c r="AN386" s="14"/>
      <c r="AO386" s="11"/>
    </row>
    <row r="387" spans="1:41" s="1" customFormat="1" ht="15.95" customHeight="1" x14ac:dyDescent="0.25">
      <c r="A387" s="11">
        <v>344</v>
      </c>
      <c r="B387" s="11" t="s">
        <v>43</v>
      </c>
      <c r="C387" s="14" t="s">
        <v>161</v>
      </c>
      <c r="D387" s="14" t="s">
        <v>161</v>
      </c>
      <c r="E387" s="36" t="s">
        <v>81</v>
      </c>
      <c r="F387" s="11" t="s">
        <v>381</v>
      </c>
      <c r="G387" s="11">
        <v>2000</v>
      </c>
      <c r="H387" s="11" t="s">
        <v>382</v>
      </c>
      <c r="I387" s="204"/>
      <c r="J387" s="204"/>
      <c r="K387" s="210"/>
      <c r="L387" s="207"/>
      <c r="M387" s="204"/>
      <c r="N387" s="210"/>
      <c r="O387" s="38">
        <v>113.56</v>
      </c>
      <c r="P387" s="39">
        <v>11.85</v>
      </c>
      <c r="Q387" s="40">
        <v>9</v>
      </c>
      <c r="R387" s="41">
        <f>9.67*88.4</f>
        <v>854.82800000000009</v>
      </c>
      <c r="S387" s="41"/>
      <c r="T387" s="41"/>
      <c r="U387" s="38">
        <v>115.5</v>
      </c>
      <c r="V387" s="41">
        <v>16.07</v>
      </c>
      <c r="W387" s="40">
        <v>12</v>
      </c>
      <c r="X387" s="11"/>
      <c r="Y387" s="11"/>
      <c r="Z387" s="11"/>
      <c r="AA387" s="11">
        <v>-1</v>
      </c>
      <c r="AB387" s="43">
        <f>((U387-O387)/V387)*AA387 * (1-(3/(4*(Q387+W387-2)-1)))</f>
        <v>-0.11589296826384554</v>
      </c>
      <c r="AC387" s="11"/>
      <c r="AD387" s="11">
        <v>1</v>
      </c>
      <c r="AE387" s="11"/>
      <c r="AF387" s="11">
        <v>10.58</v>
      </c>
      <c r="AG387" s="11">
        <v>2.76</v>
      </c>
      <c r="AH387" s="11"/>
      <c r="AI387" s="11">
        <v>10.7</v>
      </c>
      <c r="AJ387" s="11">
        <v>2.2000000000000002</v>
      </c>
      <c r="AK387" s="11"/>
      <c r="AL387" s="11" t="s">
        <v>147</v>
      </c>
      <c r="AO387" s="13"/>
    </row>
    <row r="388" spans="1:41" s="1" customFormat="1" ht="15.95" customHeight="1" x14ac:dyDescent="0.25">
      <c r="A388" s="11">
        <v>345</v>
      </c>
      <c r="B388" s="11" t="s">
        <v>43</v>
      </c>
      <c r="C388" s="11" t="s">
        <v>161</v>
      </c>
      <c r="D388" s="11" t="s">
        <v>161</v>
      </c>
      <c r="E388" s="36" t="s">
        <v>81</v>
      </c>
      <c r="F388" s="11" t="s">
        <v>386</v>
      </c>
      <c r="G388" s="11">
        <v>2018</v>
      </c>
      <c r="H388" s="11" t="s">
        <v>387</v>
      </c>
      <c r="I388" s="204"/>
      <c r="J388" s="204"/>
      <c r="K388" s="204" t="s">
        <v>388</v>
      </c>
      <c r="L388" s="207"/>
      <c r="M388" s="207"/>
      <c r="N388" s="204"/>
      <c r="O388" s="38">
        <v>9.4</v>
      </c>
      <c r="P388" s="39">
        <v>1</v>
      </c>
      <c r="Q388" s="40">
        <v>11</v>
      </c>
      <c r="R388" s="114">
        <v>743.18</v>
      </c>
      <c r="S388" s="117">
        <v>83.66</v>
      </c>
      <c r="T388" s="41"/>
      <c r="U388" s="38">
        <v>9.4</v>
      </c>
      <c r="V388" s="39">
        <v>0.7</v>
      </c>
      <c r="W388" s="40">
        <v>28</v>
      </c>
      <c r="X388" s="11"/>
      <c r="Y388" s="11"/>
      <c r="Z388" s="11"/>
      <c r="AA388" s="11">
        <v>-1</v>
      </c>
      <c r="AB388" s="43">
        <f>((U388-O388)/V388)*AA388 * (1-(3/(4*(Q388+W388-2)-1)))</f>
        <v>0</v>
      </c>
      <c r="AC388" s="61"/>
      <c r="AD388" s="44">
        <v>1</v>
      </c>
      <c r="AE388" s="44"/>
      <c r="AF388" s="121">
        <f>156/12</f>
        <v>13</v>
      </c>
      <c r="AG388" s="121">
        <f>29.8/12</f>
        <v>2.4833333333333334</v>
      </c>
      <c r="AH388" s="121"/>
      <c r="AI388" s="120">
        <f>142/12</f>
        <v>11.833333333333334</v>
      </c>
      <c r="AJ388" s="120">
        <f>29.5/12</f>
        <v>2.4583333333333335</v>
      </c>
      <c r="AK388" s="11"/>
      <c r="AL388" s="11"/>
      <c r="AM388" s="11"/>
      <c r="AN388" s="11"/>
    </row>
    <row r="389" spans="1:41" s="1" customFormat="1" ht="15.95" customHeight="1" x14ac:dyDescent="0.25">
      <c r="A389" s="11">
        <v>348</v>
      </c>
      <c r="B389" s="11" t="s">
        <v>43</v>
      </c>
      <c r="C389" s="14" t="s">
        <v>161</v>
      </c>
      <c r="D389" s="14" t="s">
        <v>161</v>
      </c>
      <c r="E389" s="36" t="s">
        <v>81</v>
      </c>
      <c r="F389" s="11" t="s">
        <v>108</v>
      </c>
      <c r="G389" s="11">
        <v>1998</v>
      </c>
      <c r="H389" s="11" t="s">
        <v>476</v>
      </c>
      <c r="I389" s="204"/>
      <c r="J389" s="204"/>
      <c r="K389" s="204"/>
      <c r="L389" s="207"/>
      <c r="M389" s="207"/>
      <c r="N389" s="204"/>
      <c r="O389" s="38">
        <v>104.64</v>
      </c>
      <c r="P389" s="39">
        <v>14.62</v>
      </c>
      <c r="Q389" s="40">
        <v>11</v>
      </c>
      <c r="R389" s="41">
        <v>388</v>
      </c>
      <c r="S389" s="39">
        <v>127</v>
      </c>
      <c r="T389" s="41"/>
      <c r="U389" s="38">
        <v>101.45</v>
      </c>
      <c r="V389" s="39">
        <v>15.4</v>
      </c>
      <c r="W389" s="40">
        <v>11</v>
      </c>
      <c r="X389" s="11"/>
      <c r="Y389" s="11"/>
      <c r="Z389" s="11"/>
      <c r="AA389" s="11">
        <v>-1</v>
      </c>
      <c r="AB389" s="43">
        <f>((U389-O389)/V389)*AA389 * (1-(3/(4*(Q389+W389-2)-1)))</f>
        <v>0.19927667269439406</v>
      </c>
      <c r="AC389" s="61"/>
      <c r="AD389" s="44">
        <v>1</v>
      </c>
      <c r="AE389" s="44"/>
      <c r="AF389" s="119">
        <v>8.83</v>
      </c>
      <c r="AG389" s="11">
        <v>1.7</v>
      </c>
      <c r="AH389" s="11"/>
      <c r="AI389" s="121">
        <v>8.83</v>
      </c>
      <c r="AJ389" s="87">
        <v>1.65</v>
      </c>
      <c r="AK389" s="11"/>
      <c r="AL389" s="11"/>
      <c r="AM389" s="11"/>
      <c r="AN389" s="11"/>
    </row>
    <row r="390" spans="1:41" s="13" customFormat="1" ht="15.95" customHeight="1" x14ac:dyDescent="0.25">
      <c r="A390" s="11">
        <v>360</v>
      </c>
      <c r="B390" s="1" t="s">
        <v>34</v>
      </c>
      <c r="C390" s="11" t="s">
        <v>105</v>
      </c>
      <c r="D390" s="11" t="s">
        <v>105</v>
      </c>
      <c r="E390" s="36" t="s">
        <v>45</v>
      </c>
      <c r="F390" s="11" t="s">
        <v>148</v>
      </c>
      <c r="G390" s="1">
        <v>2018</v>
      </c>
      <c r="H390" s="11" t="s">
        <v>162</v>
      </c>
      <c r="I390" s="204" t="s">
        <v>41</v>
      </c>
      <c r="J390" s="204" t="s">
        <v>41</v>
      </c>
      <c r="K390" s="210" t="s">
        <v>165</v>
      </c>
      <c r="L390" s="220" t="s">
        <v>166</v>
      </c>
      <c r="M390" s="220"/>
      <c r="N390" s="220"/>
      <c r="O390" s="57">
        <v>704.5</v>
      </c>
      <c r="P390" s="58">
        <v>147.30000000000001</v>
      </c>
      <c r="Q390" s="40">
        <v>15</v>
      </c>
      <c r="R390" s="59">
        <v>751.2</v>
      </c>
      <c r="S390" s="60"/>
      <c r="T390" s="59"/>
      <c r="U390" s="57">
        <v>679</v>
      </c>
      <c r="V390" s="39">
        <v>143.1</v>
      </c>
      <c r="W390" s="40">
        <v>24</v>
      </c>
      <c r="X390" s="1"/>
      <c r="Y390" s="55">
        <f>(U390-O390)/SQRT((V390^2+P390^2)/2)</f>
        <v>-0.17560147013923155</v>
      </c>
      <c r="Z390" s="55"/>
      <c r="AA390" s="14">
        <v>1</v>
      </c>
      <c r="AB390" s="43">
        <f>((U390-O390)/V390)*AA390 * (1-(3/(4*(Q390+W390-2)-1)))</f>
        <v>-0.17456039019381336</v>
      </c>
      <c r="AC390" s="61"/>
      <c r="AD390" s="44">
        <v>1</v>
      </c>
      <c r="AE390" s="44"/>
      <c r="AF390" s="14"/>
      <c r="AG390" s="14"/>
      <c r="AH390" s="1"/>
      <c r="AI390" s="62"/>
      <c r="AJ390" s="62"/>
      <c r="AK390" s="14">
        <v>1</v>
      </c>
      <c r="AL390" s="14" t="s">
        <v>116</v>
      </c>
      <c r="AM390" s="1" t="s">
        <v>69</v>
      </c>
      <c r="AN390" s="14" t="s">
        <v>118</v>
      </c>
      <c r="AO390" s="1"/>
    </row>
    <row r="391" spans="1:41" s="1" customFormat="1" ht="15.95" customHeight="1" x14ac:dyDescent="0.25">
      <c r="A391" s="11">
        <v>361</v>
      </c>
      <c r="B391" s="1" t="s">
        <v>34</v>
      </c>
      <c r="C391" s="11" t="s">
        <v>105</v>
      </c>
      <c r="D391" s="11" t="s">
        <v>105</v>
      </c>
      <c r="E391" s="36" t="s">
        <v>45</v>
      </c>
      <c r="F391" s="11" t="s">
        <v>148</v>
      </c>
      <c r="G391" s="1">
        <v>2017</v>
      </c>
      <c r="H391" s="11" t="s">
        <v>170</v>
      </c>
      <c r="I391" s="204" t="s">
        <v>41</v>
      </c>
      <c r="J391" s="204" t="s">
        <v>41</v>
      </c>
      <c r="K391" s="210" t="s">
        <v>172</v>
      </c>
      <c r="L391" s="220"/>
      <c r="M391" s="220"/>
      <c r="N391" s="220"/>
      <c r="O391" s="57">
        <v>731</v>
      </c>
      <c r="P391" s="58">
        <v>141.80000000000001</v>
      </c>
      <c r="Q391" s="40">
        <v>37</v>
      </c>
      <c r="R391" s="59">
        <v>720</v>
      </c>
      <c r="S391" s="60"/>
      <c r="T391" s="59"/>
      <c r="U391" s="57">
        <v>617</v>
      </c>
      <c r="V391" s="39">
        <v>98.2</v>
      </c>
      <c r="W391" s="40">
        <v>30</v>
      </c>
      <c r="Y391" s="55">
        <f>(U391-O391)/SQRT((V391^2+P391^2)/2)</f>
        <v>-0.9347013299102096</v>
      </c>
      <c r="Z391" s="55"/>
      <c r="AA391" s="14">
        <v>1</v>
      </c>
      <c r="AB391" s="43">
        <f>((U391-O391)/V391)*AA391 * (1-(3/(4*(Q391+W391-2)-1)))</f>
        <v>-1.1474494570217584</v>
      </c>
      <c r="AC391" s="61"/>
      <c r="AD391" s="44">
        <v>1</v>
      </c>
      <c r="AE391" s="44"/>
      <c r="AF391" s="14"/>
      <c r="AG391" s="14"/>
      <c r="AI391" s="62"/>
      <c r="AJ391" s="62"/>
      <c r="AK391" s="14">
        <v>1</v>
      </c>
      <c r="AL391" s="14" t="s">
        <v>116</v>
      </c>
      <c r="AM391" s="1" t="s">
        <v>69</v>
      </c>
      <c r="AN391" s="14" t="s">
        <v>118</v>
      </c>
    </row>
    <row r="392" spans="1:41" s="13" customFormat="1" ht="15.95" customHeight="1" x14ac:dyDescent="0.25">
      <c r="A392" s="11">
        <v>362</v>
      </c>
      <c r="B392" s="1" t="s">
        <v>34</v>
      </c>
      <c r="C392" s="11" t="s">
        <v>105</v>
      </c>
      <c r="D392" s="11" t="s">
        <v>105</v>
      </c>
      <c r="E392" s="36" t="s">
        <v>45</v>
      </c>
      <c r="F392" s="11" t="s">
        <v>148</v>
      </c>
      <c r="G392" s="1">
        <v>2017</v>
      </c>
      <c r="H392" s="11" t="s">
        <v>176</v>
      </c>
      <c r="I392" s="204" t="s">
        <v>41</v>
      </c>
      <c r="J392" s="204" t="s">
        <v>41</v>
      </c>
      <c r="K392" s="210" t="s">
        <v>178</v>
      </c>
      <c r="L392" s="220"/>
      <c r="M392" s="220"/>
      <c r="N392" s="220"/>
      <c r="O392" s="57">
        <v>897</v>
      </c>
      <c r="P392" s="58">
        <v>138.9</v>
      </c>
      <c r="Q392" s="90">
        <v>37</v>
      </c>
      <c r="R392" s="59">
        <v>720</v>
      </c>
      <c r="S392" s="60"/>
      <c r="T392" s="59"/>
      <c r="U392" s="57">
        <v>835</v>
      </c>
      <c r="V392" s="39">
        <v>175.1</v>
      </c>
      <c r="W392" s="40">
        <v>30</v>
      </c>
      <c r="X392" s="1"/>
      <c r="Y392" s="55">
        <f>(U392-O392)/SQRT((V392^2+P392^2)/2)</f>
        <v>-0.39230599355025614</v>
      </c>
      <c r="Z392" s="55"/>
      <c r="AA392" s="14">
        <v>1</v>
      </c>
      <c r="AB392" s="43">
        <f>((U392-O392)/V392)*AA392 * (1-(3/(4*(Q392+W392-2)-1)))</f>
        <v>-0.3499820290225773</v>
      </c>
      <c r="AC392" s="61"/>
      <c r="AD392" s="44">
        <v>1</v>
      </c>
      <c r="AE392" s="44"/>
      <c r="AF392" s="14"/>
      <c r="AG392" s="14"/>
      <c r="AH392" s="1"/>
      <c r="AI392" s="62"/>
      <c r="AJ392" s="62"/>
      <c r="AK392" s="14">
        <v>1</v>
      </c>
      <c r="AL392" s="14" t="s">
        <v>116</v>
      </c>
      <c r="AM392" s="1" t="s">
        <v>69</v>
      </c>
      <c r="AN392" s="14" t="s">
        <v>118</v>
      </c>
    </row>
    <row r="393" spans="1:41" s="1" customFormat="1" ht="15.95" customHeight="1" x14ac:dyDescent="0.25">
      <c r="A393" s="11">
        <v>363</v>
      </c>
      <c r="B393" s="1" t="s">
        <v>34</v>
      </c>
      <c r="C393" s="11" t="s">
        <v>105</v>
      </c>
      <c r="D393" s="11" t="s">
        <v>105</v>
      </c>
      <c r="E393" s="36" t="s">
        <v>45</v>
      </c>
      <c r="F393" s="11" t="s">
        <v>148</v>
      </c>
      <c r="G393" s="1">
        <v>2017</v>
      </c>
      <c r="H393" s="11" t="s">
        <v>212</v>
      </c>
      <c r="I393" s="204" t="s">
        <v>41</v>
      </c>
      <c r="J393" s="204" t="s">
        <v>41</v>
      </c>
      <c r="K393" s="210" t="s">
        <v>213</v>
      </c>
      <c r="L393" s="220"/>
      <c r="M393" s="220"/>
      <c r="N393" s="220"/>
      <c r="O393" s="57">
        <v>795</v>
      </c>
      <c r="P393" s="58">
        <v>296.7</v>
      </c>
      <c r="Q393" s="40">
        <v>37</v>
      </c>
      <c r="R393" s="59">
        <v>720</v>
      </c>
      <c r="S393" s="60"/>
      <c r="T393" s="59"/>
      <c r="U393" s="57">
        <v>604</v>
      </c>
      <c r="V393" s="39">
        <v>103.6</v>
      </c>
      <c r="W393" s="40">
        <v>30</v>
      </c>
      <c r="Y393" s="55">
        <f>(U393-O393)/SQRT((V393^2+P393^2)/2)</f>
        <v>-0.85950688414051912</v>
      </c>
      <c r="Z393" s="55"/>
      <c r="AA393" s="14">
        <v>1</v>
      </c>
      <c r="AB393" s="43">
        <f>((U393-O393)/V393)*AA393 * (1-(3/(4*(Q393+W393-2)-1)))</f>
        <v>-1.8222745635873052</v>
      </c>
      <c r="AC393" s="61"/>
      <c r="AD393" s="44">
        <v>1</v>
      </c>
      <c r="AE393" s="44"/>
      <c r="AF393" s="14"/>
      <c r="AG393" s="14"/>
      <c r="AI393" s="62"/>
      <c r="AJ393" s="62"/>
      <c r="AK393" s="14">
        <v>1</v>
      </c>
      <c r="AL393" s="14" t="s">
        <v>116</v>
      </c>
      <c r="AM393" s="1" t="s">
        <v>69</v>
      </c>
      <c r="AN393" s="14" t="s">
        <v>118</v>
      </c>
    </row>
    <row r="394" spans="1:41" s="1" customFormat="1" ht="15.95" customHeight="1" x14ac:dyDescent="0.25">
      <c r="A394" s="11">
        <v>374</v>
      </c>
      <c r="B394" s="1" t="s">
        <v>34</v>
      </c>
      <c r="C394" s="11" t="s">
        <v>105</v>
      </c>
      <c r="D394" s="11" t="s">
        <v>105</v>
      </c>
      <c r="E394" s="36" t="s">
        <v>45</v>
      </c>
      <c r="F394" s="11" t="s">
        <v>148</v>
      </c>
      <c r="G394" s="1">
        <v>2017</v>
      </c>
      <c r="H394" s="11" t="s">
        <v>226</v>
      </c>
      <c r="I394" s="204" t="s">
        <v>41</v>
      </c>
      <c r="J394" s="204" t="s">
        <v>41</v>
      </c>
      <c r="K394" s="210" t="s">
        <v>227</v>
      </c>
      <c r="L394" s="220"/>
      <c r="M394" s="220"/>
      <c r="N394" s="220"/>
      <c r="O394" s="57">
        <v>574</v>
      </c>
      <c r="P394" s="58">
        <v>120</v>
      </c>
      <c r="Q394" s="40">
        <v>37</v>
      </c>
      <c r="R394" s="59">
        <v>720</v>
      </c>
      <c r="S394" s="60"/>
      <c r="T394" s="59"/>
      <c r="U394" s="57">
        <v>507</v>
      </c>
      <c r="V394" s="39">
        <v>93.3</v>
      </c>
      <c r="W394" s="40">
        <v>30</v>
      </c>
      <c r="Y394" s="55">
        <f>(U394-O394)/SQRT((V394^2+P394^2)/2)</f>
        <v>-0.62335844560987985</v>
      </c>
      <c r="Z394" s="55"/>
      <c r="AA394" s="14">
        <v>1</v>
      </c>
      <c r="AB394" s="43">
        <f>((U394-O394)/V394)*AA394 * (1-(3/(4*(Q394+W394-2)-1)))</f>
        <v>-0.70979569371852336</v>
      </c>
      <c r="AC394" s="61"/>
      <c r="AD394" s="44">
        <v>1</v>
      </c>
      <c r="AE394" s="101">
        <f>AVERAGE(AB354:AB394)</f>
        <v>-0.48568865000996841</v>
      </c>
      <c r="AF394" s="14"/>
      <c r="AG394" s="14"/>
      <c r="AI394" s="62"/>
      <c r="AJ394" s="62"/>
      <c r="AK394" s="14">
        <v>1</v>
      </c>
      <c r="AL394" s="14" t="s">
        <v>116</v>
      </c>
      <c r="AM394" s="1" t="s">
        <v>69</v>
      </c>
      <c r="AN394" s="14" t="s">
        <v>118</v>
      </c>
      <c r="AO394" s="13"/>
    </row>
    <row r="395" spans="1:41" s="1" customFormat="1" ht="15.95" customHeight="1" x14ac:dyDescent="0.25">
      <c r="A395" s="11">
        <v>364</v>
      </c>
      <c r="B395" s="11" t="s">
        <v>43</v>
      </c>
      <c r="C395" s="11" t="s">
        <v>105</v>
      </c>
      <c r="D395" s="11" t="s">
        <v>105</v>
      </c>
      <c r="E395" s="36" t="s">
        <v>45</v>
      </c>
      <c r="F395" s="11" t="s">
        <v>95</v>
      </c>
      <c r="G395" s="11">
        <v>2006</v>
      </c>
      <c r="H395" s="11" t="s">
        <v>106</v>
      </c>
      <c r="I395" s="204" t="s">
        <v>39</v>
      </c>
      <c r="J395" s="204" t="s">
        <v>39</v>
      </c>
      <c r="K395" s="204" t="s">
        <v>48</v>
      </c>
      <c r="L395" s="207"/>
      <c r="M395" s="207"/>
      <c r="N395" s="204"/>
      <c r="O395" s="38">
        <v>1.1000000000000001</v>
      </c>
      <c r="P395" s="39">
        <v>2</v>
      </c>
      <c r="Q395" s="40">
        <v>26</v>
      </c>
      <c r="R395" s="41">
        <v>423.8</v>
      </c>
      <c r="S395" s="39">
        <v>339</v>
      </c>
      <c r="T395" s="41"/>
      <c r="U395" s="38">
        <v>1</v>
      </c>
      <c r="V395" s="39">
        <v>1.6</v>
      </c>
      <c r="W395" s="40">
        <v>25</v>
      </c>
      <c r="Y395" s="11"/>
      <c r="Z395" s="11"/>
      <c r="AA395" s="11">
        <v>1</v>
      </c>
      <c r="AB395" s="43">
        <f>((U395-O395)/V395)*AA395 * (1-(3/(4*(Q395+W395-2)-1)))</f>
        <v>-6.1538461538461597E-2</v>
      </c>
      <c r="AC395" s="61"/>
      <c r="AD395" s="44">
        <v>1</v>
      </c>
      <c r="AE395" s="44"/>
      <c r="AF395" s="11">
        <v>11.2</v>
      </c>
      <c r="AG395" s="11">
        <v>3.1</v>
      </c>
      <c r="AH395" s="11"/>
      <c r="AI395" s="87">
        <v>11.3</v>
      </c>
      <c r="AJ395" s="87">
        <v>3.4</v>
      </c>
      <c r="AK395" s="11"/>
      <c r="AL395" s="11"/>
      <c r="AM395" s="11"/>
      <c r="AN395" s="11"/>
    </row>
    <row r="396" spans="1:41" s="1" customFormat="1" ht="15.95" customHeight="1" x14ac:dyDescent="0.25">
      <c r="A396" s="11">
        <v>367</v>
      </c>
      <c r="B396" s="11" t="s">
        <v>43</v>
      </c>
      <c r="C396" s="11" t="s">
        <v>105</v>
      </c>
      <c r="D396" s="11" t="s">
        <v>105</v>
      </c>
      <c r="E396" s="36" t="s">
        <v>45</v>
      </c>
      <c r="F396" s="11" t="s">
        <v>95</v>
      </c>
      <c r="G396" s="11">
        <v>2006</v>
      </c>
      <c r="H396" s="11" t="s">
        <v>107</v>
      </c>
      <c r="I396" s="204" t="s">
        <v>41</v>
      </c>
      <c r="J396" s="204" t="s">
        <v>41</v>
      </c>
      <c r="K396" s="204" t="s">
        <v>41</v>
      </c>
      <c r="L396" s="207"/>
      <c r="M396" s="204"/>
      <c r="N396" s="204"/>
      <c r="O396" s="38">
        <v>811</v>
      </c>
      <c r="P396" s="39">
        <v>173</v>
      </c>
      <c r="Q396" s="40">
        <v>26</v>
      </c>
      <c r="R396" s="41">
        <v>423.8</v>
      </c>
      <c r="S396" s="39">
        <v>339</v>
      </c>
      <c r="T396" s="41"/>
      <c r="U396" s="38">
        <v>817</v>
      </c>
      <c r="V396" s="39">
        <v>207</v>
      </c>
      <c r="W396" s="40">
        <v>25</v>
      </c>
      <c r="Y396" s="11"/>
      <c r="Z396" s="11"/>
      <c r="AA396" s="11">
        <v>1</v>
      </c>
      <c r="AB396" s="43">
        <f>((U396-O396)/V396)*AA396 * (1-(3/(4*(Q396+W396-2)-1)))</f>
        <v>2.8539576365663323E-2</v>
      </c>
      <c r="AC396" s="61"/>
      <c r="AD396" s="44">
        <v>1</v>
      </c>
      <c r="AE396" s="44"/>
      <c r="AF396" s="11">
        <v>11.2</v>
      </c>
      <c r="AG396" s="11">
        <v>3.1</v>
      </c>
      <c r="AH396" s="11"/>
      <c r="AI396" s="87">
        <v>11.3</v>
      </c>
      <c r="AJ396" s="87">
        <v>3.4</v>
      </c>
      <c r="AK396" s="11"/>
      <c r="AL396" s="11"/>
      <c r="AM396" s="11"/>
      <c r="AN396" s="11"/>
    </row>
    <row r="397" spans="1:41" s="1" customFormat="1" ht="15.95" customHeight="1" x14ac:dyDescent="0.25">
      <c r="A397" s="11">
        <v>368</v>
      </c>
      <c r="B397" s="11" t="s">
        <v>43</v>
      </c>
      <c r="C397" s="11" t="s">
        <v>105</v>
      </c>
      <c r="D397" s="11" t="s">
        <v>105</v>
      </c>
      <c r="E397" s="36" t="s">
        <v>45</v>
      </c>
      <c r="F397" s="11" t="s">
        <v>287</v>
      </c>
      <c r="G397" s="11">
        <v>2005</v>
      </c>
      <c r="H397" s="11" t="s">
        <v>107</v>
      </c>
      <c r="I397" s="204" t="s">
        <v>41</v>
      </c>
      <c r="J397" s="204"/>
      <c r="K397" s="204" t="s">
        <v>289</v>
      </c>
      <c r="L397" s="207"/>
      <c r="M397" s="204"/>
      <c r="N397" s="204"/>
      <c r="O397" s="38">
        <v>40</v>
      </c>
      <c r="P397" s="39">
        <v>9</v>
      </c>
      <c r="Q397" s="40">
        <v>26</v>
      </c>
      <c r="R397" s="114">
        <f>(449+529)/2</f>
        <v>489</v>
      </c>
      <c r="S397" s="117">
        <f>(220+142)/2</f>
        <v>181</v>
      </c>
      <c r="T397" s="41"/>
      <c r="U397" s="38">
        <v>45</v>
      </c>
      <c r="V397" s="39">
        <v>6</v>
      </c>
      <c r="W397" s="40">
        <v>21</v>
      </c>
      <c r="X397" s="11"/>
      <c r="Y397" s="11"/>
      <c r="Z397" s="11"/>
      <c r="AA397" s="11">
        <v>-1</v>
      </c>
      <c r="AB397" s="43">
        <f>((U397-O397)/V397)*AA397 * (1-(3/(4*(Q397+W397-2)-1)))</f>
        <v>-0.81936685288640598</v>
      </c>
      <c r="AC397" s="61"/>
      <c r="AD397" s="44">
        <v>1</v>
      </c>
      <c r="AE397" s="44"/>
      <c r="AF397" s="119">
        <v>12.3</v>
      </c>
      <c r="AG397" s="119">
        <v>3.7</v>
      </c>
      <c r="AH397" s="119"/>
      <c r="AI397" s="120">
        <v>11.8</v>
      </c>
      <c r="AJ397" s="120">
        <v>3.6</v>
      </c>
      <c r="AK397" s="11"/>
      <c r="AL397" s="11"/>
      <c r="AM397" s="11"/>
      <c r="AN397" s="11"/>
    </row>
    <row r="398" spans="1:41" s="1" customFormat="1" ht="15.95" customHeight="1" x14ac:dyDescent="0.25">
      <c r="A398" s="11">
        <v>372</v>
      </c>
      <c r="B398" s="11" t="s">
        <v>43</v>
      </c>
      <c r="C398" s="11" t="s">
        <v>105</v>
      </c>
      <c r="D398" s="11" t="s">
        <v>105</v>
      </c>
      <c r="E398" s="36" t="s">
        <v>45</v>
      </c>
      <c r="F398" s="11" t="s">
        <v>287</v>
      </c>
      <c r="G398" s="11">
        <v>2005</v>
      </c>
      <c r="H398" s="11" t="s">
        <v>290</v>
      </c>
      <c r="I398" s="204" t="s">
        <v>41</v>
      </c>
      <c r="J398" s="204"/>
      <c r="K398" s="204" t="s">
        <v>291</v>
      </c>
      <c r="L398" s="207"/>
      <c r="M398" s="207"/>
      <c r="N398" s="204"/>
      <c r="O398" s="38">
        <v>45</v>
      </c>
      <c r="P398" s="39">
        <v>8</v>
      </c>
      <c r="Q398" s="40">
        <v>26</v>
      </c>
      <c r="R398" s="114">
        <f>(449+529)/2</f>
        <v>489</v>
      </c>
      <c r="S398" s="117">
        <f>(220+142)/2</f>
        <v>181</v>
      </c>
      <c r="T398" s="41"/>
      <c r="U398" s="38">
        <v>50</v>
      </c>
      <c r="V398" s="39">
        <v>6</v>
      </c>
      <c r="W398" s="40">
        <v>21</v>
      </c>
      <c r="X398" s="11"/>
      <c r="Y398" s="11"/>
      <c r="Z398" s="11"/>
      <c r="AA398" s="11">
        <v>-1</v>
      </c>
      <c r="AB398" s="43">
        <f>((U398-O398)/V398)*AA398 * (1-(3/(4*(Q398+W398-2)-1)))</f>
        <v>-0.81936685288640598</v>
      </c>
      <c r="AC398" s="61"/>
      <c r="AD398" s="44">
        <v>1</v>
      </c>
      <c r="AE398" s="44"/>
      <c r="AF398" s="119">
        <v>12.3</v>
      </c>
      <c r="AG398" s="119">
        <v>3.7</v>
      </c>
      <c r="AH398" s="119"/>
      <c r="AI398" s="120">
        <v>11.8</v>
      </c>
      <c r="AJ398" s="120">
        <v>3.6</v>
      </c>
      <c r="AK398" s="11"/>
      <c r="AL398" s="11"/>
      <c r="AM398" s="11"/>
      <c r="AN398" s="11"/>
    </row>
    <row r="399" spans="1:41" s="1" customFormat="1" ht="15.95" customHeight="1" x14ac:dyDescent="0.25">
      <c r="A399" s="11">
        <v>365</v>
      </c>
      <c r="B399" s="11" t="s">
        <v>43</v>
      </c>
      <c r="C399" s="11" t="s">
        <v>105</v>
      </c>
      <c r="D399" s="11" t="s">
        <v>193</v>
      </c>
      <c r="E399" s="36" t="s">
        <v>45</v>
      </c>
      <c r="F399" s="11" t="s">
        <v>260</v>
      </c>
      <c r="G399" s="11">
        <v>1996</v>
      </c>
      <c r="H399" s="11" t="s">
        <v>222</v>
      </c>
      <c r="I399" s="204" t="s">
        <v>41</v>
      </c>
      <c r="J399" s="204"/>
      <c r="K399" s="204" t="s">
        <v>316</v>
      </c>
      <c r="L399" s="207"/>
      <c r="M399" s="204" t="s">
        <v>317</v>
      </c>
      <c r="N399" s="204"/>
      <c r="O399" s="38">
        <v>83.5</v>
      </c>
      <c r="P399" s="39">
        <v>16.7</v>
      </c>
      <c r="Q399" s="137">
        <v>20</v>
      </c>
      <c r="R399" s="41">
        <v>583</v>
      </c>
      <c r="S399" s="39">
        <v>377</v>
      </c>
      <c r="T399" s="41"/>
      <c r="U399" s="38">
        <v>62.1</v>
      </c>
      <c r="V399" s="39">
        <v>12.1</v>
      </c>
      <c r="W399" s="40">
        <v>20</v>
      </c>
      <c r="X399" s="11"/>
      <c r="Y399" s="11"/>
      <c r="Z399" s="11"/>
      <c r="AA399" s="11">
        <v>1</v>
      </c>
      <c r="AB399" s="43">
        <f>((U399-O399)/V399)*AA399 * (1-(3/(4*(Q399+W399-2)-1)))</f>
        <v>-1.7334573914947182</v>
      </c>
      <c r="AC399" s="61"/>
      <c r="AD399" s="44">
        <v>1</v>
      </c>
      <c r="AE399" s="44"/>
      <c r="AF399" s="87">
        <f>131/12</f>
        <v>10.916666666666666</v>
      </c>
      <c r="AG399" s="87">
        <v>1.3</v>
      </c>
      <c r="AH399" s="87"/>
      <c r="AI399" s="87">
        <v>11</v>
      </c>
      <c r="AJ399" s="87">
        <v>1.1000000000000001</v>
      </c>
      <c r="AK399" s="11"/>
      <c r="AL399" s="11"/>
      <c r="AM399" s="11"/>
      <c r="AN399" s="11"/>
    </row>
    <row r="400" spans="1:41" s="1" customFormat="1" ht="15.95" customHeight="1" x14ac:dyDescent="0.25">
      <c r="A400" s="11">
        <v>370</v>
      </c>
      <c r="B400" s="11" t="s">
        <v>43</v>
      </c>
      <c r="C400" s="11" t="s">
        <v>105</v>
      </c>
      <c r="D400" s="11" t="s">
        <v>193</v>
      </c>
      <c r="E400" s="36" t="s">
        <v>45</v>
      </c>
      <c r="F400" s="11" t="s">
        <v>260</v>
      </c>
      <c r="G400" s="11">
        <v>1996</v>
      </c>
      <c r="H400" s="11" t="s">
        <v>290</v>
      </c>
      <c r="I400" s="204" t="s">
        <v>41</v>
      </c>
      <c r="J400" s="204"/>
      <c r="K400" s="204" t="s">
        <v>318</v>
      </c>
      <c r="L400" s="207"/>
      <c r="M400" s="204" t="s">
        <v>317</v>
      </c>
      <c r="N400" s="204"/>
      <c r="O400" s="38">
        <v>48.2</v>
      </c>
      <c r="P400" s="39">
        <v>11.1</v>
      </c>
      <c r="Q400" s="137">
        <v>20</v>
      </c>
      <c r="R400" s="41">
        <v>583</v>
      </c>
      <c r="S400" s="39">
        <v>377</v>
      </c>
      <c r="T400" s="41"/>
      <c r="U400" s="38">
        <v>38.4</v>
      </c>
      <c r="V400" s="39">
        <v>7.1</v>
      </c>
      <c r="W400" s="40">
        <v>20</v>
      </c>
      <c r="X400" s="11"/>
      <c r="Y400" s="11"/>
      <c r="Z400" s="11"/>
      <c r="AA400" s="11">
        <v>1</v>
      </c>
      <c r="AB400" s="43">
        <f>((U400-O400)/V400)*AA400 * (1-(3/(4*(Q400+W400-2)-1)))</f>
        <v>-1.3528588751049349</v>
      </c>
      <c r="AC400" s="61"/>
      <c r="AD400" s="44">
        <v>1</v>
      </c>
      <c r="AE400" s="44"/>
      <c r="AF400" s="87">
        <f>131/12</f>
        <v>10.916666666666666</v>
      </c>
      <c r="AG400" s="87">
        <v>1.3</v>
      </c>
      <c r="AH400" s="87"/>
      <c r="AI400" s="87">
        <v>11</v>
      </c>
      <c r="AJ400" s="87">
        <v>1.1000000000000001</v>
      </c>
      <c r="AK400" s="11"/>
      <c r="AL400" s="11"/>
      <c r="AM400" s="11"/>
      <c r="AN400" s="11"/>
    </row>
    <row r="401" spans="1:41" s="1" customFormat="1" ht="15.95" customHeight="1" x14ac:dyDescent="0.25">
      <c r="A401" s="11">
        <v>366</v>
      </c>
      <c r="B401" s="11" t="s">
        <v>43</v>
      </c>
      <c r="C401" s="11" t="s">
        <v>105</v>
      </c>
      <c r="D401" s="11" t="s">
        <v>193</v>
      </c>
      <c r="E401" s="36" t="s">
        <v>45</v>
      </c>
      <c r="F401" s="11" t="s">
        <v>260</v>
      </c>
      <c r="G401" s="11">
        <v>1999</v>
      </c>
      <c r="H401" s="11" t="s">
        <v>107</v>
      </c>
      <c r="I401" s="204" t="s">
        <v>41</v>
      </c>
      <c r="J401" s="204"/>
      <c r="K401" s="204" t="s">
        <v>319</v>
      </c>
      <c r="L401" s="207"/>
      <c r="M401" s="204" t="s">
        <v>317</v>
      </c>
      <c r="N401" s="204"/>
      <c r="O401" s="38">
        <v>67.400000000000006</v>
      </c>
      <c r="P401" s="39">
        <v>11.2</v>
      </c>
      <c r="Q401" s="40">
        <v>20</v>
      </c>
      <c r="R401" s="41">
        <v>744</v>
      </c>
      <c r="S401" s="39">
        <v>456</v>
      </c>
      <c r="T401" s="41"/>
      <c r="U401" s="38">
        <v>56.6</v>
      </c>
      <c r="V401" s="39">
        <v>8.1999999999999993</v>
      </c>
      <c r="W401" s="40">
        <v>20</v>
      </c>
      <c r="X401" s="11"/>
      <c r="Y401" s="11"/>
      <c r="Z401" s="11"/>
      <c r="AA401" s="11">
        <v>1</v>
      </c>
      <c r="AB401" s="43">
        <f>((U401-O401)/V401)*AA401 * (1-(3/(4*(Q401+W401-2)-1)))</f>
        <v>-1.2909061540946543</v>
      </c>
      <c r="AC401" s="61"/>
      <c r="AD401" s="44">
        <v>1</v>
      </c>
      <c r="AE401" s="44"/>
      <c r="AF401" s="11">
        <v>13.9</v>
      </c>
      <c r="AG401" s="11">
        <v>1.3</v>
      </c>
      <c r="AH401" s="11"/>
      <c r="AI401" s="87">
        <v>14</v>
      </c>
      <c r="AJ401" s="87">
        <v>1.1000000000000001</v>
      </c>
      <c r="AK401" s="11"/>
      <c r="AL401" s="11"/>
      <c r="AM401" s="11"/>
      <c r="AN401" s="11"/>
    </row>
    <row r="402" spans="1:41" s="1" customFormat="1" ht="15.95" customHeight="1" x14ac:dyDescent="0.25">
      <c r="A402" s="11">
        <v>371</v>
      </c>
      <c r="B402" s="11" t="s">
        <v>43</v>
      </c>
      <c r="C402" s="11" t="s">
        <v>105</v>
      </c>
      <c r="D402" s="11" t="s">
        <v>193</v>
      </c>
      <c r="E402" s="36" t="s">
        <v>45</v>
      </c>
      <c r="F402" s="11" t="s">
        <v>260</v>
      </c>
      <c r="G402" s="11">
        <v>1999</v>
      </c>
      <c r="H402" s="11" t="s">
        <v>290</v>
      </c>
      <c r="I402" s="204" t="s">
        <v>41</v>
      </c>
      <c r="J402" s="204"/>
      <c r="K402" s="204" t="s">
        <v>320</v>
      </c>
      <c r="L402" s="207" t="s">
        <v>321</v>
      </c>
      <c r="M402" s="204" t="s">
        <v>317</v>
      </c>
      <c r="N402" s="204"/>
      <c r="O402" s="38">
        <v>41.1</v>
      </c>
      <c r="P402" s="39">
        <v>10.3</v>
      </c>
      <c r="Q402" s="40">
        <v>20</v>
      </c>
      <c r="R402" s="41">
        <v>744</v>
      </c>
      <c r="S402" s="39">
        <v>456</v>
      </c>
      <c r="T402" s="41"/>
      <c r="U402" s="38">
        <v>34</v>
      </c>
      <c r="V402" s="39">
        <v>4.3</v>
      </c>
      <c r="W402" s="40">
        <v>20</v>
      </c>
      <c r="X402" s="11"/>
      <c r="Y402" s="11"/>
      <c r="Z402" s="11"/>
      <c r="AA402" s="11">
        <v>1</v>
      </c>
      <c r="AB402" s="43">
        <f>((U402-O402)/V402)*AA402 * (1-(3/(4*(Q402+W402-2)-1)))</f>
        <v>-1.6183582319420919</v>
      </c>
      <c r="AC402" s="61"/>
      <c r="AD402" s="44">
        <v>1</v>
      </c>
      <c r="AE402" s="44"/>
      <c r="AF402" s="11">
        <v>13.9</v>
      </c>
      <c r="AG402" s="11">
        <v>1.3</v>
      </c>
      <c r="AH402" s="11"/>
      <c r="AI402" s="87">
        <v>14</v>
      </c>
      <c r="AJ402" s="87">
        <v>1.1000000000000001</v>
      </c>
      <c r="AK402" s="11"/>
      <c r="AL402" s="11"/>
      <c r="AM402" s="11"/>
      <c r="AN402" s="11"/>
      <c r="AO402" s="11"/>
    </row>
    <row r="403" spans="1:41" s="1" customFormat="1" ht="15.95" customHeight="1" x14ac:dyDescent="0.25">
      <c r="A403" s="11">
        <v>373</v>
      </c>
      <c r="B403" s="11" t="s">
        <v>43</v>
      </c>
      <c r="C403" s="11" t="s">
        <v>105</v>
      </c>
      <c r="D403" s="11" t="s">
        <v>105</v>
      </c>
      <c r="E403" s="36" t="s">
        <v>45</v>
      </c>
      <c r="F403" s="11" t="s">
        <v>322</v>
      </c>
      <c r="G403" s="11">
        <v>2001</v>
      </c>
      <c r="H403" s="11" t="s">
        <v>767</v>
      </c>
      <c r="I403" s="204"/>
      <c r="J403" s="204"/>
      <c r="K403" s="204" t="s">
        <v>766</v>
      </c>
      <c r="L403" s="210"/>
      <c r="M403" s="204" t="s">
        <v>317</v>
      </c>
      <c r="N403" s="204"/>
      <c r="O403" s="38">
        <v>90.16</v>
      </c>
      <c r="P403" s="39">
        <v>27.02</v>
      </c>
      <c r="Q403" s="40">
        <v>23</v>
      </c>
      <c r="R403" s="41">
        <v>496.4</v>
      </c>
      <c r="S403" s="39">
        <v>230</v>
      </c>
      <c r="T403" s="41"/>
      <c r="U403" s="38">
        <v>107.49</v>
      </c>
      <c r="V403" s="39">
        <v>30.92</v>
      </c>
      <c r="W403" s="40">
        <v>23</v>
      </c>
      <c r="X403" s="11"/>
      <c r="Y403" s="11"/>
      <c r="Z403" s="11"/>
      <c r="AA403" s="11">
        <v>-1</v>
      </c>
      <c r="AB403" s="43">
        <f>((U403-O403)/V403)*AA403 * (1-(3/(4*(Q403+W403-2)-1)))</f>
        <v>-0.55087044908519678</v>
      </c>
      <c r="AC403" s="61"/>
      <c r="AD403" s="44">
        <v>1</v>
      </c>
      <c r="AE403" s="101">
        <f>AVERAGE(AB376:AB403)</f>
        <v>-0.52995087780379202</v>
      </c>
      <c r="AF403" s="11">
        <v>10.7</v>
      </c>
      <c r="AG403" s="11">
        <v>3.4</v>
      </c>
      <c r="AH403" s="11"/>
      <c r="AI403" s="87">
        <v>11.1</v>
      </c>
      <c r="AJ403" s="87">
        <v>3.7</v>
      </c>
      <c r="AK403" s="11"/>
      <c r="AL403" s="11"/>
      <c r="AM403" s="11"/>
      <c r="AN403" s="11"/>
    </row>
    <row r="404" spans="1:41" s="1" customFormat="1" ht="15.95" customHeight="1" x14ac:dyDescent="0.25">
      <c r="A404" s="11">
        <v>369</v>
      </c>
      <c r="B404" s="11" t="s">
        <v>43</v>
      </c>
      <c r="C404" s="11" t="s">
        <v>105</v>
      </c>
      <c r="D404" s="11" t="s">
        <v>105</v>
      </c>
      <c r="E404" s="36" t="s">
        <v>45</v>
      </c>
      <c r="F404" s="11" t="s">
        <v>322</v>
      </c>
      <c r="G404" s="11">
        <v>2001</v>
      </c>
      <c r="H404" s="11" t="s">
        <v>768</v>
      </c>
      <c r="I404" s="204"/>
      <c r="J404" s="204"/>
      <c r="K404" s="204" t="s">
        <v>766</v>
      </c>
      <c r="L404" s="210"/>
      <c r="M404" s="204" t="s">
        <v>317</v>
      </c>
      <c r="N404" s="204"/>
      <c r="O404" s="38">
        <v>64.709999999999994</v>
      </c>
      <c r="P404" s="39">
        <v>19.809999999999999</v>
      </c>
      <c r="Q404" s="40">
        <v>23</v>
      </c>
      <c r="R404" s="41">
        <v>496.4</v>
      </c>
      <c r="S404" s="39">
        <v>230</v>
      </c>
      <c r="T404" s="41"/>
      <c r="U404" s="38">
        <v>80.95</v>
      </c>
      <c r="V404" s="39">
        <v>22.62</v>
      </c>
      <c r="W404" s="40">
        <v>23</v>
      </c>
      <c r="X404" s="11"/>
      <c r="Y404" s="11"/>
      <c r="Z404" s="11"/>
      <c r="AA404" s="11">
        <v>-1</v>
      </c>
      <c r="AB404" s="43">
        <f>((U404-O404)/V404)*AA404 * (1-(3/(4*(Q404+W404-2)-1)))</f>
        <v>-0.70564102564102593</v>
      </c>
      <c r="AC404" s="61"/>
      <c r="AD404" s="44">
        <v>1</v>
      </c>
      <c r="AE404" s="44"/>
      <c r="AF404" s="11">
        <v>10.7</v>
      </c>
      <c r="AG404" s="11">
        <v>3.4</v>
      </c>
      <c r="AH404" s="11"/>
      <c r="AI404" s="87">
        <v>11.1</v>
      </c>
      <c r="AJ404" s="87">
        <v>3.7</v>
      </c>
      <c r="AK404" s="11"/>
      <c r="AL404" s="11"/>
      <c r="AM404" s="11"/>
      <c r="AN404" s="11"/>
    </row>
    <row r="405" spans="1:41" s="1" customFormat="1" ht="15.95" customHeight="1" x14ac:dyDescent="0.25">
      <c r="A405" s="11">
        <v>376</v>
      </c>
      <c r="B405" s="1" t="s">
        <v>34</v>
      </c>
      <c r="C405" s="14" t="s">
        <v>216</v>
      </c>
      <c r="D405" s="14" t="s">
        <v>216</v>
      </c>
      <c r="E405" s="36"/>
      <c r="F405" s="11" t="s">
        <v>148</v>
      </c>
      <c r="G405" s="1">
        <v>2017</v>
      </c>
      <c r="H405" s="11" t="s">
        <v>217</v>
      </c>
      <c r="I405" s="204" t="s">
        <v>39</v>
      </c>
      <c r="J405" s="212"/>
      <c r="K405" s="210" t="s">
        <v>218</v>
      </c>
      <c r="L405" s="220"/>
      <c r="M405" s="220"/>
      <c r="N405" s="220"/>
      <c r="O405" s="74">
        <v>10.9</v>
      </c>
      <c r="P405" s="60">
        <v>14.7</v>
      </c>
      <c r="Q405" s="91">
        <v>37</v>
      </c>
      <c r="R405" s="59">
        <v>720</v>
      </c>
      <c r="S405" s="60"/>
      <c r="T405" s="59"/>
      <c r="U405" s="74">
        <v>6.8</v>
      </c>
      <c r="V405" s="92">
        <v>6.6</v>
      </c>
      <c r="W405" s="91">
        <v>30</v>
      </c>
      <c r="X405" s="14"/>
      <c r="Y405" s="55">
        <f>(U405-O405)/SQRT((V405^2+P405^2)/2)</f>
        <v>-0.35983606683218988</v>
      </c>
      <c r="Z405" s="55"/>
      <c r="AA405" s="14">
        <v>1</v>
      </c>
      <c r="AB405" s="43">
        <f>((U405-O405)/V405)*AA405 * (1-(3/(4*(Q405+W405-2)-1)))</f>
        <v>-0.61401661401661412</v>
      </c>
      <c r="AC405" s="61"/>
      <c r="AD405" s="44">
        <v>1</v>
      </c>
      <c r="AE405" s="44"/>
      <c r="AF405" s="14"/>
      <c r="AG405" s="14"/>
      <c r="AI405" s="62"/>
      <c r="AJ405" s="62"/>
      <c r="AK405" s="14">
        <v>1</v>
      </c>
      <c r="AL405" s="14" t="s">
        <v>116</v>
      </c>
      <c r="AM405" s="1" t="s">
        <v>69</v>
      </c>
      <c r="AN405" s="14" t="s">
        <v>118</v>
      </c>
    </row>
    <row r="406" spans="1:41" s="1" customFormat="1" ht="15.95" customHeight="1" x14ac:dyDescent="0.25">
      <c r="A406" s="11">
        <v>375</v>
      </c>
      <c r="B406" s="1" t="s">
        <v>34</v>
      </c>
      <c r="C406" s="14" t="s">
        <v>216</v>
      </c>
      <c r="D406" s="14" t="s">
        <v>216</v>
      </c>
      <c r="E406" s="36"/>
      <c r="F406" s="11" t="s">
        <v>148</v>
      </c>
      <c r="G406" s="1">
        <v>2017</v>
      </c>
      <c r="H406" s="11" t="s">
        <v>616</v>
      </c>
      <c r="I406" s="204"/>
      <c r="J406" s="204"/>
      <c r="K406" s="210" t="s">
        <v>617</v>
      </c>
      <c r="L406" s="220"/>
      <c r="M406" s="220"/>
      <c r="N406" s="220"/>
      <c r="O406" s="74">
        <v>14.5</v>
      </c>
      <c r="P406" s="60">
        <v>13.1</v>
      </c>
      <c r="Q406" s="91">
        <v>37</v>
      </c>
      <c r="R406" s="59">
        <v>720</v>
      </c>
      <c r="S406" s="60"/>
      <c r="T406" s="59"/>
      <c r="U406" s="74">
        <v>11.2</v>
      </c>
      <c r="V406" s="92">
        <v>8.6999999999999993</v>
      </c>
      <c r="W406" s="91">
        <v>30</v>
      </c>
      <c r="X406" s="14"/>
      <c r="Y406" s="55">
        <f>(U406-O406)/SQRT((V406^2+P406^2)/2)</f>
        <v>-0.29676786992716719</v>
      </c>
      <c r="Z406" s="55"/>
      <c r="AA406" s="14">
        <v>1</v>
      </c>
      <c r="AB406" s="43">
        <f>((U406-O406)/V406)*AA406 * (1-(3/(4*(Q406+W406-2)-1)))</f>
        <v>-0.37491678870989226</v>
      </c>
      <c r="AC406" s="61"/>
      <c r="AD406" s="44">
        <v>1</v>
      </c>
      <c r="AE406" s="44"/>
      <c r="AF406" s="14"/>
      <c r="AG406" s="14"/>
      <c r="AI406" s="62"/>
      <c r="AJ406" s="62"/>
      <c r="AK406" s="14">
        <v>1</v>
      </c>
      <c r="AL406" s="14" t="s">
        <v>116</v>
      </c>
      <c r="AM406" s="1" t="s">
        <v>69</v>
      </c>
      <c r="AN406" s="14" t="s">
        <v>118</v>
      </c>
    </row>
    <row r="407" spans="1:41" s="1" customFormat="1" ht="15.95" customHeight="1" x14ac:dyDescent="0.25">
      <c r="A407" s="11">
        <v>461</v>
      </c>
      <c r="B407" s="1" t="s">
        <v>34</v>
      </c>
      <c r="C407" s="14" t="s">
        <v>102</v>
      </c>
      <c r="D407" s="14" t="s">
        <v>102</v>
      </c>
      <c r="E407" s="36" t="s">
        <v>81</v>
      </c>
      <c r="F407" s="11" t="s">
        <v>148</v>
      </c>
      <c r="G407" s="1">
        <v>2017</v>
      </c>
      <c r="H407" s="11" t="s">
        <v>104</v>
      </c>
      <c r="I407" s="204" t="s">
        <v>41</v>
      </c>
      <c r="J407" s="212"/>
      <c r="K407" s="210" t="s">
        <v>214</v>
      </c>
      <c r="L407" s="220"/>
      <c r="M407" s="220"/>
      <c r="N407" s="220"/>
      <c r="O407" s="74">
        <v>332</v>
      </c>
      <c r="P407" s="60">
        <v>52.9</v>
      </c>
      <c r="Q407" s="91">
        <v>37</v>
      </c>
      <c r="R407" s="59">
        <v>720</v>
      </c>
      <c r="S407" s="60"/>
      <c r="T407" s="59"/>
      <c r="U407" s="74">
        <v>316</v>
      </c>
      <c r="V407" s="92">
        <v>56.9</v>
      </c>
      <c r="W407" s="91">
        <v>30</v>
      </c>
      <c r="X407" s="14"/>
      <c r="Y407" s="55">
        <f>(U407-O407)/SQRT((V407^2+P407^2)/2)</f>
        <v>-0.29124578271729507</v>
      </c>
      <c r="Z407" s="55"/>
      <c r="AA407" s="14">
        <v>1</v>
      </c>
      <c r="AB407" s="43">
        <f>((U407-O407)/V407)*AA407 * (1-(3/(4*(Q407+W407-2)-1)))</f>
        <v>-0.27793799322797569</v>
      </c>
      <c r="AC407" s="61"/>
      <c r="AD407" s="44">
        <v>1</v>
      </c>
      <c r="AE407" s="44"/>
      <c r="AF407" s="14"/>
      <c r="AG407" s="14"/>
      <c r="AI407" s="62"/>
      <c r="AJ407" s="62"/>
      <c r="AK407" s="14">
        <v>1</v>
      </c>
      <c r="AL407" s="14" t="s">
        <v>116</v>
      </c>
      <c r="AM407" s="1" t="s">
        <v>69</v>
      </c>
      <c r="AN407" s="14" t="s">
        <v>215</v>
      </c>
    </row>
    <row r="408" spans="1:41" s="1" customFormat="1" ht="15.95" customHeight="1" x14ac:dyDescent="0.25">
      <c r="A408" s="11">
        <v>458</v>
      </c>
      <c r="B408" s="1" t="s">
        <v>34</v>
      </c>
      <c r="C408" s="14" t="s">
        <v>102</v>
      </c>
      <c r="D408" s="14" t="s">
        <v>102</v>
      </c>
      <c r="E408" s="36" t="s">
        <v>81</v>
      </c>
      <c r="F408" s="14" t="s">
        <v>270</v>
      </c>
      <c r="G408" s="1">
        <v>1997</v>
      </c>
      <c r="H408" s="11" t="s">
        <v>271</v>
      </c>
      <c r="I408" s="204" t="s">
        <v>41</v>
      </c>
      <c r="J408" s="204"/>
      <c r="K408" s="210" t="s">
        <v>272</v>
      </c>
      <c r="L408" s="220"/>
      <c r="M408" s="220"/>
      <c r="N408" s="220"/>
      <c r="O408" s="74">
        <v>248</v>
      </c>
      <c r="P408" s="60">
        <v>42</v>
      </c>
      <c r="Q408" s="91">
        <v>8</v>
      </c>
      <c r="R408" s="59">
        <v>870</v>
      </c>
      <c r="S408" s="60"/>
      <c r="T408" s="59"/>
      <c r="U408" s="74">
        <v>186</v>
      </c>
      <c r="V408" s="92">
        <v>80.8</v>
      </c>
      <c r="W408" s="91">
        <v>8</v>
      </c>
      <c r="X408" s="14"/>
      <c r="Y408" s="55">
        <f>(U408-O408)/SQRT((V408^2+P408^2)/2)</f>
        <v>-0.9628536503438887</v>
      </c>
      <c r="Z408" s="55"/>
      <c r="AA408" s="14">
        <v>1</v>
      </c>
      <c r="AB408" s="43">
        <f>((U408-O408)/V408)*AA408 * (1-(3/(4*(Q408+W408-2)-1)))</f>
        <v>-0.72547254725472543</v>
      </c>
      <c r="AC408" s="61"/>
      <c r="AD408" s="44">
        <v>1</v>
      </c>
      <c r="AE408" s="44"/>
      <c r="AF408" s="14"/>
      <c r="AG408" s="14"/>
      <c r="AI408" s="62"/>
      <c r="AJ408" s="62"/>
      <c r="AK408" s="14">
        <v>4</v>
      </c>
      <c r="AL408" s="14" t="s">
        <v>215</v>
      </c>
      <c r="AM408" s="1" t="s">
        <v>273</v>
      </c>
      <c r="AN408" s="14" t="s">
        <v>215</v>
      </c>
    </row>
    <row r="409" spans="1:41" s="1" customFormat="1" ht="15.95" customHeight="1" x14ac:dyDescent="0.25">
      <c r="A409" s="11">
        <v>460</v>
      </c>
      <c r="B409" s="1" t="s">
        <v>34</v>
      </c>
      <c r="C409" s="14" t="s">
        <v>102</v>
      </c>
      <c r="D409" s="14" t="s">
        <v>102</v>
      </c>
      <c r="E409" s="36" t="s">
        <v>81</v>
      </c>
      <c r="F409" s="1" t="s">
        <v>281</v>
      </c>
      <c r="G409" s="1">
        <v>2011</v>
      </c>
      <c r="H409" s="11" t="s">
        <v>282</v>
      </c>
      <c r="I409" s="204" t="s">
        <v>41</v>
      </c>
      <c r="J409" s="210"/>
      <c r="K409" s="210" t="s">
        <v>283</v>
      </c>
      <c r="L409" s="220"/>
      <c r="M409" s="220"/>
      <c r="N409" s="220"/>
      <c r="O409" s="57">
        <v>5.56</v>
      </c>
      <c r="P409" s="58">
        <v>0.77</v>
      </c>
      <c r="Q409" s="40">
        <v>56</v>
      </c>
      <c r="R409" s="59">
        <v>1461</v>
      </c>
      <c r="S409" s="60"/>
      <c r="T409" s="59"/>
      <c r="U409" s="57">
        <v>5.92</v>
      </c>
      <c r="V409" s="39">
        <v>0.11</v>
      </c>
      <c r="W409" s="40">
        <v>56</v>
      </c>
      <c r="Y409" s="55">
        <f>(U409-O409)/SQRT((V409^2+P409^2)/2)</f>
        <v>0.6545454545454551</v>
      </c>
      <c r="Z409" s="55"/>
      <c r="AA409" s="14">
        <v>-1</v>
      </c>
      <c r="AB409" s="43">
        <f>((U409-O409)/V409)*AA409 * (1-(3/(4*(Q409+W409-2)-1)))</f>
        <v>-3.2503623938703696</v>
      </c>
      <c r="AC409" s="61"/>
      <c r="AD409" s="44">
        <v>1</v>
      </c>
      <c r="AE409" s="44"/>
      <c r="AF409" s="14"/>
      <c r="AG409" s="14"/>
      <c r="AI409" s="62"/>
      <c r="AJ409" s="62"/>
      <c r="AK409" s="68" t="s">
        <v>146</v>
      </c>
      <c r="AL409" s="14" t="s">
        <v>284</v>
      </c>
      <c r="AM409" s="1" t="s">
        <v>285</v>
      </c>
      <c r="AN409" s="14" t="s">
        <v>215</v>
      </c>
    </row>
    <row r="410" spans="1:41" s="1" customFormat="1" ht="15.95" customHeight="1" x14ac:dyDescent="0.25">
      <c r="A410" s="11">
        <v>459</v>
      </c>
      <c r="B410" s="1" t="s">
        <v>34</v>
      </c>
      <c r="C410" s="14" t="s">
        <v>102</v>
      </c>
      <c r="D410" s="14" t="s">
        <v>102</v>
      </c>
      <c r="E410" s="36" t="s">
        <v>81</v>
      </c>
      <c r="F410" s="1" t="s">
        <v>286</v>
      </c>
      <c r="G410" s="1">
        <v>2011</v>
      </c>
      <c r="H410" s="11" t="s">
        <v>282</v>
      </c>
      <c r="I410" s="204" t="s">
        <v>41</v>
      </c>
      <c r="J410" s="210"/>
      <c r="K410" s="210" t="s">
        <v>283</v>
      </c>
      <c r="L410" s="220"/>
      <c r="M410" s="220"/>
      <c r="N410" s="220"/>
      <c r="O410" s="57">
        <v>6</v>
      </c>
      <c r="P410" s="58">
        <v>0.92</v>
      </c>
      <c r="Q410" s="40">
        <v>21</v>
      </c>
      <c r="R410" s="59">
        <v>640</v>
      </c>
      <c r="S410" s="60"/>
      <c r="T410" s="59"/>
      <c r="U410" s="57">
        <v>5.94</v>
      </c>
      <c r="V410" s="39">
        <v>0.18</v>
      </c>
      <c r="W410" s="40">
        <v>21</v>
      </c>
      <c r="Y410" s="55">
        <f>(U410-O410)/SQRT((V410^2+P410^2)/2)</f>
        <v>-9.0515139294545882E-2</v>
      </c>
      <c r="Z410" s="55"/>
      <c r="AA410" s="14">
        <v>-1</v>
      </c>
      <c r="AB410" s="43">
        <f>((U410-O410)/V410)*AA410 * (1-(3/(4*(Q410+W410-2)-1)))</f>
        <v>0.32704402515723058</v>
      </c>
      <c r="AC410" s="61"/>
      <c r="AD410" s="44">
        <v>1</v>
      </c>
      <c r="AE410" s="44"/>
      <c r="AF410" s="14"/>
      <c r="AG410" s="14"/>
      <c r="AI410" s="62"/>
      <c r="AJ410" s="62"/>
      <c r="AK410" s="68" t="s">
        <v>146</v>
      </c>
      <c r="AL410" s="14" t="s">
        <v>284</v>
      </c>
      <c r="AM410" s="1" t="s">
        <v>285</v>
      </c>
      <c r="AN410" s="14" t="s">
        <v>118</v>
      </c>
    </row>
    <row r="411" spans="1:41" s="1" customFormat="1" ht="15.95" customHeight="1" x14ac:dyDescent="0.25">
      <c r="A411" s="11">
        <v>463</v>
      </c>
      <c r="B411" s="11" t="s">
        <v>34</v>
      </c>
      <c r="C411" s="14" t="s">
        <v>102</v>
      </c>
      <c r="D411" s="14" t="s">
        <v>102</v>
      </c>
      <c r="E411" s="36" t="s">
        <v>81</v>
      </c>
      <c r="F411" s="11" t="s">
        <v>301</v>
      </c>
      <c r="G411" s="11">
        <v>2022</v>
      </c>
      <c r="H411" s="11" t="s">
        <v>302</v>
      </c>
      <c r="I411" s="204" t="s">
        <v>41</v>
      </c>
      <c r="J411" s="204"/>
      <c r="K411" s="204" t="s">
        <v>303</v>
      </c>
      <c r="L411" s="207" t="s">
        <v>304</v>
      </c>
      <c r="M411" s="204" t="s">
        <v>305</v>
      </c>
      <c r="N411" s="204" t="s">
        <v>306</v>
      </c>
      <c r="O411" s="38">
        <v>45.5</v>
      </c>
      <c r="P411" s="39">
        <v>9.8000000000000007</v>
      </c>
      <c r="Q411" s="40">
        <v>30</v>
      </c>
      <c r="R411" s="41">
        <v>741</v>
      </c>
      <c r="S411" s="42">
        <f>358/1.35</f>
        <v>265.18518518518516</v>
      </c>
      <c r="T411" s="39" t="s">
        <v>307</v>
      </c>
      <c r="U411" s="38">
        <v>47</v>
      </c>
      <c r="V411" s="41">
        <v>12</v>
      </c>
      <c r="W411" s="40">
        <v>54</v>
      </c>
      <c r="X411" s="11" t="s">
        <v>58</v>
      </c>
      <c r="Y411" s="11">
        <v>0.14000000000000001</v>
      </c>
      <c r="Z411" s="11"/>
      <c r="AA411" s="11">
        <v>-1</v>
      </c>
      <c r="AB411" s="43">
        <f>((U411-O411)/V411)*AA411 * (1-(3/(4*(Q411+W411-2)-1)))</f>
        <v>-0.12385321100917432</v>
      </c>
      <c r="AC411" s="11"/>
      <c r="AD411" s="44">
        <v>1</v>
      </c>
      <c r="AE411" s="44"/>
      <c r="AF411" s="11" t="s">
        <v>58</v>
      </c>
      <c r="AG411" s="11"/>
      <c r="AH411" s="11"/>
      <c r="AI411" s="11"/>
      <c r="AJ411" s="11"/>
      <c r="AK411" s="11"/>
      <c r="AL411" s="11"/>
      <c r="AM411" s="11"/>
      <c r="AN411" s="11"/>
    </row>
    <row r="412" spans="1:41" s="1" customFormat="1" ht="15.95" customHeight="1" x14ac:dyDescent="0.25">
      <c r="A412" s="11">
        <v>462</v>
      </c>
      <c r="B412" s="1" t="s">
        <v>34</v>
      </c>
      <c r="C412" s="14" t="s">
        <v>102</v>
      </c>
      <c r="D412" s="14" t="s">
        <v>102</v>
      </c>
      <c r="E412" s="36" t="s">
        <v>81</v>
      </c>
      <c r="F412" s="1" t="s">
        <v>228</v>
      </c>
      <c r="G412" s="1">
        <v>2020</v>
      </c>
      <c r="H412" s="11" t="s">
        <v>104</v>
      </c>
      <c r="I412" s="204" t="s">
        <v>41</v>
      </c>
      <c r="J412" s="204"/>
      <c r="K412" s="210" t="s">
        <v>214</v>
      </c>
      <c r="L412" s="220"/>
      <c r="M412" s="220"/>
      <c r="N412" s="220"/>
      <c r="O412" s="57">
        <v>325</v>
      </c>
      <c r="P412" s="58">
        <v>46</v>
      </c>
      <c r="Q412" s="40">
        <v>19</v>
      </c>
      <c r="R412" s="59">
        <v>1042</v>
      </c>
      <c r="S412" s="60"/>
      <c r="T412" s="59"/>
      <c r="U412" s="57">
        <v>315</v>
      </c>
      <c r="V412" s="39">
        <v>44.6</v>
      </c>
      <c r="W412" s="40">
        <v>19</v>
      </c>
      <c r="Y412" s="55">
        <f>(U412-O412)/SQRT((V412^2+P412^2)/2)</f>
        <v>-0.22072420108207461</v>
      </c>
      <c r="Z412" s="55"/>
      <c r="AA412" s="14">
        <v>1</v>
      </c>
      <c r="AB412" s="43">
        <f>((U412-O412)/V412)*AA412 * (1-(3/(4*(Q412+W412-2)-1)))</f>
        <v>-0.2195114302737621</v>
      </c>
      <c r="AC412" s="61"/>
      <c r="AD412" s="44">
        <v>1</v>
      </c>
      <c r="AE412" s="101">
        <f>AVERAGE(AB364:AB412)</f>
        <v>-0.57065228251605193</v>
      </c>
      <c r="AF412" s="14"/>
      <c r="AG412" s="14"/>
      <c r="AI412" s="62"/>
      <c r="AJ412" s="62"/>
      <c r="AK412" s="14">
        <v>1</v>
      </c>
      <c r="AL412" s="14" t="s">
        <v>116</v>
      </c>
      <c r="AM412" s="68" t="s">
        <v>117</v>
      </c>
      <c r="AN412" s="14" t="s">
        <v>215</v>
      </c>
    </row>
    <row r="413" spans="1:41" s="1" customFormat="1" ht="15.95" customHeight="1" x14ac:dyDescent="0.25">
      <c r="A413" s="11">
        <v>465</v>
      </c>
      <c r="B413" s="11" t="s">
        <v>43</v>
      </c>
      <c r="C413" s="14" t="s">
        <v>102</v>
      </c>
      <c r="D413" s="14" t="s">
        <v>102</v>
      </c>
      <c r="E413" s="36" t="s">
        <v>81</v>
      </c>
      <c r="F413" s="13" t="s">
        <v>95</v>
      </c>
      <c r="G413" s="13">
        <v>2006</v>
      </c>
      <c r="H413" s="13" t="s">
        <v>103</v>
      </c>
      <c r="I413" s="204" t="s">
        <v>39</v>
      </c>
      <c r="J413" s="204" t="s">
        <v>39</v>
      </c>
      <c r="K413" s="204"/>
      <c r="L413" s="207"/>
      <c r="M413" s="207"/>
      <c r="N413" s="204"/>
      <c r="O413" s="124">
        <v>2</v>
      </c>
      <c r="P413" s="125">
        <v>2</v>
      </c>
      <c r="Q413" s="126">
        <v>26</v>
      </c>
      <c r="R413" s="97">
        <v>423.8</v>
      </c>
      <c r="S413" s="125">
        <v>339</v>
      </c>
      <c r="T413" s="97"/>
      <c r="U413" s="124">
        <v>1.4</v>
      </c>
      <c r="V413" s="125">
        <v>1.8</v>
      </c>
      <c r="W413" s="126">
        <v>25</v>
      </c>
      <c r="X413" s="13"/>
      <c r="Y413" s="13"/>
      <c r="Z413" s="13"/>
      <c r="AA413" s="13">
        <v>1</v>
      </c>
      <c r="AB413" s="43">
        <f>((U413-O413)/V413)*AA413 * (1-(3/(4*(Q413+W413-2)-1)))</f>
        <v>-0.32820512820512826</v>
      </c>
      <c r="AC413" s="128"/>
      <c r="AD413" s="44">
        <v>1</v>
      </c>
      <c r="AE413" s="44"/>
      <c r="AF413" s="13">
        <v>11.2</v>
      </c>
      <c r="AG413" s="13">
        <v>3.1</v>
      </c>
      <c r="AH413" s="13"/>
      <c r="AI413" s="129">
        <v>11.3</v>
      </c>
      <c r="AJ413" s="129">
        <v>3.4</v>
      </c>
      <c r="AK413" s="13"/>
      <c r="AL413" s="13"/>
      <c r="AM413" s="13"/>
      <c r="AN413" s="13"/>
    </row>
    <row r="414" spans="1:41" s="1" customFormat="1" ht="15.95" customHeight="1" x14ac:dyDescent="0.25">
      <c r="A414" s="11">
        <v>467</v>
      </c>
      <c r="B414" s="11" t="s">
        <v>43</v>
      </c>
      <c r="C414" s="14" t="s">
        <v>102</v>
      </c>
      <c r="D414" s="14" t="s">
        <v>102</v>
      </c>
      <c r="E414" s="36" t="s">
        <v>81</v>
      </c>
      <c r="F414" s="13" t="s">
        <v>95</v>
      </c>
      <c r="G414" s="13">
        <v>2006</v>
      </c>
      <c r="H414" s="11" t="s">
        <v>104</v>
      </c>
      <c r="I414" s="204" t="s">
        <v>41</v>
      </c>
      <c r="J414" s="204" t="s">
        <v>41</v>
      </c>
      <c r="K414" s="204"/>
      <c r="L414" s="207"/>
      <c r="M414" s="207"/>
      <c r="N414" s="204"/>
      <c r="O414" s="124">
        <v>335</v>
      </c>
      <c r="P414" s="125">
        <v>60</v>
      </c>
      <c r="Q414" s="126">
        <v>26</v>
      </c>
      <c r="R414" s="97">
        <v>423.8</v>
      </c>
      <c r="S414" s="125">
        <v>339</v>
      </c>
      <c r="T414" s="97"/>
      <c r="U414" s="124">
        <v>352</v>
      </c>
      <c r="V414" s="125">
        <v>84</v>
      </c>
      <c r="W414" s="126">
        <v>25</v>
      </c>
      <c r="X414" s="13"/>
      <c r="Y414" s="13"/>
      <c r="Z414" s="13"/>
      <c r="AA414" s="13">
        <v>1</v>
      </c>
      <c r="AB414" s="43">
        <f>((U414-O414)/V414)*AA414 * (1-(3/(4*(Q414+W414-2)-1)))</f>
        <v>0.19926739926739928</v>
      </c>
      <c r="AC414" s="128"/>
      <c r="AD414" s="44">
        <v>1</v>
      </c>
      <c r="AE414" s="44"/>
      <c r="AF414" s="13">
        <v>11.2</v>
      </c>
      <c r="AG414" s="13">
        <v>3.1</v>
      </c>
      <c r="AH414" s="13"/>
      <c r="AI414" s="129">
        <v>11.3</v>
      </c>
      <c r="AJ414" s="129">
        <v>3.4</v>
      </c>
      <c r="AK414" s="13"/>
      <c r="AL414" s="13"/>
      <c r="AM414" s="13"/>
      <c r="AN414" s="13"/>
      <c r="AO414" s="13"/>
    </row>
    <row r="415" spans="1:41" s="1" customFormat="1" ht="15.95" customHeight="1" x14ac:dyDescent="0.25">
      <c r="A415" s="11">
        <v>456</v>
      </c>
      <c r="B415" s="11" t="s">
        <v>43</v>
      </c>
      <c r="C415" s="14" t="s">
        <v>102</v>
      </c>
      <c r="D415" s="14" t="s">
        <v>102</v>
      </c>
      <c r="E415" s="36" t="s">
        <v>81</v>
      </c>
      <c r="F415" s="11" t="s">
        <v>292</v>
      </c>
      <c r="G415" s="11">
        <v>1995</v>
      </c>
      <c r="H415" s="11" t="s">
        <v>298</v>
      </c>
      <c r="I415" s="204" t="s">
        <v>41</v>
      </c>
      <c r="J415" s="204"/>
      <c r="K415" s="204" t="s">
        <v>299</v>
      </c>
      <c r="L415" s="207"/>
      <c r="M415" s="204"/>
      <c r="N415" s="204"/>
      <c r="O415" s="38">
        <v>3.31</v>
      </c>
      <c r="P415" s="39">
        <v>0.89</v>
      </c>
      <c r="Q415" s="40">
        <v>10</v>
      </c>
      <c r="R415" s="41">
        <v>348</v>
      </c>
      <c r="S415" s="41"/>
      <c r="T415" s="41"/>
      <c r="U415" s="38">
        <v>2.95</v>
      </c>
      <c r="V415" s="41">
        <v>0.52</v>
      </c>
      <c r="W415" s="40">
        <v>10</v>
      </c>
      <c r="X415" s="11"/>
      <c r="Y415" s="11"/>
      <c r="Z415" s="11"/>
      <c r="AA415" s="11">
        <v>1</v>
      </c>
      <c r="AB415" s="43">
        <f>((U415-O415)/V415)*AA415 * (1-(3/(4*(Q415+W415-2)-1)))</f>
        <v>-0.66305525460455017</v>
      </c>
      <c r="AC415" s="11"/>
      <c r="AD415" s="44">
        <v>1</v>
      </c>
      <c r="AE415" s="11"/>
      <c r="AF415" s="11">
        <v>7.53</v>
      </c>
      <c r="AG415" s="11" t="s">
        <v>117</v>
      </c>
      <c r="AH415" s="11"/>
      <c r="AI415" s="11">
        <v>7.59</v>
      </c>
      <c r="AJ415" s="11" t="s">
        <v>117</v>
      </c>
      <c r="AK415" s="11"/>
      <c r="AL415" s="11" t="s">
        <v>296</v>
      </c>
      <c r="AM415" s="11"/>
      <c r="AN415" s="11"/>
    </row>
    <row r="416" spans="1:41" s="1" customFormat="1" ht="15.95" customHeight="1" x14ac:dyDescent="0.25">
      <c r="A416" s="11">
        <v>466</v>
      </c>
      <c r="B416" s="13" t="s">
        <v>43</v>
      </c>
      <c r="C416" s="14" t="s">
        <v>102</v>
      </c>
      <c r="D416" s="14" t="s">
        <v>102</v>
      </c>
      <c r="E416" s="36" t="s">
        <v>81</v>
      </c>
      <c r="F416" s="13" t="s">
        <v>300</v>
      </c>
      <c r="G416" s="13">
        <v>2012</v>
      </c>
      <c r="H416" s="11" t="s">
        <v>104</v>
      </c>
      <c r="I416" s="204" t="s">
        <v>41</v>
      </c>
      <c r="J416" s="204"/>
      <c r="K416" s="204"/>
      <c r="L416" s="207"/>
      <c r="M416" s="207"/>
      <c r="N416" s="204"/>
      <c r="O416" s="124">
        <v>435</v>
      </c>
      <c r="P416" s="125">
        <v>103</v>
      </c>
      <c r="Q416" s="126">
        <v>42</v>
      </c>
      <c r="R416" s="97">
        <v>546</v>
      </c>
      <c r="S416" s="125">
        <v>331</v>
      </c>
      <c r="T416" s="97"/>
      <c r="U416" s="124">
        <v>383</v>
      </c>
      <c r="V416" s="125">
        <v>80</v>
      </c>
      <c r="W416" s="126">
        <v>81</v>
      </c>
      <c r="X416" s="13"/>
      <c r="Y416" s="13"/>
      <c r="Z416" s="13"/>
      <c r="AA416" s="13">
        <v>1</v>
      </c>
      <c r="AB416" s="43">
        <f>((U416-O416)/V416)*AA416 * (1-(3/(4*(Q416+W416-2)-1)))</f>
        <v>-0.64596273291925466</v>
      </c>
      <c r="AC416" s="128"/>
      <c r="AD416" s="44">
        <v>1</v>
      </c>
      <c r="AE416" s="44"/>
      <c r="AF416" s="118">
        <v>11.8</v>
      </c>
      <c r="AG416" s="118">
        <v>3.5</v>
      </c>
      <c r="AH416" s="118"/>
      <c r="AI416" s="129">
        <v>12.3</v>
      </c>
      <c r="AJ416" s="129">
        <v>3.2</v>
      </c>
      <c r="AK416" s="13"/>
      <c r="AL416" s="13"/>
      <c r="AM416" s="13"/>
      <c r="AN416" s="13"/>
      <c r="AO416" s="13"/>
    </row>
    <row r="417" spans="1:41" s="1" customFormat="1" ht="15.95" customHeight="1" x14ac:dyDescent="0.25">
      <c r="A417" s="11">
        <v>468</v>
      </c>
      <c r="B417" s="13" t="s">
        <v>43</v>
      </c>
      <c r="C417" s="14" t="s">
        <v>102</v>
      </c>
      <c r="D417" s="14" t="s">
        <v>102</v>
      </c>
      <c r="E417" s="36" t="s">
        <v>81</v>
      </c>
      <c r="F417" s="13" t="s">
        <v>300</v>
      </c>
      <c r="G417" s="13">
        <v>2012</v>
      </c>
      <c r="H417" s="13" t="s">
        <v>514</v>
      </c>
      <c r="I417" s="204"/>
      <c r="J417" s="204"/>
      <c r="K417" s="204"/>
      <c r="L417" s="207"/>
      <c r="M417" s="207"/>
      <c r="N417" s="204"/>
      <c r="O417" s="124">
        <v>138</v>
      </c>
      <c r="P417" s="125">
        <v>81</v>
      </c>
      <c r="Q417" s="126">
        <v>42</v>
      </c>
      <c r="R417" s="97">
        <v>546</v>
      </c>
      <c r="S417" s="125">
        <v>331</v>
      </c>
      <c r="T417" s="97"/>
      <c r="U417" s="124">
        <v>94</v>
      </c>
      <c r="V417" s="125">
        <v>48</v>
      </c>
      <c r="W417" s="126">
        <v>81</v>
      </c>
      <c r="X417" s="13"/>
      <c r="Y417" s="13"/>
      <c r="Z417" s="13"/>
      <c r="AA417" s="13">
        <v>1</v>
      </c>
      <c r="AB417" s="43">
        <f>((U417-O417)/V417)*AA417 * (1-(3/(4*(Q417+W417-2)-1)))</f>
        <v>-0.91097308488612827</v>
      </c>
      <c r="AC417" s="128"/>
      <c r="AD417" s="44">
        <v>1</v>
      </c>
      <c r="AE417" s="44"/>
      <c r="AF417" s="118">
        <v>11.8</v>
      </c>
      <c r="AG417" s="118">
        <v>3.5</v>
      </c>
      <c r="AH417" s="118"/>
      <c r="AI417" s="129">
        <v>12.3</v>
      </c>
      <c r="AJ417" s="129">
        <v>3.2</v>
      </c>
      <c r="AK417" s="13"/>
      <c r="AL417" s="13"/>
      <c r="AM417" s="13"/>
      <c r="AN417" s="13"/>
    </row>
    <row r="418" spans="1:41" s="1" customFormat="1" ht="15.95" customHeight="1" x14ac:dyDescent="0.25">
      <c r="A418" s="11">
        <v>457</v>
      </c>
      <c r="B418" s="11" t="s">
        <v>54</v>
      </c>
      <c r="C418" s="14" t="s">
        <v>102</v>
      </c>
      <c r="D418" s="14" t="s">
        <v>102</v>
      </c>
      <c r="E418" s="36"/>
      <c r="F418" s="11" t="s">
        <v>292</v>
      </c>
      <c r="G418" s="11">
        <v>1995</v>
      </c>
      <c r="H418" s="11" t="s">
        <v>298</v>
      </c>
      <c r="I418" s="204" t="s">
        <v>41</v>
      </c>
      <c r="J418" s="204"/>
      <c r="K418" s="204" t="s">
        <v>299</v>
      </c>
      <c r="L418" s="207"/>
      <c r="M418" s="204"/>
      <c r="N418" s="204"/>
      <c r="O418" s="38">
        <v>2.37</v>
      </c>
      <c r="P418" s="39">
        <v>0.77</v>
      </c>
      <c r="Q418" s="40">
        <v>10</v>
      </c>
      <c r="R418" s="41">
        <v>1014</v>
      </c>
      <c r="S418" s="41">
        <v>216</v>
      </c>
      <c r="T418" s="41"/>
      <c r="U418" s="38">
        <v>2.2000000000000002</v>
      </c>
      <c r="V418" s="41">
        <v>0.47</v>
      </c>
      <c r="W418" s="40">
        <v>10</v>
      </c>
      <c r="X418" s="11"/>
      <c r="Y418" s="11"/>
      <c r="Z418" s="143"/>
      <c r="AA418" s="11">
        <v>-1</v>
      </c>
      <c r="AB418" s="43">
        <f>((U418-O418)/V418)*AA418 * (1-(3/(4*(Q418+W418-2)-1)))</f>
        <v>0.3464189391669163</v>
      </c>
      <c r="AC418" s="11"/>
      <c r="AD418" s="44">
        <v>1</v>
      </c>
      <c r="AE418" s="11"/>
      <c r="AF418" s="11"/>
      <c r="AG418" s="11"/>
      <c r="AH418" s="11"/>
      <c r="AI418" s="11"/>
      <c r="AJ418" s="11"/>
      <c r="AK418" s="11"/>
      <c r="AL418" s="11"/>
      <c r="AM418" s="11"/>
      <c r="AN418" s="11"/>
    </row>
    <row r="419" spans="1:41" s="1" customFormat="1" ht="15.95" customHeight="1" x14ac:dyDescent="0.25">
      <c r="A419" s="11">
        <v>548</v>
      </c>
      <c r="B419" s="1" t="s">
        <v>34</v>
      </c>
      <c r="C419" s="14" t="s">
        <v>112</v>
      </c>
      <c r="D419" s="14" t="s">
        <v>112</v>
      </c>
      <c r="E419" s="36"/>
      <c r="F419" s="14" t="s">
        <v>113</v>
      </c>
      <c r="G419" s="1">
        <v>2016</v>
      </c>
      <c r="H419" s="11" t="s">
        <v>114</v>
      </c>
      <c r="I419" s="204" t="s">
        <v>39</v>
      </c>
      <c r="J419" s="204" t="s">
        <v>39</v>
      </c>
      <c r="K419" s="210" t="s">
        <v>115</v>
      </c>
      <c r="L419" s="220"/>
      <c r="M419" s="220"/>
      <c r="N419" s="220"/>
      <c r="O419" s="74">
        <v>5.7</v>
      </c>
      <c r="P419" s="60">
        <v>3.1</v>
      </c>
      <c r="Q419" s="91">
        <v>56</v>
      </c>
      <c r="R419" s="59">
        <v>657</v>
      </c>
      <c r="S419" s="60"/>
      <c r="T419" s="59"/>
      <c r="U419" s="74">
        <v>4.5999999999999996</v>
      </c>
      <c r="V419" s="92">
        <v>2.5</v>
      </c>
      <c r="W419" s="91">
        <v>53</v>
      </c>
      <c r="X419" s="14"/>
      <c r="Y419" s="55">
        <f>(U419-O419)/SQRT((V419^2+P419^2)/2)</f>
        <v>-0.39062145332563941</v>
      </c>
      <c r="Z419" s="55"/>
      <c r="AA419" s="14">
        <v>1</v>
      </c>
      <c r="AB419" s="43">
        <f>((U419-O419)/V419)*AA419 * (1-(3/(4*(Q419+W419-2)-1)))</f>
        <v>-0.43690866510538662</v>
      </c>
      <c r="AC419" s="61"/>
      <c r="AD419" s="44">
        <v>1</v>
      </c>
      <c r="AE419" s="44"/>
      <c r="AF419" s="14"/>
      <c r="AG419" s="14"/>
      <c r="AI419" s="62"/>
      <c r="AJ419" s="62"/>
      <c r="AK419" s="14">
        <v>1</v>
      </c>
      <c r="AL419" s="14" t="s">
        <v>116</v>
      </c>
      <c r="AM419" s="1" t="s">
        <v>117</v>
      </c>
      <c r="AN419" s="14" t="s">
        <v>118</v>
      </c>
    </row>
    <row r="420" spans="1:41" s="1" customFormat="1" ht="15.95" customHeight="1" x14ac:dyDescent="0.25">
      <c r="A420" s="11">
        <v>549</v>
      </c>
      <c r="B420" s="1" t="s">
        <v>34</v>
      </c>
      <c r="C420" s="14" t="s">
        <v>112</v>
      </c>
      <c r="D420" s="14" t="s">
        <v>112</v>
      </c>
      <c r="E420" s="36"/>
      <c r="F420" s="14" t="s">
        <v>113</v>
      </c>
      <c r="G420" s="1">
        <v>2016</v>
      </c>
      <c r="H420" s="11" t="s">
        <v>119</v>
      </c>
      <c r="I420" s="204" t="s">
        <v>41</v>
      </c>
      <c r="J420" s="204" t="s">
        <v>41</v>
      </c>
      <c r="K420" s="210" t="s">
        <v>120</v>
      </c>
      <c r="L420" s="220"/>
      <c r="M420" s="220"/>
      <c r="N420" s="220"/>
      <c r="O420" s="74">
        <v>874</v>
      </c>
      <c r="P420" s="60">
        <v>182</v>
      </c>
      <c r="Q420" s="91">
        <v>56</v>
      </c>
      <c r="R420" s="59">
        <v>657</v>
      </c>
      <c r="S420" s="60"/>
      <c r="T420" s="59"/>
      <c r="U420" s="74">
        <v>796</v>
      </c>
      <c r="V420" s="92">
        <v>157</v>
      </c>
      <c r="W420" s="91">
        <v>53</v>
      </c>
      <c r="X420" s="14"/>
      <c r="Y420" s="55">
        <f>(U420-O420)/SQRT((V420^2+P420^2)/2)</f>
        <v>-0.4589307316362739</v>
      </c>
      <c r="Z420" s="55"/>
      <c r="AA420" s="14">
        <v>1</v>
      </c>
      <c r="AB420" s="43">
        <f>((U420-O420)/V420)*AA420 * (1-(3/(4*(Q420+W420-2)-1)))</f>
        <v>-0.49332478109757005</v>
      </c>
      <c r="AC420" s="61"/>
      <c r="AD420" s="44">
        <v>1</v>
      </c>
      <c r="AE420" s="44"/>
      <c r="AF420" s="14"/>
      <c r="AG420" s="14"/>
      <c r="AI420" s="62"/>
      <c r="AJ420" s="62"/>
      <c r="AK420" s="14">
        <v>1</v>
      </c>
      <c r="AL420" s="14" t="s">
        <v>116</v>
      </c>
      <c r="AM420" s="1" t="s">
        <v>117</v>
      </c>
      <c r="AN420" s="14" t="s">
        <v>118</v>
      </c>
    </row>
    <row r="421" spans="1:41" s="1" customFormat="1" ht="15.95" customHeight="1" x14ac:dyDescent="0.25">
      <c r="A421" s="11">
        <v>542</v>
      </c>
      <c r="B421" s="1" t="s">
        <v>34</v>
      </c>
      <c r="C421" s="14" t="s">
        <v>112</v>
      </c>
      <c r="D421" s="14" t="s">
        <v>112</v>
      </c>
      <c r="E421" s="36"/>
      <c r="F421" s="11" t="s">
        <v>148</v>
      </c>
      <c r="G421" s="1">
        <v>2020</v>
      </c>
      <c r="H421" s="11" t="s">
        <v>149</v>
      </c>
      <c r="I421" s="204" t="s">
        <v>39</v>
      </c>
      <c r="J421" s="204" t="s">
        <v>39</v>
      </c>
      <c r="K421" s="210" t="s">
        <v>150</v>
      </c>
      <c r="L421" s="220"/>
      <c r="M421" s="220"/>
      <c r="N421" s="220"/>
      <c r="O421" s="74">
        <v>23.1</v>
      </c>
      <c r="P421" s="60">
        <v>2.9</v>
      </c>
      <c r="Q421" s="91">
        <v>20</v>
      </c>
      <c r="R421" s="59">
        <v>670</v>
      </c>
      <c r="S421" s="60"/>
      <c r="T421" s="59"/>
      <c r="U421" s="74">
        <v>22.6</v>
      </c>
      <c r="V421" s="92">
        <v>4.8</v>
      </c>
      <c r="W421" s="91">
        <v>25</v>
      </c>
      <c r="X421" s="14"/>
      <c r="Y421" s="55">
        <f>(U421-O421)/SQRT((V421^2+P421^2)/2)</f>
        <v>-0.12608826746517235</v>
      </c>
      <c r="Z421" s="55"/>
      <c r="AA421" s="14">
        <v>-1</v>
      </c>
      <c r="AB421" s="43">
        <f>((U421-O421)/V421)*AA421 * (1-(3/(4*(Q421+W421-2)-1)))</f>
        <v>0.1023391812865497</v>
      </c>
      <c r="AC421" s="61"/>
      <c r="AD421" s="44">
        <v>1</v>
      </c>
      <c r="AE421" s="44"/>
      <c r="AF421" s="14"/>
      <c r="AG421" s="14"/>
      <c r="AI421" s="62"/>
      <c r="AJ421" s="62"/>
      <c r="AK421" s="14">
        <v>2</v>
      </c>
      <c r="AL421" s="14" t="s">
        <v>68</v>
      </c>
      <c r="AM421" s="1" t="s">
        <v>69</v>
      </c>
      <c r="AN421" s="14" t="s">
        <v>68</v>
      </c>
    </row>
    <row r="422" spans="1:41" s="11" customFormat="1" ht="15.95" customHeight="1" x14ac:dyDescent="0.25">
      <c r="A422" s="11">
        <v>543</v>
      </c>
      <c r="B422" s="1" t="s">
        <v>34</v>
      </c>
      <c r="C422" s="14" t="s">
        <v>112</v>
      </c>
      <c r="D422" s="14" t="s">
        <v>112</v>
      </c>
      <c r="E422" s="36"/>
      <c r="F422" s="11" t="s">
        <v>148</v>
      </c>
      <c r="G422" s="1">
        <v>2020</v>
      </c>
      <c r="H422" s="11" t="s">
        <v>151</v>
      </c>
      <c r="I422" s="204" t="s">
        <v>41</v>
      </c>
      <c r="J422" s="204" t="s">
        <v>41</v>
      </c>
      <c r="K422" s="210" t="s">
        <v>152</v>
      </c>
      <c r="L422" s="220"/>
      <c r="M422" s="220"/>
      <c r="N422" s="220"/>
      <c r="O422" s="74">
        <v>5.5</v>
      </c>
      <c r="P422" s="60">
        <v>2</v>
      </c>
      <c r="Q422" s="91">
        <v>20</v>
      </c>
      <c r="R422" s="59">
        <v>670</v>
      </c>
      <c r="S422" s="60"/>
      <c r="T422" s="59"/>
      <c r="U422" s="74">
        <v>4.5</v>
      </c>
      <c r="V422" s="92">
        <v>1.9</v>
      </c>
      <c r="W422" s="91">
        <v>25</v>
      </c>
      <c r="X422" s="14"/>
      <c r="Y422" s="55">
        <f>(U422-O422)/SQRT((V422^2+P422^2)/2)</f>
        <v>-0.51265201585101605</v>
      </c>
      <c r="Z422" s="55"/>
      <c r="AA422" s="14">
        <v>1</v>
      </c>
      <c r="AB422" s="43">
        <f>((U422-O422)/V422)*AA422 * (1-(3/(4*(Q422+W422-2)-1)))</f>
        <v>-0.51708217913204058</v>
      </c>
      <c r="AC422" s="61"/>
      <c r="AD422" s="44">
        <v>1</v>
      </c>
      <c r="AE422" s="44"/>
      <c r="AF422" s="14"/>
      <c r="AG422" s="14"/>
      <c r="AH422" s="1"/>
      <c r="AI422" s="62"/>
      <c r="AJ422" s="62"/>
      <c r="AK422" s="14">
        <v>2</v>
      </c>
      <c r="AL422" s="14" t="s">
        <v>68</v>
      </c>
      <c r="AM422" s="1" t="s">
        <v>69</v>
      </c>
      <c r="AN422" s="14" t="s">
        <v>68</v>
      </c>
      <c r="AO422" s="1"/>
    </row>
    <row r="423" spans="1:41" s="11" customFormat="1" ht="15.95" customHeight="1" x14ac:dyDescent="0.25">
      <c r="A423" s="11">
        <v>544</v>
      </c>
      <c r="B423" s="1" t="s">
        <v>34</v>
      </c>
      <c r="C423" s="14" t="s">
        <v>112</v>
      </c>
      <c r="D423" s="14" t="s">
        <v>112</v>
      </c>
      <c r="E423" s="36"/>
      <c r="F423" s="11" t="s">
        <v>148</v>
      </c>
      <c r="G423" s="1">
        <v>2020</v>
      </c>
      <c r="H423" s="11" t="s">
        <v>153</v>
      </c>
      <c r="I423" s="204" t="s">
        <v>39</v>
      </c>
      <c r="J423" s="204" t="s">
        <v>39</v>
      </c>
      <c r="K423" s="210" t="s">
        <v>154</v>
      </c>
      <c r="L423" s="220"/>
      <c r="M423" s="220"/>
      <c r="N423" s="220"/>
      <c r="O423" s="74">
        <v>18.5</v>
      </c>
      <c r="P423" s="60">
        <v>2</v>
      </c>
      <c r="Q423" s="91">
        <v>20</v>
      </c>
      <c r="R423" s="59">
        <v>670</v>
      </c>
      <c r="S423" s="60"/>
      <c r="T423" s="59"/>
      <c r="U423" s="74">
        <v>18.2</v>
      </c>
      <c r="V423" s="92">
        <v>2</v>
      </c>
      <c r="W423" s="91">
        <v>25</v>
      </c>
      <c r="X423" s="14"/>
      <c r="Y423" s="55">
        <f>(U423-O423)/SQRT((V423^2+P423^2)/2)</f>
        <v>-0.15000000000000036</v>
      </c>
      <c r="Z423" s="55"/>
      <c r="AA423" s="14">
        <v>-1</v>
      </c>
      <c r="AB423" s="43">
        <f>((U423-O423)/V423)*AA423 * (1-(3/(4*(Q423+W423-2)-1)))</f>
        <v>0.14736842105263193</v>
      </c>
      <c r="AC423" s="61"/>
      <c r="AD423" s="44">
        <v>1</v>
      </c>
      <c r="AE423" s="44"/>
      <c r="AF423" s="14"/>
      <c r="AG423" s="14"/>
      <c r="AH423" s="1"/>
      <c r="AI423" s="62"/>
      <c r="AJ423" s="62"/>
      <c r="AK423" s="14">
        <v>2</v>
      </c>
      <c r="AL423" s="14" t="s">
        <v>68</v>
      </c>
      <c r="AM423" s="1" t="s">
        <v>69</v>
      </c>
      <c r="AN423" s="14" t="s">
        <v>68</v>
      </c>
      <c r="AO423" s="1"/>
    </row>
    <row r="424" spans="1:41" s="1" customFormat="1" ht="15.95" customHeight="1" x14ac:dyDescent="0.25">
      <c r="A424" s="11">
        <v>545</v>
      </c>
      <c r="B424" s="1" t="s">
        <v>34</v>
      </c>
      <c r="C424" s="14" t="s">
        <v>112</v>
      </c>
      <c r="D424" s="14" t="s">
        <v>112</v>
      </c>
      <c r="E424" s="36"/>
      <c r="F424" s="11" t="s">
        <v>148</v>
      </c>
      <c r="G424" s="1">
        <v>2020</v>
      </c>
      <c r="H424" s="11" t="s">
        <v>155</v>
      </c>
      <c r="I424" s="204" t="s">
        <v>41</v>
      </c>
      <c r="J424" s="204" t="s">
        <v>41</v>
      </c>
      <c r="K424" s="210" t="s">
        <v>156</v>
      </c>
      <c r="L424" s="220"/>
      <c r="M424" s="220"/>
      <c r="N424" s="220"/>
      <c r="O424" s="74">
        <v>5.6</v>
      </c>
      <c r="P424" s="60">
        <v>1.2</v>
      </c>
      <c r="Q424" s="91">
        <v>20</v>
      </c>
      <c r="R424" s="59">
        <v>670</v>
      </c>
      <c r="S424" s="60"/>
      <c r="T424" s="59"/>
      <c r="U424" s="74">
        <v>4.7</v>
      </c>
      <c r="V424" s="92">
        <v>1.3</v>
      </c>
      <c r="W424" s="91">
        <v>25</v>
      </c>
      <c r="X424" s="14"/>
      <c r="Y424" s="55">
        <f>(U424-O424)/SQRT((V424^2+P424^2)/2)</f>
        <v>-0.71942469027968792</v>
      </c>
      <c r="Z424" s="55"/>
      <c r="AA424" s="14">
        <v>1</v>
      </c>
      <c r="AB424" s="43">
        <f>((U424-O424)/V424)*AA424 * (1-(3/(4*(Q424+W424-2)-1)))</f>
        <v>-0.68016194331983759</v>
      </c>
      <c r="AC424" s="61"/>
      <c r="AD424" s="44">
        <v>1</v>
      </c>
      <c r="AE424" s="44"/>
      <c r="AF424" s="14"/>
      <c r="AG424" s="14"/>
      <c r="AI424" s="62"/>
      <c r="AJ424" s="62"/>
      <c r="AK424" s="14">
        <v>2</v>
      </c>
      <c r="AL424" s="14" t="s">
        <v>68</v>
      </c>
      <c r="AM424" s="1" t="s">
        <v>69</v>
      </c>
      <c r="AN424" s="14" t="s">
        <v>68</v>
      </c>
    </row>
    <row r="425" spans="1:41" s="1" customFormat="1" ht="15.95" customHeight="1" x14ac:dyDescent="0.25">
      <c r="A425" s="11">
        <v>556</v>
      </c>
      <c r="B425" s="1" t="s">
        <v>34</v>
      </c>
      <c r="C425" s="14" t="s">
        <v>112</v>
      </c>
      <c r="D425" s="14" t="s">
        <v>112</v>
      </c>
      <c r="E425" s="36"/>
      <c r="F425" s="11" t="s">
        <v>148</v>
      </c>
      <c r="G425" s="1">
        <v>2020</v>
      </c>
      <c r="H425" s="11" t="s">
        <v>198</v>
      </c>
      <c r="I425" s="204" t="s">
        <v>39</v>
      </c>
      <c r="J425" s="204" t="s">
        <v>39</v>
      </c>
      <c r="K425" s="210" t="s">
        <v>199</v>
      </c>
      <c r="L425" s="220"/>
      <c r="M425" s="220"/>
      <c r="N425" s="220"/>
      <c r="O425" s="74">
        <v>21.5</v>
      </c>
      <c r="P425" s="60">
        <v>0.7</v>
      </c>
      <c r="Q425" s="91">
        <v>20</v>
      </c>
      <c r="R425" s="59">
        <v>670</v>
      </c>
      <c r="S425" s="60"/>
      <c r="T425" s="59"/>
      <c r="U425" s="74">
        <v>21.4</v>
      </c>
      <c r="V425" s="92">
        <v>1</v>
      </c>
      <c r="W425" s="91">
        <v>25</v>
      </c>
      <c r="X425" s="14"/>
      <c r="Y425" s="55">
        <f>(U425-O425)/SQRT((V425^2+P425^2)/2)</f>
        <v>-0.1158568892727001</v>
      </c>
      <c r="Z425" s="55"/>
      <c r="AA425" s="14">
        <v>-1</v>
      </c>
      <c r="AB425" s="43">
        <f>((U425-O425)/V425)*AA425 * (1-(3/(4*(Q425+W425-2)-1)))</f>
        <v>9.8245614035089107E-2</v>
      </c>
      <c r="AC425" s="61"/>
      <c r="AD425" s="44">
        <v>1</v>
      </c>
      <c r="AE425" s="44"/>
      <c r="AF425" s="14"/>
      <c r="AG425" s="14"/>
      <c r="AI425" s="62"/>
      <c r="AJ425" s="62"/>
      <c r="AK425" s="14">
        <v>2</v>
      </c>
      <c r="AL425" s="14" t="s">
        <v>68</v>
      </c>
      <c r="AM425" s="1" t="s">
        <v>69</v>
      </c>
      <c r="AN425" s="14" t="s">
        <v>68</v>
      </c>
    </row>
    <row r="426" spans="1:41" s="13" customFormat="1" ht="15.95" customHeight="1" x14ac:dyDescent="0.25">
      <c r="A426" s="11">
        <v>555</v>
      </c>
      <c r="B426" s="1" t="s">
        <v>34</v>
      </c>
      <c r="C426" s="14" t="s">
        <v>112</v>
      </c>
      <c r="D426" s="14" t="s">
        <v>112</v>
      </c>
      <c r="E426" s="36"/>
      <c r="F426" s="11" t="s">
        <v>148</v>
      </c>
      <c r="G426" s="1">
        <v>2020</v>
      </c>
      <c r="H426" s="11" t="s">
        <v>200</v>
      </c>
      <c r="I426" s="204" t="s">
        <v>41</v>
      </c>
      <c r="J426" s="204" t="s">
        <v>41</v>
      </c>
      <c r="K426" s="210" t="s">
        <v>201</v>
      </c>
      <c r="L426" s="220"/>
      <c r="M426" s="220"/>
      <c r="N426" s="220"/>
      <c r="O426" s="74">
        <v>2.8</v>
      </c>
      <c r="P426" s="60">
        <v>1.1000000000000001</v>
      </c>
      <c r="Q426" s="91">
        <v>20</v>
      </c>
      <c r="R426" s="59">
        <v>670</v>
      </c>
      <c r="S426" s="60"/>
      <c r="T426" s="59"/>
      <c r="U426" s="74">
        <v>2.2000000000000002</v>
      </c>
      <c r="V426" s="92">
        <v>0.7</v>
      </c>
      <c r="W426" s="91">
        <v>25</v>
      </c>
      <c r="X426" s="14"/>
      <c r="Y426" s="55">
        <f>(U426-O426)/SQRT((V426^2+P426^2)/2)</f>
        <v>-0.65079137345596816</v>
      </c>
      <c r="Z426" s="55"/>
      <c r="AA426" s="14">
        <v>1</v>
      </c>
      <c r="AB426" s="43">
        <f>((U426-O426)/V426)*AA426 * (1-(3/(4*(Q426+W426-2)-1)))</f>
        <v>-0.84210526315789425</v>
      </c>
      <c r="AC426" s="61"/>
      <c r="AD426" s="44">
        <v>1</v>
      </c>
      <c r="AE426" s="44"/>
      <c r="AF426" s="14"/>
      <c r="AG426" s="14"/>
      <c r="AH426" s="1"/>
      <c r="AI426" s="62"/>
      <c r="AJ426" s="62"/>
      <c r="AK426" s="14">
        <v>2</v>
      </c>
      <c r="AL426" s="14" t="s">
        <v>68</v>
      </c>
      <c r="AM426" s="1" t="s">
        <v>69</v>
      </c>
      <c r="AN426" s="14" t="s">
        <v>68</v>
      </c>
      <c r="AO426" s="1"/>
    </row>
    <row r="427" spans="1:41" s="1" customFormat="1" ht="15.95" customHeight="1" x14ac:dyDescent="0.25">
      <c r="A427" s="11">
        <v>546</v>
      </c>
      <c r="B427" s="1" t="s">
        <v>34</v>
      </c>
      <c r="C427" s="14" t="s">
        <v>112</v>
      </c>
      <c r="D427" s="14" t="s">
        <v>112</v>
      </c>
      <c r="E427" s="36"/>
      <c r="F427" s="14" t="s">
        <v>113</v>
      </c>
      <c r="G427" s="1">
        <v>2016</v>
      </c>
      <c r="H427" s="11" t="s">
        <v>496</v>
      </c>
      <c r="I427" s="204"/>
      <c r="J427" s="204"/>
      <c r="K427" s="210" t="s">
        <v>497</v>
      </c>
      <c r="L427" s="220"/>
      <c r="M427" s="220"/>
      <c r="N427" s="220"/>
      <c r="O427" s="74">
        <v>7.1</v>
      </c>
      <c r="P427" s="60">
        <v>3.5</v>
      </c>
      <c r="Q427" s="91">
        <v>56</v>
      </c>
      <c r="R427" s="59">
        <v>657</v>
      </c>
      <c r="S427" s="60"/>
      <c r="T427" s="59"/>
      <c r="U427" s="74">
        <v>5.6</v>
      </c>
      <c r="V427" s="92">
        <v>3.4</v>
      </c>
      <c r="W427" s="91">
        <v>53</v>
      </c>
      <c r="X427" s="14"/>
      <c r="Y427" s="55">
        <f>(U427-O427)/SQRT((V427^2+P427^2)/2)</f>
        <v>-0.43473695503786941</v>
      </c>
      <c r="Z427" s="55"/>
      <c r="AA427" s="14">
        <v>1</v>
      </c>
      <c r="AB427" s="43">
        <f>((U427-O427)/V427)*AA427 * (1-(3/(4*(Q427+W427-2)-1)))</f>
        <v>-0.43807687009229918</v>
      </c>
      <c r="AC427" s="61"/>
      <c r="AD427" s="44">
        <v>1</v>
      </c>
      <c r="AE427" s="44"/>
      <c r="AF427" s="14"/>
      <c r="AG427" s="14"/>
      <c r="AI427" s="62"/>
      <c r="AJ427" s="62"/>
      <c r="AK427" s="14">
        <v>1</v>
      </c>
      <c r="AL427" s="14" t="s">
        <v>116</v>
      </c>
      <c r="AM427" s="1" t="s">
        <v>117</v>
      </c>
      <c r="AN427" s="14" t="s">
        <v>118</v>
      </c>
    </row>
    <row r="428" spans="1:41" s="1" customFormat="1" ht="15.95" customHeight="1" x14ac:dyDescent="0.25">
      <c r="A428" s="11">
        <v>547</v>
      </c>
      <c r="B428" s="1" t="s">
        <v>34</v>
      </c>
      <c r="C428" s="14" t="s">
        <v>112</v>
      </c>
      <c r="D428" s="14" t="s">
        <v>112</v>
      </c>
      <c r="E428" s="36"/>
      <c r="F428" s="14" t="s">
        <v>113</v>
      </c>
      <c r="G428" s="1">
        <v>2016</v>
      </c>
      <c r="H428" s="11" t="s">
        <v>498</v>
      </c>
      <c r="I428" s="204"/>
      <c r="J428" s="204"/>
      <c r="K428" s="210" t="s">
        <v>499</v>
      </c>
      <c r="L428" s="220"/>
      <c r="M428" s="220"/>
      <c r="N428" s="220"/>
      <c r="O428" s="74">
        <v>1197</v>
      </c>
      <c r="P428" s="60">
        <v>272</v>
      </c>
      <c r="Q428" s="91">
        <v>56</v>
      </c>
      <c r="R428" s="59">
        <v>657</v>
      </c>
      <c r="S428" s="60"/>
      <c r="T428" s="59"/>
      <c r="U428" s="74">
        <v>1133</v>
      </c>
      <c r="V428" s="92">
        <v>221</v>
      </c>
      <c r="W428" s="91">
        <v>53</v>
      </c>
      <c r="X428" s="14"/>
      <c r="Y428" s="55">
        <f>(U428-O428)/SQRT((V428^2+P428^2)/2)</f>
        <v>-0.25825669292048387</v>
      </c>
      <c r="Z428" s="55"/>
      <c r="AA428" s="14">
        <v>1</v>
      </c>
      <c r="AB428" s="43">
        <f>((U428-O428)/V428)*AA428 * (1-(3/(4*(Q428+W428-2)-1)))</f>
        <v>-0.28755815062468876</v>
      </c>
      <c r="AC428" s="61"/>
      <c r="AD428" s="44">
        <v>1</v>
      </c>
      <c r="AE428" s="44"/>
      <c r="AF428" s="14"/>
      <c r="AG428" s="14"/>
      <c r="AI428" s="62"/>
      <c r="AJ428" s="62"/>
      <c r="AK428" s="14">
        <v>1</v>
      </c>
      <c r="AL428" s="14" t="s">
        <v>116</v>
      </c>
      <c r="AM428" s="1" t="s">
        <v>117</v>
      </c>
      <c r="AN428" s="14" t="s">
        <v>118</v>
      </c>
    </row>
    <row r="429" spans="1:41" s="1" customFormat="1" ht="15.95" customHeight="1" x14ac:dyDescent="0.25">
      <c r="A429" s="11">
        <v>554</v>
      </c>
      <c r="B429" s="1" t="s">
        <v>34</v>
      </c>
      <c r="C429" s="14" t="s">
        <v>112</v>
      </c>
      <c r="D429" s="14" t="s">
        <v>112</v>
      </c>
      <c r="E429" s="36"/>
      <c r="F429" s="14" t="s">
        <v>113</v>
      </c>
      <c r="G429" s="1">
        <v>2016</v>
      </c>
      <c r="H429" s="11" t="s">
        <v>502</v>
      </c>
      <c r="I429" s="204"/>
      <c r="J429" s="204"/>
      <c r="K429" s="210" t="s">
        <v>503</v>
      </c>
      <c r="L429" s="220"/>
      <c r="M429" s="220"/>
      <c r="N429" s="220"/>
      <c r="O429" s="74">
        <v>49.2</v>
      </c>
      <c r="P429" s="60">
        <v>5.0999999999999996</v>
      </c>
      <c r="Q429" s="91">
        <v>56</v>
      </c>
      <c r="R429" s="59">
        <v>657</v>
      </c>
      <c r="S429" s="60"/>
      <c r="T429" s="59"/>
      <c r="U429" s="74">
        <v>51.3</v>
      </c>
      <c r="V429" s="92">
        <v>4.5999999999999996</v>
      </c>
      <c r="W429" s="91">
        <v>53</v>
      </c>
      <c r="X429" s="14"/>
      <c r="Y429" s="55">
        <f>(U429-O429)/SQRT((V429^2+P429^2)/2)</f>
        <v>0.43241560109111549</v>
      </c>
      <c r="Z429" s="55"/>
      <c r="AA429" s="14">
        <v>-1</v>
      </c>
      <c r="AB429" s="43">
        <f>((U429-O429)/V429)*AA429 * (1-(3/(4*(Q429+W429-2)-1)))</f>
        <v>-0.45331432644333453</v>
      </c>
      <c r="AC429" s="61"/>
      <c r="AD429" s="44">
        <v>1</v>
      </c>
      <c r="AE429" s="44"/>
      <c r="AF429" s="14"/>
      <c r="AG429" s="14"/>
      <c r="AI429" s="62"/>
      <c r="AJ429" s="62"/>
      <c r="AK429" s="14">
        <v>1</v>
      </c>
      <c r="AL429" s="14" t="s">
        <v>116</v>
      </c>
      <c r="AM429" s="1" t="s">
        <v>117</v>
      </c>
      <c r="AN429" s="14" t="s">
        <v>118</v>
      </c>
    </row>
    <row r="430" spans="1:41" s="13" customFormat="1" ht="15.95" customHeight="1" x14ac:dyDescent="0.25">
      <c r="A430" s="11">
        <v>557</v>
      </c>
      <c r="B430" s="1" t="s">
        <v>34</v>
      </c>
      <c r="C430" s="14" t="s">
        <v>112</v>
      </c>
      <c r="D430" s="14" t="s">
        <v>112</v>
      </c>
      <c r="E430" s="36"/>
      <c r="F430" s="14" t="s">
        <v>113</v>
      </c>
      <c r="G430" s="1">
        <v>2016</v>
      </c>
      <c r="H430" s="11" t="s">
        <v>504</v>
      </c>
      <c r="I430" s="204"/>
      <c r="J430" s="204"/>
      <c r="K430" s="210" t="s">
        <v>505</v>
      </c>
      <c r="L430" s="220"/>
      <c r="M430" s="220"/>
      <c r="N430" s="220"/>
      <c r="O430" s="74">
        <v>24.4</v>
      </c>
      <c r="P430" s="60">
        <v>3.9</v>
      </c>
      <c r="Q430" s="91">
        <v>56</v>
      </c>
      <c r="R430" s="59">
        <v>657</v>
      </c>
      <c r="S430" s="60"/>
      <c r="T430" s="59"/>
      <c r="U430" s="74">
        <v>26.1</v>
      </c>
      <c r="V430" s="92">
        <v>3.6</v>
      </c>
      <c r="W430" s="91">
        <v>53</v>
      </c>
      <c r="X430" s="14"/>
      <c r="Y430" s="55">
        <f>(U430-O430)/SQRT((V430^2+P430^2)/2)</f>
        <v>0.45297110128721196</v>
      </c>
      <c r="Z430" s="55"/>
      <c r="AA430" s="14">
        <v>-1</v>
      </c>
      <c r="AB430" s="43">
        <f>((U430-O430)/V430)*AA430 * (1-(3/(4*(Q430+W430-2)-1)))</f>
        <v>-0.4689045016913877</v>
      </c>
      <c r="AC430" s="61"/>
      <c r="AD430" s="44">
        <v>1</v>
      </c>
      <c r="AE430" s="44"/>
      <c r="AF430" s="14"/>
      <c r="AG430" s="14"/>
      <c r="AH430" s="1"/>
      <c r="AI430" s="62"/>
      <c r="AJ430" s="62"/>
      <c r="AK430" s="14">
        <v>1</v>
      </c>
      <c r="AL430" s="14" t="s">
        <v>116</v>
      </c>
      <c r="AM430" s="1" t="s">
        <v>117</v>
      </c>
      <c r="AN430" s="14" t="s">
        <v>118</v>
      </c>
      <c r="AO430" s="1"/>
    </row>
    <row r="431" spans="1:41" s="1" customFormat="1" ht="15.95" customHeight="1" x14ac:dyDescent="0.25">
      <c r="A431" s="11">
        <v>550</v>
      </c>
      <c r="B431" s="1" t="s">
        <v>34</v>
      </c>
      <c r="C431" s="14" t="s">
        <v>112</v>
      </c>
      <c r="D431" s="14" t="s">
        <v>112</v>
      </c>
      <c r="E431" s="36"/>
      <c r="F431" s="14" t="s">
        <v>687</v>
      </c>
      <c r="G431" s="1">
        <v>1996</v>
      </c>
      <c r="H431" s="11" t="s">
        <v>688</v>
      </c>
      <c r="I431" s="204"/>
      <c r="J431" s="204"/>
      <c r="K431" s="210" t="s">
        <v>689</v>
      </c>
      <c r="L431" s="220"/>
      <c r="M431" s="220"/>
      <c r="N431" s="220"/>
      <c r="O431" s="57">
        <v>24.5</v>
      </c>
      <c r="P431" s="58">
        <v>4.1399999999999997</v>
      </c>
      <c r="Q431" s="40">
        <v>11</v>
      </c>
      <c r="R431" s="41">
        <v>1545</v>
      </c>
      <c r="S431" s="39"/>
      <c r="T431" s="41"/>
      <c r="U431" s="57">
        <v>27.95</v>
      </c>
      <c r="V431" s="39">
        <v>4.47</v>
      </c>
      <c r="W431" s="40">
        <v>22</v>
      </c>
      <c r="X431" s="14"/>
      <c r="Y431" s="55">
        <f>(U431-O431)/SQRT((V431^2+P431^2)/2)</f>
        <v>0.80080575254898934</v>
      </c>
      <c r="Z431" s="55"/>
      <c r="AA431" s="14">
        <v>-1</v>
      </c>
      <c r="AB431" s="43">
        <f>((U431-O431)/V431)*AA431 * (1-(3/(4*(Q431+W431-2)-1)))</f>
        <v>-0.75298739564576844</v>
      </c>
      <c r="AC431" s="61"/>
      <c r="AD431" s="44">
        <v>1</v>
      </c>
      <c r="AE431" s="44"/>
      <c r="AF431" s="14"/>
      <c r="AG431" s="14"/>
      <c r="AI431" s="62"/>
      <c r="AJ431" s="62"/>
      <c r="AK431" s="71" t="s">
        <v>146</v>
      </c>
      <c r="AL431" s="71" t="s">
        <v>146</v>
      </c>
      <c r="AM431" s="1" t="s">
        <v>117</v>
      </c>
      <c r="AN431" s="71" t="s">
        <v>146</v>
      </c>
      <c r="AO431" s="13"/>
    </row>
    <row r="432" spans="1:41" s="1" customFormat="1" ht="15.95" customHeight="1" x14ac:dyDescent="0.25">
      <c r="A432" s="11">
        <v>552</v>
      </c>
      <c r="B432" s="1" t="s">
        <v>34</v>
      </c>
      <c r="C432" s="14" t="s">
        <v>112</v>
      </c>
      <c r="D432" s="14" t="s">
        <v>112</v>
      </c>
      <c r="E432" s="36"/>
      <c r="F432" s="14" t="s">
        <v>687</v>
      </c>
      <c r="G432" s="1">
        <v>1996</v>
      </c>
      <c r="H432" s="11" t="s">
        <v>690</v>
      </c>
      <c r="I432" s="204"/>
      <c r="J432" s="204"/>
      <c r="K432" s="210" t="s">
        <v>691</v>
      </c>
      <c r="L432" s="220"/>
      <c r="M432" s="220"/>
      <c r="N432" s="220"/>
      <c r="O432" s="57">
        <v>9.6</v>
      </c>
      <c r="P432" s="58">
        <v>2.0699999999999998</v>
      </c>
      <c r="Q432" s="40">
        <v>11</v>
      </c>
      <c r="R432" s="41">
        <v>1545</v>
      </c>
      <c r="S432" s="39"/>
      <c r="T432" s="41"/>
      <c r="U432" s="57">
        <v>11.86</v>
      </c>
      <c r="V432" s="39">
        <v>2.75</v>
      </c>
      <c r="W432" s="40">
        <v>22</v>
      </c>
      <c r="X432" s="14"/>
      <c r="Y432" s="55">
        <f>(U432-O432)/SQRT((V432^2+P432^2)/2)</f>
        <v>0.92856414730511871</v>
      </c>
      <c r="Z432" s="55"/>
      <c r="AA432" s="14">
        <v>-1</v>
      </c>
      <c r="AB432" s="43">
        <f>((U432-O432)/V432)*AA432 * (1-(3/(4*(Q432+W432-2)-1)))</f>
        <v>-0.80177383592017737</v>
      </c>
      <c r="AC432" s="61"/>
      <c r="AD432" s="44">
        <v>1</v>
      </c>
      <c r="AE432" s="44"/>
      <c r="AF432" s="14"/>
      <c r="AG432" s="14"/>
      <c r="AI432" s="62"/>
      <c r="AJ432" s="62"/>
      <c r="AK432" s="71" t="s">
        <v>146</v>
      </c>
      <c r="AL432" s="71" t="s">
        <v>146</v>
      </c>
      <c r="AM432" s="1" t="s">
        <v>117</v>
      </c>
      <c r="AN432" s="71" t="s">
        <v>146</v>
      </c>
      <c r="AO432" s="11"/>
    </row>
    <row r="433" spans="1:41" s="13" customFormat="1" ht="15.95" customHeight="1" x14ac:dyDescent="0.25">
      <c r="A433" s="11">
        <v>551</v>
      </c>
      <c r="B433" s="1" t="s">
        <v>34</v>
      </c>
      <c r="C433" s="14" t="s">
        <v>112</v>
      </c>
      <c r="D433" s="14" t="s">
        <v>112</v>
      </c>
      <c r="E433" s="36"/>
      <c r="F433" s="14" t="s">
        <v>697</v>
      </c>
      <c r="G433" s="1">
        <v>1996</v>
      </c>
      <c r="H433" s="11" t="s">
        <v>688</v>
      </c>
      <c r="I433" s="204"/>
      <c r="J433" s="204"/>
      <c r="K433" s="210" t="s">
        <v>689</v>
      </c>
      <c r="L433" s="220"/>
      <c r="M433" s="220"/>
      <c r="N433" s="220"/>
      <c r="O433" s="57">
        <v>24.8</v>
      </c>
      <c r="P433" s="58">
        <v>4.47</v>
      </c>
      <c r="Q433" s="40">
        <v>11</v>
      </c>
      <c r="R433" s="41">
        <v>566</v>
      </c>
      <c r="S433" s="39"/>
      <c r="T433" s="41"/>
      <c r="U433" s="57">
        <v>27.95</v>
      </c>
      <c r="V433" s="39">
        <v>4.47</v>
      </c>
      <c r="W433" s="40">
        <v>22</v>
      </c>
      <c r="X433" s="14"/>
      <c r="Y433" s="55">
        <f>(U433-O433)/SQRT((V433^2+P433^2)/2)</f>
        <v>0.70469798657718097</v>
      </c>
      <c r="Z433" s="55"/>
      <c r="AA433" s="14">
        <v>-1</v>
      </c>
      <c r="AB433" s="43">
        <f>((U433-O433)/V433)*AA433 * (1-(3/(4*(Q433+W433-2)-1)))</f>
        <v>-0.6875102308070058</v>
      </c>
      <c r="AC433" s="61"/>
      <c r="AD433" s="44">
        <v>1</v>
      </c>
      <c r="AE433" s="44"/>
      <c r="AF433" s="14"/>
      <c r="AG433" s="14"/>
      <c r="AH433" s="1"/>
      <c r="AI433" s="62"/>
      <c r="AJ433" s="62"/>
      <c r="AK433" s="71" t="s">
        <v>146</v>
      </c>
      <c r="AL433" s="71" t="s">
        <v>146</v>
      </c>
      <c r="AM433" s="1" t="s">
        <v>117</v>
      </c>
      <c r="AN433" s="71" t="s">
        <v>146</v>
      </c>
      <c r="AO433" s="11"/>
    </row>
    <row r="434" spans="1:41" s="13" customFormat="1" ht="15.95" customHeight="1" x14ac:dyDescent="0.25">
      <c r="A434" s="11">
        <v>553</v>
      </c>
      <c r="B434" s="1" t="s">
        <v>34</v>
      </c>
      <c r="C434" s="14" t="s">
        <v>112</v>
      </c>
      <c r="D434" s="14" t="s">
        <v>112</v>
      </c>
      <c r="E434" s="36"/>
      <c r="F434" s="14" t="s">
        <v>697</v>
      </c>
      <c r="G434" s="1">
        <v>1996</v>
      </c>
      <c r="H434" s="11" t="s">
        <v>690</v>
      </c>
      <c r="I434" s="204"/>
      <c r="J434" s="204"/>
      <c r="K434" s="210" t="s">
        <v>691</v>
      </c>
      <c r="L434" s="220"/>
      <c r="M434" s="220"/>
      <c r="N434" s="220"/>
      <c r="O434" s="57">
        <v>10.4</v>
      </c>
      <c r="P434" s="58">
        <v>3.59</v>
      </c>
      <c r="Q434" s="40">
        <v>11</v>
      </c>
      <c r="R434" s="41">
        <v>566</v>
      </c>
      <c r="S434" s="39"/>
      <c r="T434" s="41"/>
      <c r="U434" s="57">
        <v>11.86</v>
      </c>
      <c r="V434" s="39">
        <v>2.75</v>
      </c>
      <c r="W434" s="40">
        <v>22</v>
      </c>
      <c r="X434" s="14"/>
      <c r="Y434" s="55">
        <f>(U434-O434)/SQRT((V434^2+P434^2)/2)</f>
        <v>0.45657783714230354</v>
      </c>
      <c r="Z434" s="55"/>
      <c r="AA434" s="14">
        <v>-1</v>
      </c>
      <c r="AB434" s="43">
        <f>((U434-O434)/V434)*AA434 * (1-(3/(4*(Q434+W434-2)-1)))</f>
        <v>-0.51796008869179566</v>
      </c>
      <c r="AC434" s="61"/>
      <c r="AD434" s="44">
        <v>1</v>
      </c>
      <c r="AE434" s="44"/>
      <c r="AF434" s="14"/>
      <c r="AG434" s="14"/>
      <c r="AH434" s="1"/>
      <c r="AI434" s="62"/>
      <c r="AJ434" s="62"/>
      <c r="AK434" s="71" t="s">
        <v>146</v>
      </c>
      <c r="AL434" s="71" t="s">
        <v>146</v>
      </c>
      <c r="AM434" s="1" t="s">
        <v>117</v>
      </c>
      <c r="AN434" s="71" t="s">
        <v>146</v>
      </c>
      <c r="AO434" s="1"/>
    </row>
    <row r="435" spans="1:41" s="1" customFormat="1" ht="15.95" customHeight="1" x14ac:dyDescent="0.25">
      <c r="A435" s="11">
        <v>273</v>
      </c>
      <c r="B435" s="1" t="s">
        <v>34</v>
      </c>
      <c r="C435" s="14" t="s">
        <v>340</v>
      </c>
      <c r="D435" s="14" t="s">
        <v>340</v>
      </c>
      <c r="E435" s="36" t="s">
        <v>81</v>
      </c>
      <c r="F435" s="1" t="s">
        <v>327</v>
      </c>
      <c r="G435" s="1">
        <v>2021</v>
      </c>
      <c r="H435" s="11" t="s">
        <v>341</v>
      </c>
      <c r="I435" s="204"/>
      <c r="J435" s="204"/>
      <c r="K435" s="204" t="s">
        <v>342</v>
      </c>
      <c r="L435" s="207"/>
      <c r="M435" s="220"/>
      <c r="N435" s="220"/>
      <c r="O435" s="64">
        <v>-0.02</v>
      </c>
      <c r="P435" s="65">
        <v>1.22</v>
      </c>
      <c r="Q435" s="40">
        <v>152</v>
      </c>
      <c r="R435" s="59">
        <v>908</v>
      </c>
      <c r="S435" s="60"/>
      <c r="T435" s="59"/>
      <c r="U435" s="64">
        <v>0</v>
      </c>
      <c r="V435" s="66">
        <v>1</v>
      </c>
      <c r="W435" s="40">
        <v>76</v>
      </c>
      <c r="Y435" s="67" t="s">
        <v>146</v>
      </c>
      <c r="Z435" s="67"/>
      <c r="AA435" s="102">
        <v>-1</v>
      </c>
      <c r="AB435" s="43">
        <f>((U435-O435)/V435)*AA435 * (1-(3/(4*(Q435+W435-2)-1)))</f>
        <v>-1.9933554817275746E-2</v>
      </c>
      <c r="AC435" s="56">
        <v>1.22</v>
      </c>
      <c r="AD435" s="44">
        <v>1</v>
      </c>
      <c r="AE435" s="44"/>
      <c r="AF435" s="14"/>
      <c r="AG435" s="14"/>
      <c r="AI435" s="62"/>
      <c r="AJ435" s="62"/>
      <c r="AK435" s="14">
        <v>1</v>
      </c>
      <c r="AL435" s="14"/>
      <c r="AM435" s="68" t="s">
        <v>117</v>
      </c>
      <c r="AO435" s="13"/>
    </row>
    <row r="436" spans="1:41" s="1" customFormat="1" ht="15.95" customHeight="1" x14ac:dyDescent="0.25">
      <c r="A436" s="11">
        <v>274</v>
      </c>
      <c r="B436" s="1" t="s">
        <v>34</v>
      </c>
      <c r="C436" s="14" t="s">
        <v>340</v>
      </c>
      <c r="D436" s="14" t="s">
        <v>340</v>
      </c>
      <c r="E436" s="36" t="s">
        <v>81</v>
      </c>
      <c r="F436" s="14" t="s">
        <v>406</v>
      </c>
      <c r="G436" s="1">
        <v>2004</v>
      </c>
      <c r="H436" s="11" t="s">
        <v>341</v>
      </c>
      <c r="I436" s="204"/>
      <c r="J436" s="204"/>
      <c r="K436" s="221" t="s">
        <v>424</v>
      </c>
      <c r="L436" s="222"/>
      <c r="M436" s="220"/>
      <c r="N436" s="220"/>
      <c r="O436" s="74">
        <v>75.760000000000005</v>
      </c>
      <c r="P436" s="60">
        <v>19.5</v>
      </c>
      <c r="Q436" s="91">
        <v>20</v>
      </c>
      <c r="R436" s="59">
        <v>858.5</v>
      </c>
      <c r="S436" s="60"/>
      <c r="T436" s="59"/>
      <c r="U436" s="74">
        <v>80.67</v>
      </c>
      <c r="V436" s="92">
        <v>19.21</v>
      </c>
      <c r="W436" s="91">
        <v>20</v>
      </c>
      <c r="X436" s="14"/>
      <c r="Y436" s="55">
        <f>(U436-O436)/SQRT((V436^2+P436^2)/2)</f>
        <v>0.25367410080343311</v>
      </c>
      <c r="Z436" s="55"/>
      <c r="AA436" s="14">
        <v>-1</v>
      </c>
      <c r="AB436" s="43">
        <f>((U436-O436)/V436)*AA436 * (1-(3/(4*(Q436+W436-2)-1)))</f>
        <v>-0.25051797663330683</v>
      </c>
      <c r="AC436" s="61"/>
      <c r="AD436" s="44">
        <v>1</v>
      </c>
      <c r="AE436" s="44"/>
      <c r="AF436" s="14"/>
      <c r="AG436" s="14"/>
      <c r="AI436" s="62"/>
      <c r="AJ436" s="62"/>
      <c r="AK436" s="14">
        <v>2</v>
      </c>
      <c r="AL436" s="14" t="s">
        <v>68</v>
      </c>
      <c r="AM436" s="1" t="s">
        <v>69</v>
      </c>
      <c r="AN436" s="14" t="s">
        <v>68</v>
      </c>
    </row>
    <row r="437" spans="1:41" s="1" customFormat="1" ht="15.95" customHeight="1" x14ac:dyDescent="0.25">
      <c r="A437" s="11">
        <v>275</v>
      </c>
      <c r="B437" s="1" t="s">
        <v>34</v>
      </c>
      <c r="C437" s="14" t="s">
        <v>340</v>
      </c>
      <c r="D437" s="14" t="s">
        <v>340</v>
      </c>
      <c r="E437" s="36" t="s">
        <v>81</v>
      </c>
      <c r="F437" s="14" t="s">
        <v>406</v>
      </c>
      <c r="G437" s="1">
        <v>2004</v>
      </c>
      <c r="H437" s="11" t="s">
        <v>341</v>
      </c>
      <c r="I437" s="204"/>
      <c r="J437" s="204"/>
      <c r="K437" s="221" t="s">
        <v>425</v>
      </c>
      <c r="L437" s="222"/>
      <c r="M437" s="220"/>
      <c r="N437" s="220"/>
      <c r="O437" s="74">
        <v>69</v>
      </c>
      <c r="P437" s="60">
        <v>14.63</v>
      </c>
      <c r="Q437" s="91">
        <v>20</v>
      </c>
      <c r="R437" s="59">
        <v>858.5</v>
      </c>
      <c r="S437" s="60"/>
      <c r="T437" s="59"/>
      <c r="U437" s="74">
        <v>66.5</v>
      </c>
      <c r="V437" s="92">
        <v>13.4</v>
      </c>
      <c r="W437" s="91">
        <v>20</v>
      </c>
      <c r="X437" s="14"/>
      <c r="Y437" s="55">
        <f>(U437-O437)/SQRT((V437^2+P437^2)/2)</f>
        <v>-0.17820881069919003</v>
      </c>
      <c r="Z437" s="55"/>
      <c r="AA437" s="14">
        <v>-1</v>
      </c>
      <c r="AB437" s="43">
        <f>((U437-O437)/V437)*AA437 * (1-(3/(4*(Q437+W437-2)-1)))</f>
        <v>0.18286053177819511</v>
      </c>
      <c r="AC437" s="61"/>
      <c r="AD437" s="44">
        <v>1</v>
      </c>
      <c r="AE437" s="44"/>
      <c r="AF437" s="14"/>
      <c r="AG437" s="14"/>
      <c r="AI437" s="62"/>
      <c r="AJ437" s="62"/>
      <c r="AK437" s="14">
        <v>2</v>
      </c>
      <c r="AL437" s="14" t="s">
        <v>68</v>
      </c>
      <c r="AM437" s="1" t="s">
        <v>69</v>
      </c>
      <c r="AN437" s="14" t="s">
        <v>68</v>
      </c>
    </row>
    <row r="438" spans="1:41" s="13" customFormat="1" ht="15.95" customHeight="1" x14ac:dyDescent="0.25">
      <c r="A438" s="11">
        <v>271</v>
      </c>
      <c r="B438" s="1" t="s">
        <v>34</v>
      </c>
      <c r="C438" s="14" t="s">
        <v>340</v>
      </c>
      <c r="D438" s="14" t="s">
        <v>340</v>
      </c>
      <c r="E438" s="36" t="s">
        <v>81</v>
      </c>
      <c r="F438" s="14" t="s">
        <v>547</v>
      </c>
      <c r="G438" s="1">
        <v>2007</v>
      </c>
      <c r="H438" s="11" t="s">
        <v>567</v>
      </c>
      <c r="I438" s="204"/>
      <c r="J438" s="204"/>
      <c r="K438" s="221" t="s">
        <v>568</v>
      </c>
      <c r="L438" s="222"/>
      <c r="M438" s="220"/>
      <c r="N438" s="220"/>
      <c r="O438" s="74">
        <v>108</v>
      </c>
      <c r="P438" s="60">
        <v>14.2</v>
      </c>
      <c r="Q438" s="91">
        <v>12</v>
      </c>
      <c r="R438" s="69" t="s">
        <v>117</v>
      </c>
      <c r="S438" s="70"/>
      <c r="T438" s="69"/>
      <c r="U438" s="74">
        <v>109</v>
      </c>
      <c r="V438" s="92">
        <v>2.7</v>
      </c>
      <c r="W438" s="91">
        <v>12</v>
      </c>
      <c r="X438" s="14"/>
      <c r="Y438" s="55">
        <f>(U438-O438)/SQRT((V438^2+P438^2)/2)</f>
        <v>9.7839583600314597E-2</v>
      </c>
      <c r="Z438" s="55"/>
      <c r="AA438" s="14">
        <v>-1</v>
      </c>
      <c r="AB438" s="43">
        <f>((U438-O438)/V438)*AA438 * (1-(3/(4*(Q438+W438-2)-1)))</f>
        <v>-0.35759897828863346</v>
      </c>
      <c r="AC438" s="61"/>
      <c r="AD438" s="44">
        <v>1</v>
      </c>
      <c r="AE438" s="44"/>
      <c r="AF438" s="14"/>
      <c r="AG438" s="14"/>
      <c r="AH438" s="1"/>
      <c r="AI438" s="62"/>
      <c r="AJ438" s="62"/>
      <c r="AK438" s="71">
        <v>1</v>
      </c>
      <c r="AL438" s="71" t="s">
        <v>549</v>
      </c>
      <c r="AM438" s="71" t="s">
        <v>93</v>
      </c>
      <c r="AN438" s="14" t="s">
        <v>118</v>
      </c>
    </row>
    <row r="439" spans="1:41" s="1" customFormat="1" ht="15.95" customHeight="1" x14ac:dyDescent="0.25">
      <c r="A439" s="11">
        <v>272</v>
      </c>
      <c r="B439" s="1" t="s">
        <v>34</v>
      </c>
      <c r="C439" s="14" t="s">
        <v>340</v>
      </c>
      <c r="D439" s="14" t="s">
        <v>340</v>
      </c>
      <c r="E439" s="36" t="s">
        <v>81</v>
      </c>
      <c r="F439" s="14" t="s">
        <v>547</v>
      </c>
      <c r="G439" s="1">
        <v>2007</v>
      </c>
      <c r="H439" s="11" t="s">
        <v>569</v>
      </c>
      <c r="I439" s="204"/>
      <c r="J439" s="204"/>
      <c r="K439" s="221" t="s">
        <v>570</v>
      </c>
      <c r="L439" s="222"/>
      <c r="M439" s="220"/>
      <c r="N439" s="220"/>
      <c r="O439" s="74">
        <v>99</v>
      </c>
      <c r="P439" s="60">
        <v>11.8</v>
      </c>
      <c r="Q439" s="91">
        <v>12</v>
      </c>
      <c r="R439" s="69" t="s">
        <v>117</v>
      </c>
      <c r="S439" s="70"/>
      <c r="T439" s="69"/>
      <c r="U439" s="74">
        <v>100</v>
      </c>
      <c r="V439" s="92">
        <v>11.4</v>
      </c>
      <c r="W439" s="91">
        <v>12</v>
      </c>
      <c r="X439" s="14"/>
      <c r="Y439" s="55">
        <f>(U439-O439)/SQRT((V439^2+P439^2)/2)</f>
        <v>8.6194086254223923E-2</v>
      </c>
      <c r="Z439" s="55"/>
      <c r="AA439" s="14">
        <v>-1</v>
      </c>
      <c r="AB439" s="43">
        <f>((U439-O439)/V439)*AA439 * (1-(3/(4*(Q439+W439-2)-1)))</f>
        <v>-8.4694494857834243E-2</v>
      </c>
      <c r="AC439" s="61"/>
      <c r="AD439" s="44">
        <v>1</v>
      </c>
      <c r="AE439" s="44"/>
      <c r="AF439" s="14"/>
      <c r="AG439" s="14"/>
      <c r="AI439" s="62"/>
      <c r="AJ439" s="62"/>
      <c r="AK439" s="71">
        <v>1</v>
      </c>
      <c r="AL439" s="71" t="s">
        <v>549</v>
      </c>
      <c r="AM439" s="71" t="s">
        <v>93</v>
      </c>
      <c r="AN439" s="14" t="s">
        <v>118</v>
      </c>
    </row>
    <row r="440" spans="1:41" s="1" customFormat="1" ht="15.95" customHeight="1" x14ac:dyDescent="0.25">
      <c r="A440" s="11">
        <v>262</v>
      </c>
      <c r="B440" s="1" t="s">
        <v>34</v>
      </c>
      <c r="C440" s="14" t="s">
        <v>340</v>
      </c>
      <c r="D440" s="14" t="s">
        <v>340</v>
      </c>
      <c r="E440" s="36" t="s">
        <v>81</v>
      </c>
      <c r="F440" s="11" t="s">
        <v>148</v>
      </c>
      <c r="G440" s="1">
        <v>2017</v>
      </c>
      <c r="H440" s="11" t="s">
        <v>610</v>
      </c>
      <c r="I440" s="204"/>
      <c r="J440" s="204"/>
      <c r="K440" s="221" t="s">
        <v>611</v>
      </c>
      <c r="L440" s="222"/>
      <c r="M440" s="220"/>
      <c r="N440" s="220"/>
      <c r="O440" s="74">
        <v>20.399999999999999</v>
      </c>
      <c r="P440" s="60">
        <v>23.7</v>
      </c>
      <c r="Q440" s="91">
        <v>37</v>
      </c>
      <c r="R440" s="59">
        <v>720</v>
      </c>
      <c r="S440" s="60"/>
      <c r="T440" s="59"/>
      <c r="U440" s="74">
        <v>29.3</v>
      </c>
      <c r="V440" s="92">
        <v>24.5</v>
      </c>
      <c r="W440" s="91">
        <v>30</v>
      </c>
      <c r="X440" s="14"/>
      <c r="Y440" s="55">
        <f>(U440-O440)/SQRT((V440^2+P440^2)/2)</f>
        <v>0.36924375016627187</v>
      </c>
      <c r="Z440" s="55"/>
      <c r="AA440" s="14">
        <v>1</v>
      </c>
      <c r="AB440" s="43">
        <f>((U440-O440)/V440)*AA440 * (1-(3/(4*(Q440+W440-2)-1)))</f>
        <v>0.35905759987392649</v>
      </c>
      <c r="AC440" s="61"/>
      <c r="AD440" s="44">
        <v>1</v>
      </c>
      <c r="AE440" s="44"/>
      <c r="AF440" s="14"/>
      <c r="AG440" s="14"/>
      <c r="AI440" s="62"/>
      <c r="AJ440" s="62"/>
      <c r="AK440" s="14">
        <v>1</v>
      </c>
      <c r="AL440" s="14" t="s">
        <v>116</v>
      </c>
      <c r="AM440" s="1" t="s">
        <v>69</v>
      </c>
      <c r="AN440" s="14" t="s">
        <v>118</v>
      </c>
      <c r="AO440" s="11"/>
    </row>
    <row r="441" spans="1:41" s="1" customFormat="1" ht="15.95" customHeight="1" x14ac:dyDescent="0.25">
      <c r="A441" s="11">
        <v>263</v>
      </c>
      <c r="B441" s="1" t="s">
        <v>34</v>
      </c>
      <c r="C441" s="14" t="s">
        <v>340</v>
      </c>
      <c r="D441" s="14" t="s">
        <v>340</v>
      </c>
      <c r="E441" s="36" t="s">
        <v>81</v>
      </c>
      <c r="F441" s="11" t="s">
        <v>148</v>
      </c>
      <c r="G441" s="1">
        <v>2017</v>
      </c>
      <c r="H441" s="11" t="s">
        <v>610</v>
      </c>
      <c r="I441" s="204"/>
      <c r="J441" s="204"/>
      <c r="K441" s="221" t="s">
        <v>612</v>
      </c>
      <c r="L441" s="222"/>
      <c r="M441" s="220"/>
      <c r="N441" s="220"/>
      <c r="O441" s="74">
        <v>43.5</v>
      </c>
      <c r="P441" s="60">
        <v>22.9</v>
      </c>
      <c r="Q441" s="91">
        <v>37</v>
      </c>
      <c r="R441" s="59">
        <v>720</v>
      </c>
      <c r="S441" s="60"/>
      <c r="T441" s="59"/>
      <c r="U441" s="74">
        <v>47</v>
      </c>
      <c r="V441" s="92">
        <v>14.9</v>
      </c>
      <c r="W441" s="91">
        <v>30</v>
      </c>
      <c r="X441" s="14"/>
      <c r="Y441" s="55">
        <f>(U441-O441)/SQRT((V441^2+P441^2)/2)</f>
        <v>0.1811721375541869</v>
      </c>
      <c r="Z441" s="55"/>
      <c r="AA441" s="14">
        <v>1</v>
      </c>
      <c r="AB441" s="43">
        <f>((U441-O441)/V441)*AA441 * (1-(3/(4*(Q441+W441-2)-1)))</f>
        <v>0.23217848721204426</v>
      </c>
      <c r="AC441" s="61"/>
      <c r="AD441" s="44">
        <v>1</v>
      </c>
      <c r="AE441" s="44"/>
      <c r="AF441" s="14"/>
      <c r="AG441" s="14"/>
      <c r="AI441" s="62"/>
      <c r="AJ441" s="62"/>
      <c r="AK441" s="14">
        <v>1</v>
      </c>
      <c r="AL441" s="14" t="s">
        <v>116</v>
      </c>
      <c r="AM441" s="1" t="s">
        <v>69</v>
      </c>
      <c r="AN441" s="14" t="s">
        <v>118</v>
      </c>
    </row>
    <row r="442" spans="1:41" s="13" customFormat="1" ht="15.95" customHeight="1" x14ac:dyDescent="0.25">
      <c r="A442" s="11">
        <v>276</v>
      </c>
      <c r="B442" s="1" t="s">
        <v>34</v>
      </c>
      <c r="C442" s="14" t="s">
        <v>340</v>
      </c>
      <c r="D442" s="14" t="s">
        <v>340</v>
      </c>
      <c r="E442" s="36" t="s">
        <v>81</v>
      </c>
      <c r="F442" s="11" t="s">
        <v>148</v>
      </c>
      <c r="G442" s="1">
        <v>2017</v>
      </c>
      <c r="H442" s="11" t="s">
        <v>341</v>
      </c>
      <c r="I442" s="204"/>
      <c r="J442" s="204"/>
      <c r="K442" s="221" t="s">
        <v>645</v>
      </c>
      <c r="L442" s="222"/>
      <c r="M442" s="220"/>
      <c r="N442" s="220"/>
      <c r="O442" s="74">
        <v>16.3</v>
      </c>
      <c r="P442" s="60">
        <v>15.9</v>
      </c>
      <c r="Q442" s="91">
        <v>37</v>
      </c>
      <c r="R442" s="59">
        <v>720</v>
      </c>
      <c r="S442" s="60"/>
      <c r="T442" s="59"/>
      <c r="U442" s="74">
        <v>15.1</v>
      </c>
      <c r="V442" s="92">
        <v>15.1</v>
      </c>
      <c r="W442" s="91">
        <v>30</v>
      </c>
      <c r="X442" s="14"/>
      <c r="Y442" s="55">
        <f>(U442-O442)/SQRT((V442^2+P442^2)/2)</f>
        <v>-7.7393588110088715E-2</v>
      </c>
      <c r="Z442" s="55"/>
      <c r="AA442" s="14">
        <v>1</v>
      </c>
      <c r="AB442" s="43">
        <f>((U442-O442)/V442)*AA442 * (1-(3/(4*(Q442+W442-2)-1)))</f>
        <v>-7.8549694443734247E-2</v>
      </c>
      <c r="AC442" s="61"/>
      <c r="AD442" s="44">
        <v>1</v>
      </c>
      <c r="AE442" s="44"/>
      <c r="AF442" s="14"/>
      <c r="AG442" s="14"/>
      <c r="AH442" s="1"/>
      <c r="AI442" s="62"/>
      <c r="AJ442" s="62"/>
      <c r="AK442" s="14">
        <v>1</v>
      </c>
      <c r="AL442" s="14" t="s">
        <v>116</v>
      </c>
      <c r="AM442" s="1" t="s">
        <v>69</v>
      </c>
      <c r="AN442" s="14" t="s">
        <v>118</v>
      </c>
      <c r="AO442" s="1"/>
    </row>
    <row r="443" spans="1:41" s="1" customFormat="1" ht="15.95" customHeight="1" x14ac:dyDescent="0.25">
      <c r="A443" s="11">
        <v>277</v>
      </c>
      <c r="B443" s="1" t="s">
        <v>34</v>
      </c>
      <c r="C443" s="14" t="s">
        <v>340</v>
      </c>
      <c r="D443" s="14" t="s">
        <v>340</v>
      </c>
      <c r="E443" s="36" t="s">
        <v>81</v>
      </c>
      <c r="F443" s="11" t="s">
        <v>148</v>
      </c>
      <c r="G443" s="1">
        <v>2017</v>
      </c>
      <c r="H443" s="11" t="s">
        <v>341</v>
      </c>
      <c r="I443" s="204"/>
      <c r="J443" s="204"/>
      <c r="K443" s="221" t="s">
        <v>646</v>
      </c>
      <c r="L443" s="222"/>
      <c r="M443" s="220"/>
      <c r="N443" s="220"/>
      <c r="O443" s="74">
        <v>24.1</v>
      </c>
      <c r="P443" s="60">
        <v>11.2</v>
      </c>
      <c r="Q443" s="91">
        <v>37</v>
      </c>
      <c r="R443" s="59">
        <v>720</v>
      </c>
      <c r="S443" s="60"/>
      <c r="T443" s="59"/>
      <c r="U443" s="74">
        <v>20.5</v>
      </c>
      <c r="V443" s="92">
        <v>8.4</v>
      </c>
      <c r="W443" s="91">
        <v>30</v>
      </c>
      <c r="X443" s="14"/>
      <c r="Y443" s="55">
        <f>(U443-O443)/SQRT((V443^2+P443^2)/2)</f>
        <v>-0.36365491603879602</v>
      </c>
      <c r="Z443" s="55"/>
      <c r="AA443" s="14">
        <v>1</v>
      </c>
      <c r="AB443" s="43">
        <f>((U443-O443)/V443)*AA443 * (1-(3/(4*(Q443+W443-2)-1)))</f>
        <v>-0.42360728075013804</v>
      </c>
      <c r="AC443" s="61"/>
      <c r="AD443" s="44">
        <v>1</v>
      </c>
      <c r="AE443" s="44"/>
      <c r="AF443" s="14"/>
      <c r="AG443" s="14"/>
      <c r="AI443" s="62"/>
      <c r="AJ443" s="62"/>
      <c r="AK443" s="14">
        <v>1</v>
      </c>
      <c r="AL443" s="14" t="s">
        <v>116</v>
      </c>
      <c r="AM443" s="1" t="s">
        <v>69</v>
      </c>
      <c r="AN443" s="14" t="s">
        <v>118</v>
      </c>
    </row>
    <row r="444" spans="1:41" s="1" customFormat="1" ht="15.95" customHeight="1" x14ac:dyDescent="0.25">
      <c r="A444" s="11">
        <v>266</v>
      </c>
      <c r="B444" s="1" t="s">
        <v>34</v>
      </c>
      <c r="C444" s="14" t="s">
        <v>340</v>
      </c>
      <c r="D444" s="14" t="s">
        <v>340</v>
      </c>
      <c r="E444" s="36" t="s">
        <v>81</v>
      </c>
      <c r="F444" s="14" t="s">
        <v>670</v>
      </c>
      <c r="G444" s="1">
        <v>2021</v>
      </c>
      <c r="H444" s="11" t="s">
        <v>677</v>
      </c>
      <c r="I444" s="204"/>
      <c r="J444" s="204"/>
      <c r="K444" s="210"/>
      <c r="L444" s="220"/>
      <c r="M444" s="220"/>
      <c r="N444" s="220"/>
      <c r="O444" s="57">
        <v>13</v>
      </c>
      <c r="P444" s="58">
        <v>5.61</v>
      </c>
      <c r="Q444" s="40">
        <v>19</v>
      </c>
      <c r="R444" s="41">
        <v>890</v>
      </c>
      <c r="S444" s="39"/>
      <c r="T444" s="41"/>
      <c r="U444" s="57">
        <v>20</v>
      </c>
      <c r="V444" s="39">
        <v>3.14</v>
      </c>
      <c r="W444" s="40">
        <v>25</v>
      </c>
      <c r="X444" s="14"/>
      <c r="Y444" s="55">
        <f>(U444-O444)/SQRT((V444^2+P444^2)/2)</f>
        <v>1.5398251319890761</v>
      </c>
      <c r="Z444" s="55"/>
      <c r="AA444" s="14">
        <v>-1</v>
      </c>
      <c r="AB444" s="43">
        <f>((U444-O444)/V444)*AA444 * (1-(3/(4*(Q444+W444-2)-1)))</f>
        <v>-2.1892520691101871</v>
      </c>
      <c r="AC444" s="61"/>
      <c r="AD444" s="44">
        <v>1</v>
      </c>
      <c r="AE444" s="44"/>
      <c r="AF444" s="14"/>
      <c r="AG444" s="14"/>
      <c r="AI444" s="62"/>
      <c r="AJ444" s="62"/>
      <c r="AK444" s="71"/>
      <c r="AL444" s="71"/>
      <c r="AM444" s="68"/>
      <c r="AN444" s="71"/>
    </row>
    <row r="445" spans="1:41" s="1" customFormat="1" ht="15.95" customHeight="1" x14ac:dyDescent="0.25">
      <c r="A445" s="11">
        <v>264</v>
      </c>
      <c r="B445" s="1" t="s">
        <v>34</v>
      </c>
      <c r="C445" s="14" t="s">
        <v>340</v>
      </c>
      <c r="D445" s="14" t="s">
        <v>340</v>
      </c>
      <c r="E445" s="36" t="s">
        <v>81</v>
      </c>
      <c r="F445" s="1" t="s">
        <v>228</v>
      </c>
      <c r="G445" s="1">
        <v>2020</v>
      </c>
      <c r="H445" s="11" t="s">
        <v>610</v>
      </c>
      <c r="I445" s="204"/>
      <c r="J445" s="204"/>
      <c r="K445" s="221" t="s">
        <v>611</v>
      </c>
      <c r="L445" s="222"/>
      <c r="M445" s="220"/>
      <c r="N445" s="220"/>
      <c r="O445" s="57">
        <v>10.199999999999999</v>
      </c>
      <c r="P445" s="58">
        <v>11</v>
      </c>
      <c r="Q445" s="40">
        <v>19</v>
      </c>
      <c r="R445" s="59">
        <v>1042</v>
      </c>
      <c r="S445" s="60"/>
      <c r="T445" s="59"/>
      <c r="U445" s="57">
        <v>4.9000000000000004</v>
      </c>
      <c r="V445" s="39">
        <v>7</v>
      </c>
      <c r="W445" s="40">
        <v>19</v>
      </c>
      <c r="Y445" s="55">
        <f>(U445-O445)/SQRT((V445^2+P445^2)/2)</f>
        <v>-0.5748657132194388</v>
      </c>
      <c r="Z445" s="55"/>
      <c r="AA445" s="14">
        <v>1</v>
      </c>
      <c r="AB445" s="43">
        <f>((U445-O445)/V445)*AA445 * (1-(3/(4*(Q445+W445-2)-1)))</f>
        <v>-0.74125874125874114</v>
      </c>
      <c r="AC445" s="61"/>
      <c r="AD445" s="44">
        <v>1</v>
      </c>
      <c r="AE445" s="44"/>
      <c r="AF445" s="14"/>
      <c r="AG445" s="14"/>
      <c r="AI445" s="62"/>
      <c r="AJ445" s="62"/>
      <c r="AK445" s="14">
        <v>1</v>
      </c>
      <c r="AL445" s="14" t="s">
        <v>116</v>
      </c>
      <c r="AM445" s="68" t="s">
        <v>117</v>
      </c>
      <c r="AN445" s="14" t="s">
        <v>118</v>
      </c>
    </row>
    <row r="446" spans="1:41" s="1" customFormat="1" ht="15.95" customHeight="1" x14ac:dyDescent="0.25">
      <c r="A446" s="11">
        <v>265</v>
      </c>
      <c r="B446" s="1" t="s">
        <v>34</v>
      </c>
      <c r="C446" s="14" t="s">
        <v>340</v>
      </c>
      <c r="D446" s="14" t="s">
        <v>340</v>
      </c>
      <c r="E446" s="36" t="s">
        <v>81</v>
      </c>
      <c r="F446" s="1" t="s">
        <v>228</v>
      </c>
      <c r="G446" s="1">
        <v>2020</v>
      </c>
      <c r="H446" s="11" t="s">
        <v>610</v>
      </c>
      <c r="I446" s="204"/>
      <c r="J446" s="204"/>
      <c r="K446" s="221" t="s">
        <v>684</v>
      </c>
      <c r="L446" s="222"/>
      <c r="M446" s="220"/>
      <c r="N446" s="220"/>
      <c r="O446" s="57">
        <v>20.8</v>
      </c>
      <c r="P446" s="58">
        <v>8.8000000000000007</v>
      </c>
      <c r="Q446" s="40">
        <v>19</v>
      </c>
      <c r="R446" s="59">
        <v>1042</v>
      </c>
      <c r="S446" s="60"/>
      <c r="T446" s="59"/>
      <c r="U446" s="57">
        <v>19.7</v>
      </c>
      <c r="V446" s="39">
        <v>6.1</v>
      </c>
      <c r="W446" s="40">
        <v>19</v>
      </c>
      <c r="Y446" s="55">
        <f>(U446-O446)/SQRT((V446^2+P446^2)/2)</f>
        <v>-0.14528495842730813</v>
      </c>
      <c r="Z446" s="55"/>
      <c r="AA446" s="14">
        <v>1</v>
      </c>
      <c r="AB446" s="43">
        <f>((U446-O446)/V446)*AA446 * (1-(3/(4*(Q446+W446-2)-1)))</f>
        <v>-0.17654476670870139</v>
      </c>
      <c r="AC446" s="61"/>
      <c r="AD446" s="44">
        <v>1</v>
      </c>
      <c r="AE446" s="44"/>
      <c r="AF446" s="14"/>
      <c r="AG446" s="14"/>
      <c r="AI446" s="62"/>
      <c r="AJ446" s="62"/>
      <c r="AK446" s="14">
        <v>1</v>
      </c>
      <c r="AL446" s="14" t="s">
        <v>116</v>
      </c>
      <c r="AM446" s="68" t="s">
        <v>117</v>
      </c>
      <c r="AN446" s="14" t="s">
        <v>118</v>
      </c>
    </row>
    <row r="447" spans="1:41" s="1" customFormat="1" ht="15.95" customHeight="1" x14ac:dyDescent="0.25">
      <c r="A447" s="11">
        <v>267</v>
      </c>
      <c r="B447" s="1" t="s">
        <v>34</v>
      </c>
      <c r="C447" s="14" t="s">
        <v>340</v>
      </c>
      <c r="D447" s="14" t="s">
        <v>340</v>
      </c>
      <c r="E447" s="36" t="s">
        <v>81</v>
      </c>
      <c r="F447" s="14" t="s">
        <v>687</v>
      </c>
      <c r="G447" s="1">
        <v>1996</v>
      </c>
      <c r="H447" s="11" t="s">
        <v>694</v>
      </c>
      <c r="I447" s="204"/>
      <c r="J447" s="204"/>
      <c r="K447" s="210" t="s">
        <v>695</v>
      </c>
      <c r="L447" s="220"/>
      <c r="M447" s="220"/>
      <c r="N447" s="220"/>
      <c r="O447" s="57">
        <v>8.85</v>
      </c>
      <c r="P447" s="58">
        <v>4.01</v>
      </c>
      <c r="Q447" s="40">
        <v>11</v>
      </c>
      <c r="R447" s="41">
        <v>1545</v>
      </c>
      <c r="S447" s="39"/>
      <c r="T447" s="41"/>
      <c r="U447" s="57">
        <v>12.66</v>
      </c>
      <c r="V447" s="39">
        <v>3.69</v>
      </c>
      <c r="W447" s="40">
        <v>22</v>
      </c>
      <c r="X447" s="14"/>
      <c r="Y447" s="55">
        <f>(U447-O447)/SQRT((V447^2+P447^2)/2)</f>
        <v>0.98875691491790563</v>
      </c>
      <c r="Z447" s="55"/>
      <c r="AA447" s="14">
        <v>-1</v>
      </c>
      <c r="AB447" s="43">
        <f>((U447-O447)/V447)*AA447 * (1-(3/(4*(Q447+W447-2)-1)))</f>
        <v>-1.0073369026373191</v>
      </c>
      <c r="AC447" s="61"/>
      <c r="AD447" s="44">
        <v>1</v>
      </c>
      <c r="AE447" s="44"/>
      <c r="AF447" s="14"/>
      <c r="AG447" s="14"/>
      <c r="AI447" s="62"/>
      <c r="AJ447" s="62"/>
      <c r="AK447" s="71" t="s">
        <v>146</v>
      </c>
      <c r="AL447" s="71" t="s">
        <v>146</v>
      </c>
      <c r="AM447" s="68" t="s">
        <v>117</v>
      </c>
      <c r="AN447" s="71" t="s">
        <v>146</v>
      </c>
    </row>
    <row r="448" spans="1:41" s="13" customFormat="1" ht="15.95" customHeight="1" x14ac:dyDescent="0.25">
      <c r="A448" s="11">
        <v>269</v>
      </c>
      <c r="B448" s="1" t="s">
        <v>34</v>
      </c>
      <c r="C448" s="14" t="s">
        <v>340</v>
      </c>
      <c r="D448" s="14" t="s">
        <v>340</v>
      </c>
      <c r="E448" s="36" t="s">
        <v>81</v>
      </c>
      <c r="F448" s="14" t="s">
        <v>687</v>
      </c>
      <c r="G448" s="1">
        <v>1996</v>
      </c>
      <c r="H448" s="11" t="s">
        <v>696</v>
      </c>
      <c r="I448" s="204"/>
      <c r="J448" s="204"/>
      <c r="K448" s="210" t="s">
        <v>695</v>
      </c>
      <c r="L448" s="220"/>
      <c r="M448" s="220"/>
      <c r="N448" s="220"/>
      <c r="O448" s="74">
        <v>10.3</v>
      </c>
      <c r="P448" s="58">
        <v>4.9000000000000004</v>
      </c>
      <c r="Q448" s="40">
        <v>11</v>
      </c>
      <c r="R448" s="41">
        <v>1545</v>
      </c>
      <c r="S448" s="39"/>
      <c r="T448" s="41"/>
      <c r="U448" s="57">
        <v>14.02</v>
      </c>
      <c r="V448" s="39">
        <v>3.59</v>
      </c>
      <c r="W448" s="40">
        <v>22</v>
      </c>
      <c r="X448" s="14"/>
      <c r="Y448" s="55">
        <f>(U448-O448)/SQRT((V448^2+P448^2)/2)</f>
        <v>0.86607586438741158</v>
      </c>
      <c r="Z448" s="55"/>
      <c r="AA448" s="14">
        <v>-1</v>
      </c>
      <c r="AB448" s="43">
        <f>((U448-O448)/V448)*AA448 * (1-(3/(4*(Q448+W448-2)-1)))</f>
        <v>-1.0109382430871658</v>
      </c>
      <c r="AC448" s="61"/>
      <c r="AD448" s="44">
        <v>1</v>
      </c>
      <c r="AE448" s="44"/>
      <c r="AF448" s="14"/>
      <c r="AG448" s="14"/>
      <c r="AH448" s="1"/>
      <c r="AI448" s="62"/>
      <c r="AJ448" s="62"/>
      <c r="AK448" s="71" t="s">
        <v>146</v>
      </c>
      <c r="AL448" s="71" t="s">
        <v>146</v>
      </c>
      <c r="AM448" s="68" t="s">
        <v>117</v>
      </c>
      <c r="AN448" s="71" t="s">
        <v>146</v>
      </c>
      <c r="AO448" s="1"/>
    </row>
    <row r="449" spans="1:41" s="1" customFormat="1" ht="15.95" customHeight="1" x14ac:dyDescent="0.25">
      <c r="A449" s="11">
        <v>268</v>
      </c>
      <c r="B449" s="1" t="s">
        <v>34</v>
      </c>
      <c r="C449" s="14" t="s">
        <v>340</v>
      </c>
      <c r="D449" s="14" t="s">
        <v>340</v>
      </c>
      <c r="E449" s="36" t="s">
        <v>81</v>
      </c>
      <c r="F449" s="14" t="s">
        <v>697</v>
      </c>
      <c r="G449" s="1">
        <v>1996</v>
      </c>
      <c r="H449" s="11" t="s">
        <v>694</v>
      </c>
      <c r="I449" s="204"/>
      <c r="J449" s="204"/>
      <c r="K449" s="210" t="s">
        <v>695</v>
      </c>
      <c r="L449" s="220"/>
      <c r="M449" s="220"/>
      <c r="N449" s="220"/>
      <c r="O449" s="74">
        <v>10.75</v>
      </c>
      <c r="P449" s="58">
        <v>4.0599999999999996</v>
      </c>
      <c r="Q449" s="40">
        <v>11</v>
      </c>
      <c r="R449" s="41">
        <v>566</v>
      </c>
      <c r="S449" s="39"/>
      <c r="T449" s="41"/>
      <c r="U449" s="57">
        <v>12.66</v>
      </c>
      <c r="V449" s="39">
        <v>3.69</v>
      </c>
      <c r="W449" s="40">
        <v>22</v>
      </c>
      <c r="X449" s="14"/>
      <c r="Y449" s="55">
        <f>(U449-O449)/SQRT((V449^2+P449^2)/2)</f>
        <v>0.49234244896618845</v>
      </c>
      <c r="Z449" s="55"/>
      <c r="AA449" s="14">
        <v>-1</v>
      </c>
      <c r="AB449" s="43">
        <f>((U449-O449)/V449)*AA449 * (1-(3/(4*(Q449+W449-2)-1)))</f>
        <v>-0.50499041575781611</v>
      </c>
      <c r="AC449" s="61"/>
      <c r="AD449" s="44">
        <v>1</v>
      </c>
      <c r="AE449" s="44"/>
      <c r="AF449" s="14"/>
      <c r="AG449" s="14"/>
      <c r="AI449" s="62"/>
      <c r="AJ449" s="62"/>
      <c r="AK449" s="71" t="s">
        <v>146</v>
      </c>
      <c r="AL449" s="71" t="s">
        <v>146</v>
      </c>
      <c r="AM449" s="68" t="s">
        <v>117</v>
      </c>
      <c r="AN449" s="71" t="s">
        <v>146</v>
      </c>
    </row>
    <row r="450" spans="1:41" s="13" customFormat="1" ht="15.95" customHeight="1" x14ac:dyDescent="0.25">
      <c r="A450" s="11">
        <v>270</v>
      </c>
      <c r="B450" s="1" t="s">
        <v>34</v>
      </c>
      <c r="C450" s="14" t="s">
        <v>340</v>
      </c>
      <c r="D450" s="14" t="s">
        <v>340</v>
      </c>
      <c r="E450" s="36" t="s">
        <v>81</v>
      </c>
      <c r="F450" s="14" t="s">
        <v>697</v>
      </c>
      <c r="G450" s="1">
        <v>1996</v>
      </c>
      <c r="H450" s="11" t="s">
        <v>696</v>
      </c>
      <c r="I450" s="204"/>
      <c r="J450" s="204"/>
      <c r="K450" s="210" t="s">
        <v>695</v>
      </c>
      <c r="L450" s="220"/>
      <c r="M450" s="220"/>
      <c r="N450" s="220"/>
      <c r="O450" s="74">
        <v>12.35</v>
      </c>
      <c r="P450" s="58">
        <v>3.52</v>
      </c>
      <c r="Q450" s="40">
        <v>11</v>
      </c>
      <c r="R450" s="41">
        <v>566</v>
      </c>
      <c r="S450" s="39"/>
      <c r="T450" s="41"/>
      <c r="U450" s="57">
        <v>14.02</v>
      </c>
      <c r="V450" s="39">
        <v>3.59</v>
      </c>
      <c r="W450" s="40">
        <v>22</v>
      </c>
      <c r="X450" s="14"/>
      <c r="Y450" s="55">
        <f>(U450-O450)/SQRT((V450^2+P450^2)/2)</f>
        <v>0.46973813490351979</v>
      </c>
      <c r="Z450" s="55"/>
      <c r="AA450" s="14">
        <v>-1</v>
      </c>
      <c r="AB450" s="43">
        <f>((U450-O450)/V450)*AA450 * (1-(3/(4*(Q450+W450-2)-1)))</f>
        <v>-0.45383517902031389</v>
      </c>
      <c r="AC450" s="61"/>
      <c r="AD450" s="44">
        <v>1</v>
      </c>
      <c r="AE450" s="44"/>
      <c r="AF450" s="14"/>
      <c r="AG450" s="14"/>
      <c r="AH450" s="1"/>
      <c r="AI450" s="62"/>
      <c r="AJ450" s="62"/>
      <c r="AK450" s="71" t="s">
        <v>146</v>
      </c>
      <c r="AL450" s="71" t="s">
        <v>146</v>
      </c>
      <c r="AM450" s="68" t="s">
        <v>117</v>
      </c>
      <c r="AN450" s="71" t="s">
        <v>146</v>
      </c>
      <c r="AO450" s="1"/>
    </row>
    <row r="451" spans="1:41" s="1" customFormat="1" ht="15.95" customHeight="1" x14ac:dyDescent="0.25">
      <c r="A451" s="11">
        <v>278</v>
      </c>
      <c r="B451" s="13" t="s">
        <v>43</v>
      </c>
      <c r="C451" s="13" t="s">
        <v>340</v>
      </c>
      <c r="D451" s="13" t="s">
        <v>340</v>
      </c>
      <c r="E451" s="36" t="s">
        <v>36</v>
      </c>
      <c r="F451" s="11" t="s">
        <v>46</v>
      </c>
      <c r="G451" s="13">
        <v>2008</v>
      </c>
      <c r="H451" s="11" t="s">
        <v>341</v>
      </c>
      <c r="I451" s="204"/>
      <c r="J451" s="204"/>
      <c r="K451" s="218" t="s">
        <v>365</v>
      </c>
      <c r="L451" s="207"/>
      <c r="M451" s="207"/>
      <c r="N451" s="204"/>
      <c r="O451" s="146">
        <v>41.49</v>
      </c>
      <c r="P451" s="125">
        <v>8.6168439698070429</v>
      </c>
      <c r="Q451" s="126">
        <v>33</v>
      </c>
      <c r="R451" s="97"/>
      <c r="S451" s="125"/>
      <c r="T451" s="97"/>
      <c r="U451" s="146">
        <v>48</v>
      </c>
      <c r="V451" s="125">
        <v>8.746427842267952</v>
      </c>
      <c r="W451" s="126">
        <v>34</v>
      </c>
      <c r="X451" s="13"/>
      <c r="Y451" s="13"/>
      <c r="Z451" s="13"/>
      <c r="AA451" s="13">
        <v>-1</v>
      </c>
      <c r="AB451" s="43">
        <f>((U451-O451)/V451)*AA451 * (1-(3/(4*(Q451+W451-2)-1)))</f>
        <v>-0.7356825792924051</v>
      </c>
      <c r="AC451" s="128"/>
      <c r="AD451" s="44">
        <v>1</v>
      </c>
      <c r="AE451" s="44"/>
      <c r="AF451" s="13">
        <v>11.18</v>
      </c>
      <c r="AG451" s="129">
        <v>3.4</v>
      </c>
      <c r="AH451" s="129"/>
      <c r="AI451" s="147">
        <v>10.29</v>
      </c>
      <c r="AJ451" s="129">
        <v>3.1</v>
      </c>
      <c r="AK451" s="13"/>
      <c r="AL451" s="13"/>
      <c r="AM451" s="13"/>
      <c r="AN451" s="13"/>
    </row>
    <row r="452" spans="1:41" s="1" customFormat="1" ht="15.95" customHeight="1" x14ac:dyDescent="0.25">
      <c r="A452" s="11">
        <v>279</v>
      </c>
      <c r="B452" s="13" t="s">
        <v>43</v>
      </c>
      <c r="C452" s="13" t="s">
        <v>340</v>
      </c>
      <c r="D452" s="13" t="s">
        <v>340</v>
      </c>
      <c r="E452" s="36" t="s">
        <v>36</v>
      </c>
      <c r="F452" s="11" t="s">
        <v>46</v>
      </c>
      <c r="G452" s="13">
        <v>2008</v>
      </c>
      <c r="H452" s="11" t="s">
        <v>341</v>
      </c>
      <c r="I452" s="204"/>
      <c r="J452" s="204"/>
      <c r="K452" s="218" t="s">
        <v>366</v>
      </c>
      <c r="L452" s="207"/>
      <c r="M452" s="207"/>
      <c r="N452" s="204"/>
      <c r="O452" s="146">
        <v>28.26</v>
      </c>
      <c r="P452" s="125">
        <v>8.6168439698070429</v>
      </c>
      <c r="Q452" s="126">
        <v>33</v>
      </c>
      <c r="R452" s="97"/>
      <c r="S452" s="125"/>
      <c r="T452" s="97"/>
      <c r="U452" s="146">
        <v>34.07</v>
      </c>
      <c r="V452" s="125">
        <v>8.746427842267952</v>
      </c>
      <c r="W452" s="126">
        <v>34</v>
      </c>
      <c r="X452" s="13"/>
      <c r="Y452" s="13"/>
      <c r="Z452" s="13"/>
      <c r="AA452" s="13">
        <v>-1</v>
      </c>
      <c r="AB452" s="43">
        <f>((U452-O452)/V452)*AA452 * (1-(3/(4*(Q452+W452-2)-1)))</f>
        <v>-0.65657692560504988</v>
      </c>
      <c r="AC452" s="128"/>
      <c r="AD452" s="44">
        <v>1</v>
      </c>
      <c r="AE452" s="44"/>
      <c r="AF452" s="13">
        <v>11.18</v>
      </c>
      <c r="AG452" s="129">
        <v>3.4</v>
      </c>
      <c r="AH452" s="129"/>
      <c r="AI452" s="147">
        <v>10.29</v>
      </c>
      <c r="AJ452" s="129">
        <v>3.1</v>
      </c>
      <c r="AK452" s="13"/>
      <c r="AL452" s="13"/>
      <c r="AM452" s="13"/>
      <c r="AN452" s="13"/>
    </row>
    <row r="453" spans="1:41" s="1" customFormat="1" ht="15.95" customHeight="1" x14ac:dyDescent="0.25">
      <c r="A453" s="11">
        <v>282</v>
      </c>
      <c r="B453" s="13" t="s">
        <v>43</v>
      </c>
      <c r="C453" s="13" t="s">
        <v>340</v>
      </c>
      <c r="D453" s="13" t="s">
        <v>340</v>
      </c>
      <c r="E453" s="36" t="s">
        <v>36</v>
      </c>
      <c r="F453" s="13" t="s">
        <v>267</v>
      </c>
      <c r="G453" s="13">
        <v>2003</v>
      </c>
      <c r="H453" s="11" t="s">
        <v>341</v>
      </c>
      <c r="I453" s="204"/>
      <c r="J453" s="204"/>
      <c r="K453" s="204" t="s">
        <v>379</v>
      </c>
      <c r="L453" s="207"/>
      <c r="M453" s="207"/>
      <c r="N453" s="204"/>
      <c r="O453" s="124">
        <v>40.299999999999997</v>
      </c>
      <c r="P453" s="125">
        <v>9.1999999999999993</v>
      </c>
      <c r="Q453" s="126">
        <v>46</v>
      </c>
      <c r="R453" s="86">
        <f>8.1*60.5364</f>
        <v>490.34483999999998</v>
      </c>
      <c r="S453" s="138">
        <f>6.2*60.5364</f>
        <v>375.32568000000003</v>
      </c>
      <c r="T453" s="97"/>
      <c r="U453" s="124">
        <v>49.6</v>
      </c>
      <c r="V453" s="125">
        <v>11.1</v>
      </c>
      <c r="W453" s="126">
        <v>18</v>
      </c>
      <c r="X453" s="13"/>
      <c r="Y453" s="13"/>
      <c r="Z453" s="13"/>
      <c r="AA453" s="13">
        <v>-1</v>
      </c>
      <c r="AB453" s="43">
        <f>((U453-O453)/V453)*AA453 * (1-(3/(4*(Q453+W453-2)-1)))</f>
        <v>-0.82766166976693334</v>
      </c>
      <c r="AC453" s="128"/>
      <c r="AD453" s="44">
        <v>1</v>
      </c>
      <c r="AE453" s="44"/>
      <c r="AF453" s="118">
        <f>129/12</f>
        <v>10.75</v>
      </c>
      <c r="AG453" s="118">
        <v>2.1</v>
      </c>
      <c r="AH453" s="118"/>
      <c r="AI453" s="139">
        <v>13.1</v>
      </c>
      <c r="AJ453" s="139">
        <v>3.2</v>
      </c>
      <c r="AK453" s="13"/>
      <c r="AL453" s="13"/>
      <c r="AM453" s="13"/>
      <c r="AN453" s="13"/>
    </row>
    <row r="454" spans="1:41" s="1" customFormat="1" ht="15.95" customHeight="1" x14ac:dyDescent="0.25">
      <c r="A454" s="11">
        <v>283</v>
      </c>
      <c r="B454" s="13" t="s">
        <v>43</v>
      </c>
      <c r="C454" s="13" t="s">
        <v>340</v>
      </c>
      <c r="D454" s="13" t="s">
        <v>340</v>
      </c>
      <c r="E454" s="36" t="s">
        <v>36</v>
      </c>
      <c r="F454" s="13" t="s">
        <v>386</v>
      </c>
      <c r="G454" s="13">
        <v>2018</v>
      </c>
      <c r="H454" s="11" t="s">
        <v>341</v>
      </c>
      <c r="I454" s="204"/>
      <c r="J454" s="204"/>
      <c r="K454" s="204" t="s">
        <v>396</v>
      </c>
      <c r="L454" s="207"/>
      <c r="M454" s="207"/>
      <c r="N454" s="204"/>
      <c r="O454" s="124">
        <v>-0.77</v>
      </c>
      <c r="P454" s="125">
        <v>0.8</v>
      </c>
      <c r="Q454" s="126">
        <v>11</v>
      </c>
      <c r="R454" s="86">
        <v>743.18</v>
      </c>
      <c r="S454" s="138">
        <v>83.66</v>
      </c>
      <c r="T454" s="97"/>
      <c r="U454" s="124">
        <v>0.57999999999999996</v>
      </c>
      <c r="V454" s="125">
        <v>0.67</v>
      </c>
      <c r="W454" s="126">
        <v>28</v>
      </c>
      <c r="X454" s="13"/>
      <c r="Y454" s="13"/>
      <c r="Z454" s="13"/>
      <c r="AA454" s="13">
        <v>-1</v>
      </c>
      <c r="AB454" s="43">
        <f>((U454-O454)/V454)*AA454 * (1-(3/(4*(Q454+W454-2)-1)))</f>
        <v>-1.9738044471519949</v>
      </c>
      <c r="AC454" s="128"/>
      <c r="AD454" s="44">
        <v>1</v>
      </c>
      <c r="AE454" s="44"/>
      <c r="AF454" s="140">
        <f>156/12</f>
        <v>13</v>
      </c>
      <c r="AG454" s="140">
        <f>29.8/12</f>
        <v>2.4833333333333334</v>
      </c>
      <c r="AH454" s="140"/>
      <c r="AI454" s="139">
        <f>142/12</f>
        <v>11.833333333333334</v>
      </c>
      <c r="AJ454" s="139">
        <f>29.5/12</f>
        <v>2.4583333333333335</v>
      </c>
      <c r="AK454" s="13"/>
      <c r="AL454" s="13"/>
      <c r="AM454" s="13"/>
      <c r="AN454" s="13"/>
    </row>
    <row r="455" spans="1:41" s="1" customFormat="1" ht="15.95" customHeight="1" x14ac:dyDescent="0.25">
      <c r="A455" s="11">
        <v>284</v>
      </c>
      <c r="B455" s="13" t="s">
        <v>43</v>
      </c>
      <c r="C455" s="13" t="s">
        <v>340</v>
      </c>
      <c r="D455" s="13" t="s">
        <v>340</v>
      </c>
      <c r="E455" s="36" t="s">
        <v>36</v>
      </c>
      <c r="F455" s="13" t="s">
        <v>386</v>
      </c>
      <c r="G455" s="13">
        <v>2018</v>
      </c>
      <c r="H455" s="11" t="s">
        <v>341</v>
      </c>
      <c r="I455" s="204"/>
      <c r="J455" s="204"/>
      <c r="K455" s="204" t="s">
        <v>397</v>
      </c>
      <c r="L455" s="207"/>
      <c r="M455" s="207"/>
      <c r="N455" s="204"/>
      <c r="O455" s="124">
        <v>-0.88</v>
      </c>
      <c r="P455" s="125">
        <v>1</v>
      </c>
      <c r="Q455" s="126">
        <v>11</v>
      </c>
      <c r="R455" s="86">
        <v>743.18</v>
      </c>
      <c r="S455" s="138">
        <v>83.66</v>
      </c>
      <c r="T455" s="97"/>
      <c r="U455" s="124">
        <v>0.03</v>
      </c>
      <c r="V455" s="125">
        <v>0.77</v>
      </c>
      <c r="W455" s="126">
        <v>28</v>
      </c>
      <c r="X455" s="13"/>
      <c r="Y455" s="13"/>
      <c r="Z455" s="13"/>
      <c r="AA455" s="13">
        <v>-1</v>
      </c>
      <c r="AB455" s="43">
        <f>((U455-O455)/V455)*AA455 * (1-(3/(4*(Q455+W455-2)-1)))</f>
        <v>-1.1576994434137291</v>
      </c>
      <c r="AC455" s="128"/>
      <c r="AD455" s="44">
        <v>1</v>
      </c>
      <c r="AE455" s="44"/>
      <c r="AF455" s="140">
        <f>156/12</f>
        <v>13</v>
      </c>
      <c r="AG455" s="140">
        <f>29.8/12</f>
        <v>2.4833333333333334</v>
      </c>
      <c r="AH455" s="140"/>
      <c r="AI455" s="139">
        <f>142/12</f>
        <v>11.833333333333334</v>
      </c>
      <c r="AJ455" s="139">
        <f>29.5/12</f>
        <v>2.4583333333333335</v>
      </c>
      <c r="AK455" s="13"/>
      <c r="AL455" s="13"/>
      <c r="AM455" s="13"/>
      <c r="AN455" s="13"/>
    </row>
    <row r="456" spans="1:41" s="1" customFormat="1" ht="15.95" customHeight="1" x14ac:dyDescent="0.25">
      <c r="A456" s="11">
        <v>289</v>
      </c>
      <c r="B456" s="11" t="s">
        <v>43</v>
      </c>
      <c r="C456" s="13" t="s">
        <v>340</v>
      </c>
      <c r="D456" s="13" t="s">
        <v>340</v>
      </c>
      <c r="E456" s="36" t="s">
        <v>36</v>
      </c>
      <c r="F456" s="13" t="s">
        <v>287</v>
      </c>
      <c r="G456" s="13">
        <v>2005</v>
      </c>
      <c r="H456" s="11" t="s">
        <v>341</v>
      </c>
      <c r="I456" s="204"/>
      <c r="J456" s="204"/>
      <c r="K456" s="204" t="s">
        <v>459</v>
      </c>
      <c r="L456" s="207"/>
      <c r="M456" s="207"/>
      <c r="N456" s="204"/>
      <c r="O456" s="38">
        <v>57</v>
      </c>
      <c r="P456" s="39">
        <v>9</v>
      </c>
      <c r="Q456" s="126">
        <v>26</v>
      </c>
      <c r="R456" s="86">
        <f>(449+529)/2</f>
        <v>489</v>
      </c>
      <c r="S456" s="138">
        <f>(220+142)/2</f>
        <v>181</v>
      </c>
      <c r="T456" s="97"/>
      <c r="U456" s="38">
        <v>60</v>
      </c>
      <c r="V456" s="39">
        <v>11</v>
      </c>
      <c r="W456" s="126">
        <v>21</v>
      </c>
      <c r="X456" s="13"/>
      <c r="Y456" s="13"/>
      <c r="Z456" s="13"/>
      <c r="AA456" s="13">
        <v>-1</v>
      </c>
      <c r="AB456" s="43">
        <f>((U456-O456)/V456)*AA456 * (1-(3/(4*(Q456+W456-2)-1)))</f>
        <v>-0.26815642458100558</v>
      </c>
      <c r="AC456" s="128"/>
      <c r="AD456" s="44">
        <v>1</v>
      </c>
      <c r="AE456" s="44"/>
      <c r="AF456" s="118">
        <v>12.3</v>
      </c>
      <c r="AG456" s="118">
        <v>3.7</v>
      </c>
      <c r="AH456" s="118"/>
      <c r="AI456" s="139">
        <v>11.8</v>
      </c>
      <c r="AJ456" s="139">
        <v>3.6</v>
      </c>
      <c r="AK456" s="13"/>
      <c r="AL456" s="13"/>
      <c r="AM456" s="13"/>
      <c r="AN456" s="13"/>
    </row>
    <row r="457" spans="1:41" s="13" customFormat="1" ht="15.95" customHeight="1" x14ac:dyDescent="0.25">
      <c r="A457" s="11">
        <v>290</v>
      </c>
      <c r="B457" s="11" t="s">
        <v>43</v>
      </c>
      <c r="C457" s="13" t="s">
        <v>340</v>
      </c>
      <c r="D457" s="13" t="s">
        <v>340</v>
      </c>
      <c r="E457" s="36" t="s">
        <v>36</v>
      </c>
      <c r="F457" s="13" t="s">
        <v>287</v>
      </c>
      <c r="G457" s="13">
        <v>2005</v>
      </c>
      <c r="H457" s="11" t="s">
        <v>341</v>
      </c>
      <c r="I457" s="204"/>
      <c r="J457" s="204"/>
      <c r="K457" s="204" t="s">
        <v>454</v>
      </c>
      <c r="L457" s="207"/>
      <c r="M457" s="207"/>
      <c r="N457" s="204"/>
      <c r="O457" s="38">
        <v>61</v>
      </c>
      <c r="P457" s="39">
        <v>10</v>
      </c>
      <c r="Q457" s="126">
        <v>26</v>
      </c>
      <c r="R457" s="86">
        <f>(449+529)/2</f>
        <v>489</v>
      </c>
      <c r="S457" s="138">
        <f>(220+142)/2</f>
        <v>181</v>
      </c>
      <c r="T457" s="97"/>
      <c r="U457" s="38">
        <v>62</v>
      </c>
      <c r="V457" s="39">
        <v>8</v>
      </c>
      <c r="W457" s="126">
        <v>21</v>
      </c>
      <c r="AA457" s="13">
        <v>-1</v>
      </c>
      <c r="AB457" s="43">
        <f>((U457-O457)/V457)*AA457 * (1-(3/(4*(Q457+W457-2)-1)))</f>
        <v>-0.12290502793296089</v>
      </c>
      <c r="AC457" s="128"/>
      <c r="AD457" s="44">
        <v>1</v>
      </c>
      <c r="AE457" s="44"/>
      <c r="AF457" s="118">
        <v>12.3</v>
      </c>
      <c r="AG457" s="118">
        <v>3.7</v>
      </c>
      <c r="AH457" s="118"/>
      <c r="AI457" s="139">
        <v>11.8</v>
      </c>
      <c r="AJ457" s="139">
        <v>3.6</v>
      </c>
      <c r="AO457" s="1"/>
    </row>
    <row r="458" spans="1:41" s="11" customFormat="1" ht="15.95" customHeight="1" x14ac:dyDescent="0.25">
      <c r="A458" s="11">
        <v>280</v>
      </c>
      <c r="B458" s="13" t="s">
        <v>43</v>
      </c>
      <c r="C458" s="13" t="s">
        <v>340</v>
      </c>
      <c r="D458" s="13" t="s">
        <v>340</v>
      </c>
      <c r="E458" s="36" t="s">
        <v>36</v>
      </c>
      <c r="F458" s="11" t="s">
        <v>292</v>
      </c>
      <c r="G458" s="11">
        <v>1995</v>
      </c>
      <c r="H458" s="11" t="s">
        <v>341</v>
      </c>
      <c r="I458" s="204"/>
      <c r="J458" s="204"/>
      <c r="K458" s="204" t="s">
        <v>475</v>
      </c>
      <c r="L458" s="207"/>
      <c r="M458" s="204"/>
      <c r="N458" s="204"/>
      <c r="O458" s="38">
        <v>42.4</v>
      </c>
      <c r="P458" s="39">
        <v>10.09</v>
      </c>
      <c r="Q458" s="40">
        <v>10</v>
      </c>
      <c r="R458" s="41">
        <v>348</v>
      </c>
      <c r="S458" s="41"/>
      <c r="T458" s="41"/>
      <c r="U458" s="38">
        <v>43</v>
      </c>
      <c r="V458" s="41">
        <v>7.65</v>
      </c>
      <c r="W458" s="40">
        <v>10</v>
      </c>
      <c r="AA458" s="11">
        <v>-1</v>
      </c>
      <c r="AB458" s="43">
        <f>((U458-O458)/V458)*AA458 * (1-(3/(4*(Q458+W458-2)-1)))</f>
        <v>-7.5117370892018961E-2</v>
      </c>
      <c r="AD458" s="44">
        <v>1</v>
      </c>
      <c r="AF458" s="11">
        <v>7.53</v>
      </c>
      <c r="AG458" s="11" t="s">
        <v>117</v>
      </c>
      <c r="AI458" s="11">
        <v>7.59</v>
      </c>
      <c r="AJ458" s="11" t="s">
        <v>117</v>
      </c>
      <c r="AL458" s="11" t="s">
        <v>296</v>
      </c>
      <c r="AO458" s="1"/>
    </row>
    <row r="459" spans="1:41" s="1" customFormat="1" ht="15.95" customHeight="1" x14ac:dyDescent="0.25">
      <c r="A459" s="11">
        <v>285</v>
      </c>
      <c r="B459" s="13" t="s">
        <v>43</v>
      </c>
      <c r="C459" s="13" t="s">
        <v>340</v>
      </c>
      <c r="D459" s="13" t="s">
        <v>340</v>
      </c>
      <c r="E459" s="36" t="s">
        <v>36</v>
      </c>
      <c r="F459" s="118" t="s">
        <v>698</v>
      </c>
      <c r="G459" s="13">
        <v>1999</v>
      </c>
      <c r="H459" s="11" t="s">
        <v>341</v>
      </c>
      <c r="I459" s="204"/>
      <c r="J459" s="204"/>
      <c r="K459" s="204" t="s">
        <v>708</v>
      </c>
      <c r="L459" s="207"/>
      <c r="M459" s="207"/>
      <c r="N459" s="205"/>
      <c r="O459" s="124">
        <v>16.690000000000001</v>
      </c>
      <c r="P459" s="138">
        <v>3.98</v>
      </c>
      <c r="Q459" s="126">
        <v>19</v>
      </c>
      <c r="R459" s="97">
        <v>777.2</v>
      </c>
      <c r="S459" s="125">
        <v>199.9</v>
      </c>
      <c r="T459" s="97"/>
      <c r="U459" s="158">
        <v>20.68</v>
      </c>
      <c r="V459" s="125">
        <v>3.65</v>
      </c>
      <c r="W459" s="126">
        <v>19</v>
      </c>
      <c r="X459" s="13"/>
      <c r="Y459" s="13"/>
      <c r="Z459" s="13"/>
      <c r="AA459" s="13">
        <v>-1</v>
      </c>
      <c r="AB459" s="43">
        <f>((U459-O459)/V459)*AA459 * (1-(3/(4*(Q459+W459-2)-1)))</f>
        <v>-1.0702174537790974</v>
      </c>
      <c r="AC459" s="128"/>
      <c r="AD459" s="44">
        <v>1</v>
      </c>
      <c r="AE459" s="44"/>
      <c r="AF459" s="13">
        <v>9.4</v>
      </c>
      <c r="AG459" s="13">
        <v>2.9</v>
      </c>
      <c r="AH459" s="13"/>
      <c r="AI459" s="129">
        <v>9.3000000000000007</v>
      </c>
      <c r="AJ459" s="129">
        <v>2.9</v>
      </c>
      <c r="AK459" s="13"/>
      <c r="AL459" s="13"/>
      <c r="AM459" s="13"/>
      <c r="AN459" s="13"/>
    </row>
    <row r="460" spans="1:41" s="11" customFormat="1" ht="15.95" customHeight="1" x14ac:dyDescent="0.25">
      <c r="A460" s="11">
        <v>286</v>
      </c>
      <c r="B460" s="13" t="s">
        <v>43</v>
      </c>
      <c r="C460" s="13" t="s">
        <v>340</v>
      </c>
      <c r="D460" s="13" t="s">
        <v>340</v>
      </c>
      <c r="E460" s="36" t="s">
        <v>36</v>
      </c>
      <c r="F460" s="118" t="s">
        <v>698</v>
      </c>
      <c r="G460" s="13">
        <v>2000</v>
      </c>
      <c r="H460" s="11" t="s">
        <v>341</v>
      </c>
      <c r="I460" s="204"/>
      <c r="J460" s="204"/>
      <c r="K460" s="204" t="s">
        <v>709</v>
      </c>
      <c r="L460" s="208" t="s">
        <v>710</v>
      </c>
      <c r="M460" s="207"/>
      <c r="N460" s="205"/>
      <c r="O460" s="124">
        <v>4.9000000000000004</v>
      </c>
      <c r="P460" s="138">
        <v>2.5099999999999998</v>
      </c>
      <c r="Q460" s="126">
        <v>19</v>
      </c>
      <c r="R460" s="97">
        <v>777.2</v>
      </c>
      <c r="S460" s="125">
        <v>199.9</v>
      </c>
      <c r="T460" s="97"/>
      <c r="U460" s="158">
        <v>6.05</v>
      </c>
      <c r="V460" s="125">
        <v>2.48</v>
      </c>
      <c r="W460" s="126">
        <v>19</v>
      </c>
      <c r="X460" s="13"/>
      <c r="Y460" s="13"/>
      <c r="Z460" s="13"/>
      <c r="AA460" s="13">
        <v>-1</v>
      </c>
      <c r="AB460" s="43">
        <f>((U460-O460)/V460)*AA460 * (1-(3/(4*(Q460+W460-2)-1)))</f>
        <v>-0.45398150236859897</v>
      </c>
      <c r="AC460" s="128"/>
      <c r="AD460" s="44">
        <v>1</v>
      </c>
      <c r="AE460" s="44"/>
      <c r="AF460" s="13">
        <v>9.4</v>
      </c>
      <c r="AG460" s="13">
        <v>2.9</v>
      </c>
      <c r="AH460" s="13"/>
      <c r="AI460" s="129">
        <v>9.3000000000000007</v>
      </c>
      <c r="AJ460" s="129">
        <v>2.9</v>
      </c>
      <c r="AK460" s="13"/>
      <c r="AL460" s="13"/>
      <c r="AM460" s="13"/>
      <c r="AN460" s="13"/>
      <c r="AO460" s="1"/>
    </row>
    <row r="461" spans="1:41" s="1" customFormat="1" ht="15.95" customHeight="1" x14ac:dyDescent="0.25">
      <c r="A461" s="11">
        <v>294</v>
      </c>
      <c r="B461" s="11" t="s">
        <v>43</v>
      </c>
      <c r="C461" s="13" t="s">
        <v>340</v>
      </c>
      <c r="D461" s="13" t="s">
        <v>340</v>
      </c>
      <c r="E461" s="36" t="s">
        <v>36</v>
      </c>
      <c r="F461" s="13" t="s">
        <v>322</v>
      </c>
      <c r="G461" s="13">
        <v>2001</v>
      </c>
      <c r="H461" s="11" t="s">
        <v>341</v>
      </c>
      <c r="I461" s="204"/>
      <c r="J461" s="204"/>
      <c r="K461" s="204" t="s">
        <v>772</v>
      </c>
      <c r="L461" s="207"/>
      <c r="M461" s="207"/>
      <c r="N461" s="204"/>
      <c r="O461" s="124">
        <v>10.3</v>
      </c>
      <c r="P461" s="125">
        <v>3.56</v>
      </c>
      <c r="Q461" s="126">
        <v>23</v>
      </c>
      <c r="R461" s="97">
        <v>496.4</v>
      </c>
      <c r="S461" s="125">
        <v>230</v>
      </c>
      <c r="T461" s="97"/>
      <c r="U461" s="124">
        <v>11.35</v>
      </c>
      <c r="V461" s="125">
        <v>3.17</v>
      </c>
      <c r="W461" s="126">
        <v>23</v>
      </c>
      <c r="X461" s="13"/>
      <c r="Y461" s="13"/>
      <c r="Z461" s="13"/>
      <c r="AA461" s="13">
        <v>-1</v>
      </c>
      <c r="AB461" s="43">
        <f>((U461-O461)/V461)*AA461 * (1-(3/(4*(Q461+W461-2)-1)))</f>
        <v>-0.32555205047318581</v>
      </c>
      <c r="AC461" s="128"/>
      <c r="AD461" s="44">
        <v>1</v>
      </c>
      <c r="AE461" s="44"/>
      <c r="AF461" s="13">
        <v>10.7</v>
      </c>
      <c r="AG461" s="13">
        <v>3.4</v>
      </c>
      <c r="AH461" s="13"/>
      <c r="AI461" s="129">
        <v>11.1</v>
      </c>
      <c r="AJ461" s="129">
        <v>3.7</v>
      </c>
      <c r="AK461" s="13"/>
      <c r="AL461" s="13"/>
      <c r="AM461" s="13"/>
      <c r="AN461" s="13"/>
    </row>
    <row r="462" spans="1:41" s="11" customFormat="1" ht="15.95" customHeight="1" x14ac:dyDescent="0.25">
      <c r="A462" s="11">
        <v>295</v>
      </c>
      <c r="B462" s="11" t="s">
        <v>43</v>
      </c>
      <c r="C462" s="13" t="s">
        <v>340</v>
      </c>
      <c r="D462" s="13" t="s">
        <v>340</v>
      </c>
      <c r="E462" s="36" t="s">
        <v>36</v>
      </c>
      <c r="F462" s="13" t="s">
        <v>322</v>
      </c>
      <c r="G462" s="13">
        <v>2001</v>
      </c>
      <c r="H462" s="11" t="s">
        <v>341</v>
      </c>
      <c r="I462" s="204"/>
      <c r="J462" s="204"/>
      <c r="K462" s="204" t="s">
        <v>773</v>
      </c>
      <c r="L462" s="207"/>
      <c r="M462" s="207"/>
      <c r="N462" s="204"/>
      <c r="O462" s="124">
        <v>0.31</v>
      </c>
      <c r="P462" s="125">
        <v>0.2</v>
      </c>
      <c r="Q462" s="126">
        <v>23</v>
      </c>
      <c r="R462" s="97">
        <v>496.4</v>
      </c>
      <c r="S462" s="125">
        <v>230</v>
      </c>
      <c r="T462" s="97"/>
      <c r="U462" s="124">
        <v>0.41</v>
      </c>
      <c r="V462" s="125">
        <v>0.21</v>
      </c>
      <c r="W462" s="126">
        <v>23</v>
      </c>
      <c r="X462" s="13"/>
      <c r="Y462" s="13"/>
      <c r="Z462" s="13"/>
      <c r="AA462" s="13">
        <v>-1</v>
      </c>
      <c r="AB462" s="43">
        <f>((U462-O462)/V462)*AA462 * (1-(3/(4*(Q462+W462-2)-1)))</f>
        <v>-0.46802721088435367</v>
      </c>
      <c r="AC462" s="128"/>
      <c r="AD462" s="44">
        <v>1</v>
      </c>
      <c r="AE462" s="44"/>
      <c r="AF462" s="13">
        <v>10.7</v>
      </c>
      <c r="AG462" s="13">
        <v>3.4</v>
      </c>
      <c r="AH462" s="13"/>
      <c r="AI462" s="129">
        <v>11.1</v>
      </c>
      <c r="AJ462" s="129">
        <v>3.7</v>
      </c>
      <c r="AK462" s="13"/>
      <c r="AL462" s="13"/>
      <c r="AM462" s="13"/>
      <c r="AN462" s="13"/>
      <c r="AO462" s="1"/>
    </row>
    <row r="463" spans="1:41" s="1" customFormat="1" ht="15.95" customHeight="1" x14ac:dyDescent="0.25">
      <c r="A463" s="11">
        <v>296</v>
      </c>
      <c r="B463" s="11" t="s">
        <v>43</v>
      </c>
      <c r="C463" s="13" t="s">
        <v>340</v>
      </c>
      <c r="D463" s="13" t="s">
        <v>340</v>
      </c>
      <c r="E463" s="36" t="s">
        <v>36</v>
      </c>
      <c r="F463" s="13" t="s">
        <v>322</v>
      </c>
      <c r="G463" s="13">
        <v>2001</v>
      </c>
      <c r="H463" s="11" t="s">
        <v>341</v>
      </c>
      <c r="I463" s="204"/>
      <c r="J463" s="204"/>
      <c r="K463" s="204" t="s">
        <v>774</v>
      </c>
      <c r="L463" s="207"/>
      <c r="M463" s="207"/>
      <c r="N463" s="204"/>
      <c r="O463" s="124">
        <v>9.39</v>
      </c>
      <c r="P463" s="125">
        <v>2.69</v>
      </c>
      <c r="Q463" s="126">
        <v>23</v>
      </c>
      <c r="R463" s="97">
        <v>496.4</v>
      </c>
      <c r="S463" s="125">
        <v>230</v>
      </c>
      <c r="T463" s="97"/>
      <c r="U463" s="124">
        <v>10.35</v>
      </c>
      <c r="V463" s="125">
        <v>3.39</v>
      </c>
      <c r="W463" s="126">
        <v>23</v>
      </c>
      <c r="X463" s="13"/>
      <c r="Y463" s="13"/>
      <c r="Z463" s="13"/>
      <c r="AA463" s="13">
        <v>-1</v>
      </c>
      <c r="AB463" s="43">
        <f>((U463-O463)/V463)*AA463 * (1-(3/(4*(Q463+W463-2)-1)))</f>
        <v>-0.27833122629582779</v>
      </c>
      <c r="AC463" s="128"/>
      <c r="AD463" s="44">
        <v>1</v>
      </c>
      <c r="AE463" s="44"/>
      <c r="AF463" s="13">
        <v>10.7</v>
      </c>
      <c r="AG463" s="13">
        <v>3.4</v>
      </c>
      <c r="AH463" s="13"/>
      <c r="AI463" s="129">
        <v>11.1</v>
      </c>
      <c r="AJ463" s="129">
        <v>3.7</v>
      </c>
      <c r="AK463" s="13"/>
      <c r="AL463" s="13"/>
      <c r="AM463" s="13"/>
      <c r="AN463" s="13"/>
    </row>
    <row r="464" spans="1:41" s="1" customFormat="1" ht="15.95" customHeight="1" x14ac:dyDescent="0.25">
      <c r="A464" s="11">
        <v>297</v>
      </c>
      <c r="B464" s="11" t="s">
        <v>43</v>
      </c>
      <c r="C464" s="13" t="s">
        <v>340</v>
      </c>
      <c r="D464" s="13" t="s">
        <v>340</v>
      </c>
      <c r="E464" s="36" t="s">
        <v>36</v>
      </c>
      <c r="F464" s="13" t="s">
        <v>322</v>
      </c>
      <c r="G464" s="13">
        <v>2001</v>
      </c>
      <c r="H464" s="11" t="s">
        <v>341</v>
      </c>
      <c r="I464" s="204"/>
      <c r="J464" s="204"/>
      <c r="K464" s="204" t="s">
        <v>775</v>
      </c>
      <c r="L464" s="207"/>
      <c r="M464" s="207"/>
      <c r="N464" s="204"/>
      <c r="O464" s="124">
        <v>9.8699999999999992</v>
      </c>
      <c r="P464" s="125">
        <v>2.44</v>
      </c>
      <c r="Q464" s="126">
        <v>23</v>
      </c>
      <c r="R464" s="97">
        <v>496.4</v>
      </c>
      <c r="S464" s="125">
        <v>230</v>
      </c>
      <c r="T464" s="97"/>
      <c r="U464" s="124">
        <v>10.43</v>
      </c>
      <c r="V464" s="125">
        <v>2.94</v>
      </c>
      <c r="W464" s="126">
        <v>23</v>
      </c>
      <c r="X464" s="13"/>
      <c r="Y464" s="13"/>
      <c r="Z464" s="13"/>
      <c r="AA464" s="13">
        <v>-1</v>
      </c>
      <c r="AB464" s="43">
        <f>((U464-O464)/V464)*AA464 * (1-(3/(4*(Q464+W464-2)-1)))</f>
        <v>-0.18721088435374167</v>
      </c>
      <c r="AC464" s="128"/>
      <c r="AD464" s="44">
        <v>1</v>
      </c>
      <c r="AE464" s="44"/>
      <c r="AF464" s="13">
        <v>10.7</v>
      </c>
      <c r="AG464" s="13">
        <v>3.4</v>
      </c>
      <c r="AH464" s="13"/>
      <c r="AI464" s="129">
        <v>11.1</v>
      </c>
      <c r="AJ464" s="129">
        <v>3.7</v>
      </c>
      <c r="AK464" s="13"/>
      <c r="AL464" s="13"/>
      <c r="AM464" s="13"/>
      <c r="AN464" s="13"/>
    </row>
    <row r="465" spans="1:41" s="1" customFormat="1" ht="15.95" customHeight="1" x14ac:dyDescent="0.25">
      <c r="A465" s="11">
        <v>281</v>
      </c>
      <c r="B465" s="11" t="s">
        <v>54</v>
      </c>
      <c r="C465" s="13" t="s">
        <v>340</v>
      </c>
      <c r="D465" s="13" t="s">
        <v>340</v>
      </c>
      <c r="E465" s="36"/>
      <c r="F465" s="11" t="s">
        <v>292</v>
      </c>
      <c r="G465" s="11">
        <v>1995</v>
      </c>
      <c r="H465" s="11" t="s">
        <v>341</v>
      </c>
      <c r="I465" s="204"/>
      <c r="J465" s="204"/>
      <c r="K465" s="204" t="s">
        <v>475</v>
      </c>
      <c r="L465" s="207"/>
      <c r="M465" s="207"/>
      <c r="N465" s="204"/>
      <c r="O465" s="38">
        <v>46.7</v>
      </c>
      <c r="P465" s="39">
        <v>8.08</v>
      </c>
      <c r="Q465" s="40">
        <v>10</v>
      </c>
      <c r="R465" s="41">
        <v>1014</v>
      </c>
      <c r="S465" s="41">
        <v>216</v>
      </c>
      <c r="T465" s="41"/>
      <c r="U465" s="38">
        <v>55.1</v>
      </c>
      <c r="V465" s="41">
        <v>7.4</v>
      </c>
      <c r="W465" s="40">
        <v>10</v>
      </c>
      <c r="X465" s="11"/>
      <c r="Y465" s="11"/>
      <c r="Z465" s="143"/>
      <c r="AA465" s="11">
        <v>-1</v>
      </c>
      <c r="AB465" s="43">
        <f>((U465-O465)/V465)*AA465 * (1-(3/(4*(Q465+W465-2)-1)))</f>
        <v>-1.0871716787209742</v>
      </c>
      <c r="AC465" s="11"/>
      <c r="AD465" s="44">
        <v>1</v>
      </c>
      <c r="AE465" s="11"/>
      <c r="AF465" s="1">
        <v>20.6</v>
      </c>
      <c r="AG465" s="1">
        <f>(28.6-13.4)/4</f>
        <v>3.8000000000000003</v>
      </c>
      <c r="AH465" s="163" t="s">
        <v>297</v>
      </c>
      <c r="AI465" s="11"/>
      <c r="AJ465" s="11"/>
      <c r="AK465" s="11"/>
      <c r="AL465" s="11"/>
      <c r="AM465" s="11"/>
      <c r="AN465" s="11"/>
    </row>
    <row r="466" spans="1:41" s="1" customFormat="1" ht="15.95" customHeight="1" x14ac:dyDescent="0.25">
      <c r="A466" s="11">
        <v>312</v>
      </c>
      <c r="B466" s="1" t="s">
        <v>34</v>
      </c>
      <c r="C466" s="14" t="s">
        <v>35</v>
      </c>
      <c r="D466" s="14" t="s">
        <v>35</v>
      </c>
      <c r="E466" s="36" t="s">
        <v>36</v>
      </c>
      <c r="F466" s="14" t="s">
        <v>37</v>
      </c>
      <c r="G466" s="1">
        <v>2022</v>
      </c>
      <c r="H466" s="11" t="s">
        <v>38</v>
      </c>
      <c r="I466" s="204" t="s">
        <v>39</v>
      </c>
      <c r="J466" s="204" t="s">
        <v>39</v>
      </c>
      <c r="K466" s="204" t="s">
        <v>40</v>
      </c>
      <c r="L466" s="207"/>
      <c r="M466" s="220"/>
      <c r="N466" s="220"/>
      <c r="O466" s="74">
        <v>81.400000000000006</v>
      </c>
      <c r="P466" s="58">
        <v>6.3</v>
      </c>
      <c r="Q466" s="40">
        <v>20</v>
      </c>
      <c r="R466" s="59">
        <v>702.3</v>
      </c>
      <c r="S466" s="60"/>
      <c r="T466" s="59"/>
      <c r="U466" s="57">
        <v>87.4</v>
      </c>
      <c r="V466" s="39">
        <v>7.9</v>
      </c>
      <c r="W466" s="40">
        <v>40</v>
      </c>
      <c r="X466" s="14"/>
      <c r="Y466" s="55">
        <f>(U466-O466)/SQRT((V466^2+P466^2)/2)</f>
        <v>0.8397565059148091</v>
      </c>
      <c r="Z466" s="55"/>
      <c r="AA466" s="14">
        <v>-1</v>
      </c>
      <c r="AB466" s="43">
        <f>((U466-O466)/V466)*AA466 * (1-(3/(4*(Q466+W466-2)-1)))</f>
        <v>-0.74963011671872426</v>
      </c>
      <c r="AC466" s="61"/>
      <c r="AD466" s="44">
        <v>1</v>
      </c>
      <c r="AE466" s="44"/>
      <c r="AF466" s="14"/>
      <c r="AG466" s="14"/>
      <c r="AI466" s="62"/>
      <c r="AJ466" s="62"/>
      <c r="AK466" s="14">
        <v>1</v>
      </c>
      <c r="AL466" s="14"/>
      <c r="AO466" s="11"/>
    </row>
    <row r="467" spans="1:41" s="13" customFormat="1" ht="15.95" customHeight="1" x14ac:dyDescent="0.25">
      <c r="A467" s="11">
        <v>313</v>
      </c>
      <c r="B467" s="1" t="s">
        <v>34</v>
      </c>
      <c r="C467" s="14" t="s">
        <v>35</v>
      </c>
      <c r="D467" s="14" t="s">
        <v>35</v>
      </c>
      <c r="E467" s="36" t="s">
        <v>36</v>
      </c>
      <c r="F467" s="14" t="s">
        <v>37</v>
      </c>
      <c r="G467" s="1">
        <v>2022</v>
      </c>
      <c r="H467" s="11" t="s">
        <v>38</v>
      </c>
      <c r="I467" s="204" t="s">
        <v>41</v>
      </c>
      <c r="J467" s="204" t="s">
        <v>41</v>
      </c>
      <c r="K467" s="204" t="s">
        <v>42</v>
      </c>
      <c r="L467" s="207"/>
      <c r="M467" s="220"/>
      <c r="N467" s="220"/>
      <c r="O467" s="74">
        <v>816</v>
      </c>
      <c r="P467" s="58">
        <v>306.5</v>
      </c>
      <c r="Q467" s="40">
        <v>20</v>
      </c>
      <c r="R467" s="59">
        <v>702.3</v>
      </c>
      <c r="S467" s="60"/>
      <c r="T467" s="59"/>
      <c r="U467" s="57">
        <v>771.6</v>
      </c>
      <c r="V467" s="39">
        <v>282.39999999999998</v>
      </c>
      <c r="W467" s="40">
        <v>40</v>
      </c>
      <c r="X467" s="14"/>
      <c r="Y467" s="55">
        <f>(U467-O467)/SQRT((V467^2+P467^2)/2)</f>
        <v>-0.15066349838712362</v>
      </c>
      <c r="Z467" s="55"/>
      <c r="AA467" s="14">
        <v>1</v>
      </c>
      <c r="AB467" s="43">
        <f>((U467-O467)/V467)*AA467 * (1-(3/(4*(Q467+W467-2)-1)))</f>
        <v>-0.15518192855303331</v>
      </c>
      <c r="AC467" s="61"/>
      <c r="AD467" s="44">
        <v>1</v>
      </c>
      <c r="AE467" s="44"/>
      <c r="AF467" s="14"/>
      <c r="AG467" s="14"/>
      <c r="AH467" s="1"/>
      <c r="AI467" s="62"/>
      <c r="AJ467" s="62"/>
      <c r="AK467" s="14">
        <v>1</v>
      </c>
      <c r="AL467" s="14"/>
      <c r="AM467" s="1"/>
      <c r="AN467" s="1"/>
      <c r="AO467" s="1"/>
    </row>
    <row r="468" spans="1:41" s="13" customFormat="1" ht="15.95" customHeight="1" x14ac:dyDescent="0.25">
      <c r="A468" s="11">
        <v>315</v>
      </c>
      <c r="B468" s="1" t="s">
        <v>34</v>
      </c>
      <c r="C468" s="14" t="s">
        <v>35</v>
      </c>
      <c r="D468" s="14" t="s">
        <v>35</v>
      </c>
      <c r="E468" s="36" t="s">
        <v>36</v>
      </c>
      <c r="F468" s="14" t="s">
        <v>87</v>
      </c>
      <c r="G468" s="1">
        <v>2007</v>
      </c>
      <c r="H468" s="11" t="s">
        <v>38</v>
      </c>
      <c r="I468" s="204" t="s">
        <v>39</v>
      </c>
      <c r="J468" s="204" t="s">
        <v>39</v>
      </c>
      <c r="K468" s="221" t="s">
        <v>90</v>
      </c>
      <c r="L468" s="222"/>
      <c r="M468" s="220"/>
      <c r="N468" s="220"/>
      <c r="O468" s="74">
        <v>92.43</v>
      </c>
      <c r="P468" s="60">
        <v>4.99</v>
      </c>
      <c r="Q468" s="91">
        <v>25</v>
      </c>
      <c r="R468" s="59">
        <v>1285.68</v>
      </c>
      <c r="S468" s="60"/>
      <c r="T468" s="59"/>
      <c r="U468" s="74">
        <v>93.88</v>
      </c>
      <c r="V468" s="92">
        <v>4.8600000000000003</v>
      </c>
      <c r="W468" s="91">
        <v>45</v>
      </c>
      <c r="X468" s="14"/>
      <c r="Y468" s="55">
        <f>(U468-O468)/SQRT((V468^2+P468^2)/2)</f>
        <v>0.29439060535135325</v>
      </c>
      <c r="Z468" s="55"/>
      <c r="AA468" s="14">
        <v>-1</v>
      </c>
      <c r="AB468" s="43">
        <f>((U468-O468)/V468)*AA468 * (1-(3/(4*(Q468+W468-2)-1)))</f>
        <v>-0.29505109865913243</v>
      </c>
      <c r="AC468" s="61"/>
      <c r="AD468" s="44">
        <v>1</v>
      </c>
      <c r="AE468" s="44"/>
      <c r="AF468" s="14"/>
      <c r="AG468" s="14"/>
      <c r="AH468" s="1"/>
      <c r="AI468" s="62"/>
      <c r="AJ468" s="62"/>
      <c r="AK468" s="14">
        <v>2</v>
      </c>
      <c r="AL468" s="14" t="s">
        <v>68</v>
      </c>
      <c r="AM468" s="1" t="s">
        <v>69</v>
      </c>
      <c r="AN468" s="14" t="s">
        <v>68</v>
      </c>
      <c r="AO468" s="1"/>
    </row>
    <row r="469" spans="1:41" s="11" customFormat="1" ht="15.95" customHeight="1" x14ac:dyDescent="0.25">
      <c r="A469" s="11">
        <v>316</v>
      </c>
      <c r="B469" s="1" t="s">
        <v>34</v>
      </c>
      <c r="C469" s="14" t="s">
        <v>35</v>
      </c>
      <c r="D469" s="14" t="s">
        <v>35</v>
      </c>
      <c r="E469" s="36" t="s">
        <v>36</v>
      </c>
      <c r="F469" s="14" t="s">
        <v>87</v>
      </c>
      <c r="G469" s="1">
        <v>2007</v>
      </c>
      <c r="H469" s="11" t="s">
        <v>38</v>
      </c>
      <c r="I469" s="204" t="s">
        <v>41</v>
      </c>
      <c r="J469" s="204" t="s">
        <v>41</v>
      </c>
      <c r="K469" s="221" t="s">
        <v>91</v>
      </c>
      <c r="L469" s="222"/>
      <c r="M469" s="220"/>
      <c r="N469" s="220"/>
      <c r="O469" s="74">
        <v>0.84</v>
      </c>
      <c r="P469" s="60">
        <v>0.68</v>
      </c>
      <c r="Q469" s="91">
        <v>25</v>
      </c>
      <c r="R469" s="59">
        <v>1285.68</v>
      </c>
      <c r="S469" s="60"/>
      <c r="T469" s="59"/>
      <c r="U469" s="74">
        <v>0.63</v>
      </c>
      <c r="V469" s="92">
        <v>0.26</v>
      </c>
      <c r="W469" s="91">
        <v>45</v>
      </c>
      <c r="X469" s="14"/>
      <c r="Y469" s="55">
        <f>(U469-O469)/SQRT((V469^2+P469^2)/2)</f>
        <v>-0.4079400621900508</v>
      </c>
      <c r="Z469" s="55"/>
      <c r="AA469" s="14">
        <v>1</v>
      </c>
      <c r="AB469" s="43">
        <f>((U469-O469)/V469)*AA469 * (1-(3/(4*(Q469+W469-2)-1)))</f>
        <v>-0.79875106443372113</v>
      </c>
      <c r="AC469" s="61"/>
      <c r="AD469" s="44">
        <v>1</v>
      </c>
      <c r="AE469" s="44"/>
      <c r="AF469" s="14"/>
      <c r="AG469" s="14"/>
      <c r="AH469" s="1"/>
      <c r="AI469" s="62"/>
      <c r="AJ469" s="62"/>
      <c r="AK469" s="14">
        <v>2</v>
      </c>
      <c r="AL469" s="14" t="s">
        <v>68</v>
      </c>
      <c r="AM469" s="1" t="s">
        <v>69</v>
      </c>
      <c r="AN469" s="14" t="s">
        <v>68</v>
      </c>
      <c r="AO469" s="1"/>
    </row>
    <row r="470" spans="1:41" s="11" customFormat="1" ht="15.95" customHeight="1" x14ac:dyDescent="0.25">
      <c r="A470" s="11">
        <v>308</v>
      </c>
      <c r="B470" s="1" t="s">
        <v>34</v>
      </c>
      <c r="C470" s="14" t="s">
        <v>35</v>
      </c>
      <c r="D470" s="14" t="s">
        <v>35</v>
      </c>
      <c r="E470" s="36" t="s">
        <v>36</v>
      </c>
      <c r="F470" s="1" t="s">
        <v>327</v>
      </c>
      <c r="G470" s="1">
        <v>2021</v>
      </c>
      <c r="H470" s="103" t="s">
        <v>328</v>
      </c>
      <c r="I470" s="204"/>
      <c r="J470" s="204"/>
      <c r="K470" s="204" t="s">
        <v>329</v>
      </c>
      <c r="L470" s="222"/>
      <c r="M470" s="220"/>
      <c r="N470" s="220"/>
      <c r="O470" s="64">
        <v>-0.47</v>
      </c>
      <c r="P470" s="65">
        <v>0.83</v>
      </c>
      <c r="Q470" s="40">
        <v>153</v>
      </c>
      <c r="R470" s="59">
        <v>908</v>
      </c>
      <c r="S470" s="60"/>
      <c r="T470" s="59"/>
      <c r="U470" s="57">
        <v>0</v>
      </c>
      <c r="V470" s="39">
        <v>1</v>
      </c>
      <c r="W470" s="40">
        <v>76</v>
      </c>
      <c r="X470" s="1"/>
      <c r="Y470" s="55">
        <v>0.33</v>
      </c>
      <c r="Z470" s="55"/>
      <c r="AA470" s="14">
        <v>-1</v>
      </c>
      <c r="AB470" s="43">
        <f>((U470-O470)/V470)*AA470 * (1-(3/(4*(Q470+W470-2)-1)))</f>
        <v>-0.46844542447629545</v>
      </c>
      <c r="AC470" s="56">
        <v>0.83</v>
      </c>
      <c r="AD470" s="44">
        <v>1</v>
      </c>
      <c r="AE470" s="44"/>
      <c r="AF470" s="14"/>
      <c r="AG470" s="14"/>
      <c r="AH470" s="1"/>
      <c r="AI470" s="62"/>
      <c r="AJ470" s="62"/>
      <c r="AK470" s="14">
        <v>1</v>
      </c>
      <c r="AL470" s="14"/>
      <c r="AM470" s="104" t="s">
        <v>146</v>
      </c>
      <c r="AN470" s="1"/>
      <c r="AO470" s="13"/>
    </row>
    <row r="471" spans="1:41" s="13" customFormat="1" ht="15.95" customHeight="1" x14ac:dyDescent="0.25">
      <c r="A471" s="11">
        <v>299</v>
      </c>
      <c r="B471" s="1" t="s">
        <v>34</v>
      </c>
      <c r="C471" s="14" t="s">
        <v>35</v>
      </c>
      <c r="D471" s="14" t="s">
        <v>35</v>
      </c>
      <c r="E471" s="36" t="s">
        <v>36</v>
      </c>
      <c r="F471" s="1" t="s">
        <v>327</v>
      </c>
      <c r="G471" s="1">
        <v>2021</v>
      </c>
      <c r="H471" s="103" t="s">
        <v>330</v>
      </c>
      <c r="I471" s="204"/>
      <c r="J471" s="204"/>
      <c r="K471" s="204" t="s">
        <v>329</v>
      </c>
      <c r="L471" s="222"/>
      <c r="M471" s="220"/>
      <c r="N471" s="220"/>
      <c r="O471" s="64">
        <v>-0.33</v>
      </c>
      <c r="P471" s="65">
        <v>1</v>
      </c>
      <c r="Q471" s="40">
        <v>153</v>
      </c>
      <c r="R471" s="59">
        <v>908</v>
      </c>
      <c r="S471" s="60"/>
      <c r="T471" s="59"/>
      <c r="U471" s="57">
        <v>0</v>
      </c>
      <c r="V471" s="39">
        <v>1</v>
      </c>
      <c r="W471" s="40">
        <v>76</v>
      </c>
      <c r="X471" s="1"/>
      <c r="Y471" s="55">
        <v>0.33</v>
      </c>
      <c r="Z471" s="55"/>
      <c r="AA471" s="14">
        <v>-1</v>
      </c>
      <c r="AB471" s="43">
        <f>((U471-O471)/V471)*AA471 * (1-(3/(4*(Q471+W471-2)-1)))</f>
        <v>-0.32890848952590962</v>
      </c>
      <c r="AC471" s="61">
        <v>1</v>
      </c>
      <c r="AD471" s="44">
        <v>1</v>
      </c>
      <c r="AE471" s="44"/>
      <c r="AF471" s="14"/>
      <c r="AG471" s="14"/>
      <c r="AH471" s="1"/>
      <c r="AI471" s="62"/>
      <c r="AJ471" s="62"/>
      <c r="AK471" s="14">
        <v>1</v>
      </c>
      <c r="AL471" s="14"/>
      <c r="AM471" s="104" t="s">
        <v>146</v>
      </c>
      <c r="AN471" s="1"/>
      <c r="AO471" s="1"/>
    </row>
    <row r="472" spans="1:41" s="1" customFormat="1" ht="15.95" customHeight="1" x14ac:dyDescent="0.25">
      <c r="A472" s="11">
        <v>314</v>
      </c>
      <c r="B472" s="1" t="s">
        <v>34</v>
      </c>
      <c r="C472" s="14" t="s">
        <v>35</v>
      </c>
      <c r="D472" s="14" t="s">
        <v>35</v>
      </c>
      <c r="E472" s="36" t="s">
        <v>36</v>
      </c>
      <c r="F472" s="14" t="s">
        <v>65</v>
      </c>
      <c r="G472" s="1">
        <v>2005</v>
      </c>
      <c r="H472" s="11" t="s">
        <v>38</v>
      </c>
      <c r="I472" s="204"/>
      <c r="J472" s="204"/>
      <c r="K472" s="221" t="s">
        <v>426</v>
      </c>
      <c r="L472" s="222"/>
      <c r="M472" s="220"/>
      <c r="N472" s="220"/>
      <c r="O472" s="74">
        <v>95.18</v>
      </c>
      <c r="P472" s="60">
        <v>3.46</v>
      </c>
      <c r="Q472" s="91">
        <v>25</v>
      </c>
      <c r="R472" s="59">
        <v>758.79</v>
      </c>
      <c r="S472" s="60"/>
      <c r="T472" s="59"/>
      <c r="U472" s="74">
        <v>94.6</v>
      </c>
      <c r="V472" s="92">
        <v>3.7</v>
      </c>
      <c r="W472" s="91">
        <v>25</v>
      </c>
      <c r="X472" s="14"/>
      <c r="Y472" s="55">
        <f>(U472-O472)/SQRT((V472^2+P472^2)/2)</f>
        <v>-0.16192023513561832</v>
      </c>
      <c r="Z472" s="55"/>
      <c r="AA472" s="14">
        <v>-1</v>
      </c>
      <c r="AB472" s="43">
        <f>((U472-O472)/V472)*AA472 * (1-(3/(4*(Q472+W472-2)-1)))</f>
        <v>0.15429460874487386</v>
      </c>
      <c r="AC472" s="61"/>
      <c r="AD472" s="44">
        <v>1</v>
      </c>
      <c r="AE472" s="44"/>
      <c r="AF472" s="14"/>
      <c r="AG472" s="14"/>
      <c r="AI472" s="62"/>
      <c r="AJ472" s="62"/>
      <c r="AK472" s="14">
        <v>2</v>
      </c>
      <c r="AL472" s="14" t="s">
        <v>68</v>
      </c>
      <c r="AM472" s="1" t="s">
        <v>69</v>
      </c>
      <c r="AN472" s="14" t="s">
        <v>68</v>
      </c>
      <c r="AO472" s="13"/>
    </row>
    <row r="473" spans="1:41" s="1" customFormat="1" ht="15.95" customHeight="1" x14ac:dyDescent="0.25">
      <c r="A473" s="11">
        <v>311</v>
      </c>
      <c r="B473" s="11" t="s">
        <v>34</v>
      </c>
      <c r="C473" s="14" t="s">
        <v>35</v>
      </c>
      <c r="D473" s="14" t="s">
        <v>35</v>
      </c>
      <c r="E473" s="36" t="s">
        <v>36</v>
      </c>
      <c r="F473" s="11" t="s">
        <v>274</v>
      </c>
      <c r="G473" s="11">
        <v>2023</v>
      </c>
      <c r="H473" s="11" t="s">
        <v>441</v>
      </c>
      <c r="I473" s="204"/>
      <c r="J473" s="204"/>
      <c r="K473" s="204" t="s">
        <v>437</v>
      </c>
      <c r="L473" s="207" t="s">
        <v>442</v>
      </c>
      <c r="M473" s="204" t="s">
        <v>277</v>
      </c>
      <c r="N473" s="204"/>
      <c r="O473" s="38">
        <v>45</v>
      </c>
      <c r="P473" s="39">
        <v>10.3</v>
      </c>
      <c r="Q473" s="40">
        <v>40</v>
      </c>
      <c r="R473" s="41">
        <v>589</v>
      </c>
      <c r="S473" s="39">
        <v>444</v>
      </c>
      <c r="T473" s="41"/>
      <c r="U473" s="38">
        <v>53</v>
      </c>
      <c r="V473" s="41">
        <v>7.8</v>
      </c>
      <c r="W473" s="40">
        <v>32</v>
      </c>
      <c r="X473" s="11" t="s">
        <v>58</v>
      </c>
      <c r="Y473" s="11">
        <v>0.88</v>
      </c>
      <c r="Z473" s="11"/>
      <c r="AA473" s="11">
        <v>-1</v>
      </c>
      <c r="AB473" s="43">
        <f>((U473-O473)/V473)*AA473 * (1-(3/(4*(Q473+W473-2)-1)))</f>
        <v>-1.0146126275158536</v>
      </c>
      <c r="AC473" s="11"/>
      <c r="AD473" s="44">
        <v>1</v>
      </c>
      <c r="AE473" s="44"/>
      <c r="AF473" s="11" t="s">
        <v>58</v>
      </c>
      <c r="AG473" s="11"/>
      <c r="AH473" s="11"/>
      <c r="AI473" s="11"/>
      <c r="AJ473" s="11"/>
      <c r="AK473" s="11"/>
      <c r="AL473" s="11"/>
      <c r="AM473" s="11"/>
      <c r="AN473" s="11"/>
    </row>
    <row r="474" spans="1:41" s="1" customFormat="1" ht="15.95" customHeight="1" x14ac:dyDescent="0.25">
      <c r="A474" s="11">
        <v>326</v>
      </c>
      <c r="B474" s="1" t="s">
        <v>34</v>
      </c>
      <c r="C474" s="14" t="s">
        <v>35</v>
      </c>
      <c r="D474" s="14" t="s">
        <v>35</v>
      </c>
      <c r="E474" s="36" t="s">
        <v>36</v>
      </c>
      <c r="F474" s="14" t="s">
        <v>547</v>
      </c>
      <c r="G474" s="1">
        <v>2007</v>
      </c>
      <c r="H474" s="11" t="s">
        <v>560</v>
      </c>
      <c r="I474" s="204"/>
      <c r="J474" s="204"/>
      <c r="K474" s="221" t="s">
        <v>561</v>
      </c>
      <c r="L474" s="222"/>
      <c r="M474" s="220"/>
      <c r="N474" s="220"/>
      <c r="O474" s="74">
        <v>106</v>
      </c>
      <c r="P474" s="60">
        <v>5.4</v>
      </c>
      <c r="Q474" s="91">
        <v>12</v>
      </c>
      <c r="R474" s="69" t="s">
        <v>117</v>
      </c>
      <c r="S474" s="70"/>
      <c r="T474" s="69"/>
      <c r="U474" s="74">
        <v>105</v>
      </c>
      <c r="V474" s="92">
        <v>5.2</v>
      </c>
      <c r="W474" s="91">
        <v>12</v>
      </c>
      <c r="X474" s="14"/>
      <c r="Y474" s="55">
        <f>(U474-O474)/SQRT((V474^2+P474^2)/2)</f>
        <v>-0.18864566947613623</v>
      </c>
      <c r="Z474" s="55"/>
      <c r="AA474" s="14">
        <v>-1</v>
      </c>
      <c r="AB474" s="43">
        <f>((U474-O474)/V474)*AA474 * (1-(3/(4*(Q474+W474-2)-1)))</f>
        <v>0.1856763925729443</v>
      </c>
      <c r="AC474" s="61"/>
      <c r="AD474" s="44">
        <v>1</v>
      </c>
      <c r="AE474" s="44"/>
      <c r="AF474" s="14"/>
      <c r="AG474" s="14"/>
      <c r="AI474" s="62"/>
      <c r="AJ474" s="62"/>
      <c r="AK474" s="14">
        <v>1</v>
      </c>
      <c r="AL474" s="14" t="s">
        <v>116</v>
      </c>
      <c r="AM474" s="71" t="s">
        <v>562</v>
      </c>
      <c r="AN474" s="14" t="s">
        <v>118</v>
      </c>
    </row>
    <row r="475" spans="1:41" s="1" customFormat="1" ht="15.95" customHeight="1" x14ac:dyDescent="0.25">
      <c r="A475" s="11">
        <v>317</v>
      </c>
      <c r="B475" s="11" t="s">
        <v>34</v>
      </c>
      <c r="C475" s="14" t="s">
        <v>35</v>
      </c>
      <c r="D475" s="14" t="s">
        <v>35</v>
      </c>
      <c r="E475" s="36" t="s">
        <v>36</v>
      </c>
      <c r="F475" s="11" t="s">
        <v>301</v>
      </c>
      <c r="G475" s="11">
        <v>2023</v>
      </c>
      <c r="H475" s="11" t="s">
        <v>38</v>
      </c>
      <c r="I475" s="204"/>
      <c r="J475" s="204"/>
      <c r="K475" s="204" t="s">
        <v>303</v>
      </c>
      <c r="L475" s="207" t="s">
        <v>579</v>
      </c>
      <c r="M475" s="204" t="s">
        <v>580</v>
      </c>
      <c r="N475" s="204" t="s">
        <v>581</v>
      </c>
      <c r="O475" s="38">
        <v>94.5</v>
      </c>
      <c r="P475" s="39">
        <v>7</v>
      </c>
      <c r="Q475" s="40">
        <v>30</v>
      </c>
      <c r="R475" s="41">
        <v>741</v>
      </c>
      <c r="S475" s="42">
        <f>358/1.35</f>
        <v>265.18518518518516</v>
      </c>
      <c r="T475" s="39" t="s">
        <v>307</v>
      </c>
      <c r="U475" s="38">
        <v>98</v>
      </c>
      <c r="V475" s="41">
        <v>3</v>
      </c>
      <c r="W475" s="40">
        <v>54</v>
      </c>
      <c r="X475" s="11">
        <v>54</v>
      </c>
      <c r="Y475" s="11">
        <v>0.41</v>
      </c>
      <c r="Z475" s="11"/>
      <c r="AA475" s="11">
        <v>-1</v>
      </c>
      <c r="AB475" s="43">
        <f>((U475-O475)/V475)*AA475 * (1-(3/(4*(Q475+W475-2)-1)))</f>
        <v>-1.1559633027522938</v>
      </c>
      <c r="AC475" s="11"/>
      <c r="AD475" s="44">
        <v>1</v>
      </c>
      <c r="AE475" s="44"/>
      <c r="AF475" s="11" t="s">
        <v>58</v>
      </c>
      <c r="AG475" s="11"/>
      <c r="AH475" s="11"/>
      <c r="AI475" s="11"/>
      <c r="AJ475" s="11"/>
      <c r="AK475" s="11"/>
      <c r="AL475" s="11"/>
      <c r="AM475" s="11"/>
      <c r="AN475" s="11"/>
    </row>
    <row r="476" spans="1:41" s="54" customFormat="1" ht="15.95" customHeight="1" x14ac:dyDescent="0.25">
      <c r="A476" s="11">
        <v>318</v>
      </c>
      <c r="B476" s="11" t="s">
        <v>34</v>
      </c>
      <c r="C476" s="14" t="s">
        <v>35</v>
      </c>
      <c r="D476" s="14" t="s">
        <v>35</v>
      </c>
      <c r="E476" s="36" t="s">
        <v>36</v>
      </c>
      <c r="F476" s="11" t="s">
        <v>301</v>
      </c>
      <c r="G476" s="11">
        <v>2023</v>
      </c>
      <c r="H476" s="11" t="s">
        <v>38</v>
      </c>
      <c r="I476" s="204"/>
      <c r="J476" s="204"/>
      <c r="K476" s="204" t="s">
        <v>303</v>
      </c>
      <c r="L476" s="207" t="s">
        <v>582</v>
      </c>
      <c r="M476" s="204" t="s">
        <v>583</v>
      </c>
      <c r="N476" s="204" t="s">
        <v>584</v>
      </c>
      <c r="O476" s="38">
        <v>-2.4</v>
      </c>
      <c r="P476" s="39">
        <v>7</v>
      </c>
      <c r="Q476" s="40">
        <v>30</v>
      </c>
      <c r="R476" s="41">
        <v>741</v>
      </c>
      <c r="S476" s="42">
        <f>358/1.35</f>
        <v>265.18518518518516</v>
      </c>
      <c r="T476" s="39" t="s">
        <v>307</v>
      </c>
      <c r="U476" s="38">
        <v>0.8</v>
      </c>
      <c r="V476" s="41">
        <v>3.2</v>
      </c>
      <c r="W476" s="40">
        <v>54</v>
      </c>
      <c r="X476" s="11">
        <v>54</v>
      </c>
      <c r="Y476" s="11">
        <v>0.4</v>
      </c>
      <c r="Z476" s="11"/>
      <c r="AA476" s="11">
        <v>-1</v>
      </c>
      <c r="AB476" s="43">
        <f>((U476-O476)/V476)*AA476 * (1-(3/(4*(Q476+W476-2)-1)))</f>
        <v>-0.99082568807339455</v>
      </c>
      <c r="AC476" s="11"/>
      <c r="AD476" s="44">
        <v>1</v>
      </c>
      <c r="AE476" s="44"/>
      <c r="AF476" s="11" t="s">
        <v>58</v>
      </c>
      <c r="AG476" s="11"/>
      <c r="AH476" s="11"/>
      <c r="AI476" s="11"/>
      <c r="AJ476" s="11"/>
      <c r="AK476" s="11"/>
      <c r="AL476" s="11"/>
      <c r="AM476" s="11"/>
      <c r="AN476" s="11"/>
      <c r="AO476" s="1"/>
    </row>
    <row r="477" spans="1:41" s="45" customFormat="1" ht="15.95" customHeight="1" x14ac:dyDescent="0.25">
      <c r="A477" s="11">
        <v>301</v>
      </c>
      <c r="B477" s="1" t="s">
        <v>34</v>
      </c>
      <c r="C477" s="14" t="s">
        <v>35</v>
      </c>
      <c r="D477" s="14" t="s">
        <v>35</v>
      </c>
      <c r="E477" s="36" t="s">
        <v>36</v>
      </c>
      <c r="F477" s="11" t="s">
        <v>148</v>
      </c>
      <c r="G477" s="1">
        <v>2017</v>
      </c>
      <c r="H477" s="103" t="s">
        <v>330</v>
      </c>
      <c r="I477" s="203"/>
      <c r="J477" s="203"/>
      <c r="K477" s="204" t="s">
        <v>330</v>
      </c>
      <c r="L477" s="222"/>
      <c r="M477" s="220"/>
      <c r="N477" s="220"/>
      <c r="O477" s="74">
        <v>6.1</v>
      </c>
      <c r="P477" s="60">
        <v>1</v>
      </c>
      <c r="Q477" s="91">
        <v>37</v>
      </c>
      <c r="R477" s="59">
        <v>720</v>
      </c>
      <c r="S477" s="60"/>
      <c r="T477" s="59"/>
      <c r="U477" s="74">
        <v>6.5</v>
      </c>
      <c r="V477" s="92">
        <v>0.9</v>
      </c>
      <c r="W477" s="91">
        <v>30</v>
      </c>
      <c r="X477" s="14"/>
      <c r="Y477" s="55">
        <f>(U477-O477)/SQRT((V477^2+P477^2)/2)</f>
        <v>0.42047066498210972</v>
      </c>
      <c r="Z477" s="55"/>
      <c r="AA477" s="14">
        <v>-1</v>
      </c>
      <c r="AB477" s="43">
        <f>((U477-O477)/V477)*AA477 * (1-(3/(4*(Q477+W477-2)-1)))</f>
        <v>-0.43929643929643969</v>
      </c>
      <c r="AC477" s="61"/>
      <c r="AD477" s="44">
        <v>1</v>
      </c>
      <c r="AE477" s="44"/>
      <c r="AF477" s="14"/>
      <c r="AG477" s="14"/>
      <c r="AH477" s="1"/>
      <c r="AI477" s="62"/>
      <c r="AJ477" s="62"/>
      <c r="AK477" s="14">
        <v>1</v>
      </c>
      <c r="AL477" s="14" t="s">
        <v>116</v>
      </c>
      <c r="AM477" s="1" t="s">
        <v>69</v>
      </c>
      <c r="AN477" s="14" t="s">
        <v>118</v>
      </c>
      <c r="AO477" s="1"/>
    </row>
    <row r="478" spans="1:41" s="45" customFormat="1" ht="15.95" customHeight="1" x14ac:dyDescent="0.25">
      <c r="A478" s="11">
        <v>323</v>
      </c>
      <c r="B478" s="1" t="s">
        <v>34</v>
      </c>
      <c r="C478" s="14" t="s">
        <v>35</v>
      </c>
      <c r="D478" s="14" t="s">
        <v>35</v>
      </c>
      <c r="E478" s="36" t="s">
        <v>36</v>
      </c>
      <c r="F478" s="11" t="s">
        <v>148</v>
      </c>
      <c r="G478" s="1">
        <v>2017</v>
      </c>
      <c r="H478" s="11" t="s">
        <v>606</v>
      </c>
      <c r="I478" s="204"/>
      <c r="J478" s="204"/>
      <c r="K478" s="221" t="s">
        <v>607</v>
      </c>
      <c r="L478" s="222"/>
      <c r="M478" s="220"/>
      <c r="N478" s="220"/>
      <c r="O478" s="74">
        <v>48.2</v>
      </c>
      <c r="P478" s="60">
        <v>12.5</v>
      </c>
      <c r="Q478" s="91">
        <v>37</v>
      </c>
      <c r="R478" s="59">
        <v>720</v>
      </c>
      <c r="S478" s="60"/>
      <c r="T478" s="59"/>
      <c r="U478" s="74">
        <v>39.299999999999997</v>
      </c>
      <c r="V478" s="92">
        <v>10.4</v>
      </c>
      <c r="W478" s="91">
        <v>30</v>
      </c>
      <c r="X478" s="14"/>
      <c r="Y478" s="55">
        <f>(U478-O478)/SQRT((V478^2+P478^2)/2)</f>
        <v>-0.7740447447147154</v>
      </c>
      <c r="Z478" s="55"/>
      <c r="AA478" s="14">
        <v>1</v>
      </c>
      <c r="AB478" s="43">
        <f>((U478-O478)/V478)*AA478 * (1-(3/(4*(Q478+W478-2)-1)))</f>
        <v>-0.8458568458568464</v>
      </c>
      <c r="AC478" s="61"/>
      <c r="AD478" s="44">
        <v>1</v>
      </c>
      <c r="AE478" s="44"/>
      <c r="AF478" s="14"/>
      <c r="AG478" s="14"/>
      <c r="AH478" s="1"/>
      <c r="AI478" s="62"/>
      <c r="AJ478" s="62"/>
      <c r="AK478" s="14">
        <v>1</v>
      </c>
      <c r="AL478" s="14" t="s">
        <v>116</v>
      </c>
      <c r="AM478" s="1" t="s">
        <v>69</v>
      </c>
      <c r="AN478" s="14" t="s">
        <v>118</v>
      </c>
      <c r="AO478" s="13"/>
    </row>
    <row r="479" spans="1:41" s="45" customFormat="1" ht="15.95" customHeight="1" x14ac:dyDescent="0.25">
      <c r="A479" s="11">
        <v>302</v>
      </c>
      <c r="B479" s="1" t="s">
        <v>34</v>
      </c>
      <c r="C479" s="14" t="s">
        <v>35</v>
      </c>
      <c r="D479" s="14" t="s">
        <v>35</v>
      </c>
      <c r="E479" s="36" t="s">
        <v>36</v>
      </c>
      <c r="F479" s="14" t="s">
        <v>670</v>
      </c>
      <c r="G479" s="1">
        <v>2021</v>
      </c>
      <c r="H479" s="103" t="s">
        <v>330</v>
      </c>
      <c r="I479" s="204"/>
      <c r="J479" s="204"/>
      <c r="K479" s="204" t="s">
        <v>330</v>
      </c>
      <c r="L479" s="207"/>
      <c r="M479" s="220"/>
      <c r="N479" s="220"/>
      <c r="O479" s="57">
        <v>14</v>
      </c>
      <c r="P479" s="58">
        <v>3.2</v>
      </c>
      <c r="Q479" s="40">
        <v>19</v>
      </c>
      <c r="R479" s="59">
        <v>890</v>
      </c>
      <c r="S479" s="60"/>
      <c r="T479" s="59"/>
      <c r="U479" s="57">
        <v>19</v>
      </c>
      <c r="V479" s="39">
        <v>2.36</v>
      </c>
      <c r="W479" s="40">
        <v>25</v>
      </c>
      <c r="X479" s="1"/>
      <c r="Y479" s="55">
        <f>(U479-O479)/SQRT((V479^2+P479^2)/2)</f>
        <v>1.7783799821167132</v>
      </c>
      <c r="Z479" s="55"/>
      <c r="AA479" s="14">
        <v>-1</v>
      </c>
      <c r="AB479" s="43">
        <f>((U479-O479)/V479)*AA479 * (1-(3/(4*(Q479+W479-2)-1)))</f>
        <v>-2.0805845935248146</v>
      </c>
      <c r="AC479" s="61"/>
      <c r="AD479" s="44">
        <v>1</v>
      </c>
      <c r="AE479" s="44"/>
      <c r="AF479" s="14"/>
      <c r="AG479" s="14"/>
      <c r="AH479" s="1"/>
      <c r="AI479" s="62"/>
      <c r="AJ479" s="62"/>
      <c r="AK479" s="14">
        <v>2</v>
      </c>
      <c r="AL479" s="14"/>
      <c r="AM479" s="1" t="s">
        <v>69</v>
      </c>
      <c r="AN479" s="14"/>
      <c r="AO479" s="1"/>
    </row>
    <row r="480" spans="1:41" s="54" customFormat="1" ht="15.95" customHeight="1" x14ac:dyDescent="0.25">
      <c r="A480" s="11">
        <v>303</v>
      </c>
      <c r="B480" s="1" t="s">
        <v>34</v>
      </c>
      <c r="C480" s="14" t="s">
        <v>35</v>
      </c>
      <c r="D480" s="14" t="s">
        <v>35</v>
      </c>
      <c r="E480" s="36" t="s">
        <v>36</v>
      </c>
      <c r="F480" s="1" t="s">
        <v>228</v>
      </c>
      <c r="G480" s="1">
        <v>2020</v>
      </c>
      <c r="H480" s="103" t="s">
        <v>330</v>
      </c>
      <c r="I480" s="203"/>
      <c r="J480" s="203"/>
      <c r="K480" s="204" t="s">
        <v>330</v>
      </c>
      <c r="L480" s="222"/>
      <c r="M480" s="220"/>
      <c r="N480" s="220"/>
      <c r="O480" s="57">
        <v>5.9</v>
      </c>
      <c r="P480" s="58">
        <v>0.9</v>
      </c>
      <c r="Q480" s="40">
        <v>19</v>
      </c>
      <c r="R480" s="59">
        <v>1042</v>
      </c>
      <c r="S480" s="60"/>
      <c r="T480" s="59"/>
      <c r="U480" s="57">
        <v>5.9</v>
      </c>
      <c r="V480" s="39">
        <v>1.1000000000000001</v>
      </c>
      <c r="W480" s="40">
        <v>19</v>
      </c>
      <c r="X480" s="1"/>
      <c r="Y480" s="55">
        <f>(U480-O480)/SQRT((V480^2+P480^2)/2)</f>
        <v>0</v>
      </c>
      <c r="Z480" s="55"/>
      <c r="AA480" s="14">
        <v>-1</v>
      </c>
      <c r="AB480" s="43">
        <f>((U480-O480)/V480)*AA480 * (1-(3/(4*(Q480+W480-2)-1)))</f>
        <v>0</v>
      </c>
      <c r="AC480" s="61"/>
      <c r="AD480" s="44">
        <v>1</v>
      </c>
      <c r="AE480" s="44"/>
      <c r="AF480" s="14"/>
      <c r="AG480" s="14"/>
      <c r="AH480" s="1"/>
      <c r="AI480" s="62"/>
      <c r="AJ480" s="62"/>
      <c r="AK480" s="14">
        <v>1</v>
      </c>
      <c r="AL480" s="14" t="s">
        <v>116</v>
      </c>
      <c r="AM480" s="68" t="s">
        <v>117</v>
      </c>
      <c r="AN480" s="14" t="s">
        <v>118</v>
      </c>
      <c r="AO480" s="1"/>
    </row>
    <row r="481" spans="1:41" s="54" customFormat="1" ht="15.95" customHeight="1" x14ac:dyDescent="0.25">
      <c r="A481" s="11">
        <v>319</v>
      </c>
      <c r="B481" s="13" t="s">
        <v>43</v>
      </c>
      <c r="C481" s="13" t="s">
        <v>35</v>
      </c>
      <c r="D481" s="13" t="s">
        <v>35</v>
      </c>
      <c r="E481" s="36" t="s">
        <v>81</v>
      </c>
      <c r="F481" s="13" t="s">
        <v>108</v>
      </c>
      <c r="G481" s="13">
        <v>1998</v>
      </c>
      <c r="H481" s="11" t="s">
        <v>38</v>
      </c>
      <c r="I481" s="204" t="s">
        <v>39</v>
      </c>
      <c r="J481" s="204" t="s">
        <v>39</v>
      </c>
      <c r="K481" s="204" t="s">
        <v>109</v>
      </c>
      <c r="L481" s="207"/>
      <c r="M481" s="207"/>
      <c r="N481" s="204"/>
      <c r="O481" s="124">
        <v>64.55</v>
      </c>
      <c r="P481" s="125">
        <v>7.54</v>
      </c>
      <c r="Q481" s="126">
        <v>11</v>
      </c>
      <c r="R481" s="97">
        <v>388</v>
      </c>
      <c r="S481" s="125">
        <v>127</v>
      </c>
      <c r="T481" s="97"/>
      <c r="U481" s="124">
        <v>63.2</v>
      </c>
      <c r="V481" s="125">
        <v>16.899999999999999</v>
      </c>
      <c r="W481" s="126">
        <v>11</v>
      </c>
      <c r="X481" s="13"/>
      <c r="Y481" s="13"/>
      <c r="Z481" s="13"/>
      <c r="AA481" s="13">
        <v>-1</v>
      </c>
      <c r="AB481" s="43">
        <f>((U481-O481)/V481)*AA481 * (1-(3/(4*(Q481+W481-2)-1)))</f>
        <v>7.6848176166578963E-2</v>
      </c>
      <c r="AC481" s="128"/>
      <c r="AD481" s="44">
        <v>1</v>
      </c>
      <c r="AE481" s="44"/>
      <c r="AF481" s="118">
        <v>8.83</v>
      </c>
      <c r="AG481" s="13">
        <v>1.7</v>
      </c>
      <c r="AH481" s="13"/>
      <c r="AI481" s="140">
        <v>8.83</v>
      </c>
      <c r="AJ481" s="129">
        <v>1.65</v>
      </c>
      <c r="AK481" s="13"/>
      <c r="AL481" s="13"/>
      <c r="AM481" s="13"/>
      <c r="AN481" s="13"/>
      <c r="AO481" s="1"/>
    </row>
    <row r="482" spans="1:41" s="54" customFormat="1" ht="15.95" customHeight="1" x14ac:dyDescent="0.25">
      <c r="A482" s="11">
        <v>321</v>
      </c>
      <c r="B482" s="13" t="s">
        <v>43</v>
      </c>
      <c r="C482" s="13" t="s">
        <v>35</v>
      </c>
      <c r="D482" s="13" t="s">
        <v>35</v>
      </c>
      <c r="E482" s="36" t="s">
        <v>81</v>
      </c>
      <c r="F482" s="13" t="s">
        <v>108</v>
      </c>
      <c r="G482" s="13">
        <v>1998</v>
      </c>
      <c r="H482" s="11" t="s">
        <v>38</v>
      </c>
      <c r="I482" s="204" t="s">
        <v>39</v>
      </c>
      <c r="J482" s="204" t="s">
        <v>39</v>
      </c>
      <c r="K482" s="204" t="s">
        <v>110</v>
      </c>
      <c r="L482" s="207"/>
      <c r="M482" s="207"/>
      <c r="N482" s="204"/>
      <c r="O482" s="124">
        <v>72.180000000000007</v>
      </c>
      <c r="P482" s="125">
        <v>7.17</v>
      </c>
      <c r="Q482" s="126">
        <v>11</v>
      </c>
      <c r="R482" s="97">
        <v>388</v>
      </c>
      <c r="S482" s="125">
        <v>127</v>
      </c>
      <c r="T482" s="97"/>
      <c r="U482" s="124">
        <v>69.7</v>
      </c>
      <c r="V482" s="125">
        <v>10.5</v>
      </c>
      <c r="W482" s="126">
        <v>11</v>
      </c>
      <c r="X482" s="13"/>
      <c r="Y482" s="13"/>
      <c r="Z482" s="13"/>
      <c r="AA482" s="13">
        <v>-1</v>
      </c>
      <c r="AB482" s="43">
        <f>((U482-O482)/V482)*AA482 * (1-(3/(4*(Q482+W482-2)-1)))</f>
        <v>0.22722121760096481</v>
      </c>
      <c r="AC482" s="128"/>
      <c r="AD482" s="44">
        <v>1</v>
      </c>
      <c r="AE482" s="44"/>
      <c r="AF482" s="118">
        <v>8.83</v>
      </c>
      <c r="AG482" s="13">
        <v>1.7</v>
      </c>
      <c r="AH482" s="13"/>
      <c r="AI482" s="140">
        <v>8.83</v>
      </c>
      <c r="AJ482" s="129">
        <v>1.65</v>
      </c>
      <c r="AK482" s="13"/>
      <c r="AL482" s="13"/>
      <c r="AM482" s="13"/>
      <c r="AN482" s="13"/>
      <c r="AO482" s="1"/>
    </row>
    <row r="483" spans="1:41" s="54" customFormat="1" ht="15.95" customHeight="1" x14ac:dyDescent="0.25">
      <c r="A483" s="11">
        <v>320</v>
      </c>
      <c r="B483" s="13" t="s">
        <v>43</v>
      </c>
      <c r="C483" s="13" t="s">
        <v>35</v>
      </c>
      <c r="D483" s="13" t="s">
        <v>35</v>
      </c>
      <c r="E483" s="36" t="s">
        <v>81</v>
      </c>
      <c r="F483" s="13" t="s">
        <v>108</v>
      </c>
      <c r="G483" s="13">
        <v>1998</v>
      </c>
      <c r="H483" s="11" t="s">
        <v>38</v>
      </c>
      <c r="I483" s="204" t="s">
        <v>41</v>
      </c>
      <c r="J483" s="204" t="s">
        <v>41</v>
      </c>
      <c r="K483" s="204" t="s">
        <v>111</v>
      </c>
      <c r="L483" s="207"/>
      <c r="M483" s="207"/>
      <c r="N483" s="204"/>
      <c r="O483" s="124">
        <v>509</v>
      </c>
      <c r="P483" s="125">
        <v>72</v>
      </c>
      <c r="Q483" s="126">
        <v>11</v>
      </c>
      <c r="R483" s="97">
        <v>388</v>
      </c>
      <c r="S483" s="125">
        <v>127</v>
      </c>
      <c r="T483" s="97"/>
      <c r="U483" s="124">
        <v>481</v>
      </c>
      <c r="V483" s="125">
        <v>14</v>
      </c>
      <c r="W483" s="126">
        <v>11</v>
      </c>
      <c r="X483" s="13"/>
      <c r="Y483" s="13"/>
      <c r="Z483" s="13"/>
      <c r="AA483" s="13">
        <v>1</v>
      </c>
      <c r="AB483" s="43">
        <f>((U483-O483)/V483)*AA483 * (1-(3/(4*(Q483+W483-2)-1)))</f>
        <v>-1.9240506329113924</v>
      </c>
      <c r="AC483" s="128"/>
      <c r="AD483" s="44">
        <v>1</v>
      </c>
      <c r="AE483" s="44"/>
      <c r="AF483" s="118">
        <v>8.83</v>
      </c>
      <c r="AG483" s="13">
        <v>1.7</v>
      </c>
      <c r="AH483" s="13"/>
      <c r="AI483" s="140">
        <v>8.83</v>
      </c>
      <c r="AJ483" s="129">
        <v>1.65</v>
      </c>
      <c r="AK483" s="13"/>
      <c r="AL483" s="13"/>
      <c r="AM483" s="13"/>
      <c r="AN483" s="13"/>
      <c r="AO483" s="1"/>
    </row>
    <row r="484" spans="1:41" s="45" customFormat="1" ht="15.95" customHeight="1" x14ac:dyDescent="0.25">
      <c r="A484" s="11">
        <v>322</v>
      </c>
      <c r="B484" s="13" t="s">
        <v>43</v>
      </c>
      <c r="C484" s="13" t="s">
        <v>35</v>
      </c>
      <c r="D484" s="13" t="s">
        <v>35</v>
      </c>
      <c r="E484" s="36" t="s">
        <v>81</v>
      </c>
      <c r="F484" s="13" t="s">
        <v>108</v>
      </c>
      <c r="G484" s="13">
        <v>1998</v>
      </c>
      <c r="H484" s="11" t="s">
        <v>38</v>
      </c>
      <c r="I484" s="204" t="s">
        <v>41</v>
      </c>
      <c r="J484" s="204" t="s">
        <v>41</v>
      </c>
      <c r="K484" s="204" t="s">
        <v>110</v>
      </c>
      <c r="L484" s="207"/>
      <c r="M484" s="207"/>
      <c r="N484" s="204"/>
      <c r="O484" s="124">
        <v>499</v>
      </c>
      <c r="P484" s="125">
        <v>81</v>
      </c>
      <c r="Q484" s="126">
        <v>11</v>
      </c>
      <c r="R484" s="97">
        <v>388</v>
      </c>
      <c r="S484" s="125">
        <v>127</v>
      </c>
      <c r="T484" s="97"/>
      <c r="U484" s="124">
        <v>462</v>
      </c>
      <c r="V484" s="125">
        <v>92</v>
      </c>
      <c r="W484" s="126">
        <v>11</v>
      </c>
      <c r="X484" s="13"/>
      <c r="Y484" s="13"/>
      <c r="Z484" s="13"/>
      <c r="AA484" s="13">
        <v>1</v>
      </c>
      <c r="AB484" s="43">
        <f>((U484-O484)/V484)*AA484 * (1-(3/(4*(Q484+W484-2)-1)))</f>
        <v>-0.38690148596587781</v>
      </c>
      <c r="AC484" s="128"/>
      <c r="AD484" s="44">
        <v>1</v>
      </c>
      <c r="AE484" s="44"/>
      <c r="AF484" s="118">
        <v>8.83</v>
      </c>
      <c r="AG484" s="13">
        <v>1.7</v>
      </c>
      <c r="AH484" s="13"/>
      <c r="AI484" s="140">
        <v>8.83</v>
      </c>
      <c r="AJ484" s="129">
        <v>1.65</v>
      </c>
      <c r="AK484" s="13"/>
      <c r="AL484" s="13"/>
      <c r="AM484" s="13"/>
      <c r="AN484" s="13"/>
      <c r="AO484" s="1"/>
    </row>
    <row r="485" spans="1:41" s="54" customFormat="1" ht="15.95" customHeight="1" x14ac:dyDescent="0.25">
      <c r="A485" s="11">
        <v>309</v>
      </c>
      <c r="B485" s="13" t="s">
        <v>43</v>
      </c>
      <c r="C485" s="13" t="s">
        <v>35</v>
      </c>
      <c r="D485" s="13" t="s">
        <v>35</v>
      </c>
      <c r="E485" s="36" t="s">
        <v>81</v>
      </c>
      <c r="F485" s="11" t="s">
        <v>46</v>
      </c>
      <c r="G485" s="13">
        <v>2008</v>
      </c>
      <c r="H485" s="103" t="s">
        <v>328</v>
      </c>
      <c r="I485" s="203"/>
      <c r="J485" s="203"/>
      <c r="K485" s="218" t="s">
        <v>328</v>
      </c>
      <c r="L485" s="207"/>
      <c r="M485" s="207"/>
      <c r="N485" s="204"/>
      <c r="O485" s="146">
        <v>3.27</v>
      </c>
      <c r="P485" s="125">
        <v>1.1489125293076057</v>
      </c>
      <c r="Q485" s="126">
        <v>33</v>
      </c>
      <c r="R485" s="97"/>
      <c r="S485" s="125"/>
      <c r="T485" s="97"/>
      <c r="U485" s="146">
        <v>3.88</v>
      </c>
      <c r="V485" s="125">
        <v>1.1661903789690602</v>
      </c>
      <c r="W485" s="126">
        <v>34</v>
      </c>
      <c r="X485" s="13"/>
      <c r="Y485" s="13"/>
      <c r="Z485" s="13"/>
      <c r="AA485" s="13">
        <v>-1</v>
      </c>
      <c r="AB485" s="43">
        <f>((U485-O485)/V485)*AA485 * (1-(3/(4*(Q485+W485-2)-1)))</f>
        <v>-0.51701195088521568</v>
      </c>
      <c r="AC485" s="128"/>
      <c r="AD485" s="44">
        <v>1</v>
      </c>
      <c r="AE485" s="44"/>
      <c r="AF485" s="13">
        <v>11.18</v>
      </c>
      <c r="AG485" s="129">
        <v>3.4</v>
      </c>
      <c r="AH485" s="129"/>
      <c r="AI485" s="147">
        <v>10.29</v>
      </c>
      <c r="AJ485" s="129">
        <v>3.1</v>
      </c>
      <c r="AK485" s="13"/>
      <c r="AL485" s="13"/>
      <c r="AM485" s="13"/>
      <c r="AN485" s="13"/>
      <c r="AO485" s="1"/>
    </row>
    <row r="486" spans="1:41" s="84" customFormat="1" ht="15.95" customHeight="1" x14ac:dyDescent="0.25">
      <c r="A486" s="11">
        <v>304</v>
      </c>
      <c r="B486" s="13" t="s">
        <v>43</v>
      </c>
      <c r="C486" s="13" t="s">
        <v>35</v>
      </c>
      <c r="D486" s="13" t="s">
        <v>35</v>
      </c>
      <c r="E486" s="36" t="s">
        <v>81</v>
      </c>
      <c r="F486" s="11" t="s">
        <v>46</v>
      </c>
      <c r="G486" s="13">
        <v>2008</v>
      </c>
      <c r="H486" s="103" t="s">
        <v>330</v>
      </c>
      <c r="I486" s="203"/>
      <c r="J486" s="203"/>
      <c r="K486" s="204" t="s">
        <v>330</v>
      </c>
      <c r="L486" s="207"/>
      <c r="M486" s="207"/>
      <c r="N486" s="204"/>
      <c r="O486" s="146">
        <v>5.32</v>
      </c>
      <c r="P486" s="125">
        <v>1.1489125293076057</v>
      </c>
      <c r="Q486" s="126">
        <v>33</v>
      </c>
      <c r="R486" s="97"/>
      <c r="S486" s="125"/>
      <c r="T486" s="97"/>
      <c r="U486" s="146">
        <v>5.56</v>
      </c>
      <c r="V486" s="125">
        <v>1.1661903789690602</v>
      </c>
      <c r="W486" s="126">
        <v>34</v>
      </c>
      <c r="X486" s="13"/>
      <c r="Y486" s="13"/>
      <c r="Z486" s="13"/>
      <c r="AA486" s="13">
        <v>-1</v>
      </c>
      <c r="AB486" s="43">
        <f>((U486-O486)/V486)*AA486 * (1-(3/(4*(Q486+W486-2)-1)))</f>
        <v>-0.20341453805319909</v>
      </c>
      <c r="AC486" s="128"/>
      <c r="AD486" s="44">
        <v>1</v>
      </c>
      <c r="AE486" s="44"/>
      <c r="AF486" s="13">
        <v>11.18</v>
      </c>
      <c r="AG486" s="129">
        <v>3.4</v>
      </c>
      <c r="AH486" s="129"/>
      <c r="AI486" s="147">
        <v>10.29</v>
      </c>
      <c r="AJ486" s="129">
        <v>3.1</v>
      </c>
      <c r="AK486" s="13"/>
      <c r="AL486" s="13"/>
      <c r="AM486" s="13"/>
      <c r="AN486" s="13"/>
      <c r="AO486" s="11"/>
    </row>
    <row r="487" spans="1:41" s="54" customFormat="1" ht="15.95" customHeight="1" x14ac:dyDescent="0.25">
      <c r="A487" s="11">
        <v>310</v>
      </c>
      <c r="B487" s="13" t="s">
        <v>43</v>
      </c>
      <c r="C487" s="13" t="s">
        <v>35</v>
      </c>
      <c r="D487" s="13" t="s">
        <v>35</v>
      </c>
      <c r="E487" s="36" t="s">
        <v>81</v>
      </c>
      <c r="F487" s="13" t="s">
        <v>386</v>
      </c>
      <c r="G487" s="13">
        <v>2018</v>
      </c>
      <c r="H487" s="103" t="s">
        <v>328</v>
      </c>
      <c r="I487" s="203"/>
      <c r="J487" s="203"/>
      <c r="K487" s="218" t="s">
        <v>328</v>
      </c>
      <c r="L487" s="207"/>
      <c r="M487" s="207"/>
      <c r="N487" s="204"/>
      <c r="O487" s="124">
        <v>3.5</v>
      </c>
      <c r="P487" s="125">
        <v>0.5</v>
      </c>
      <c r="Q487" s="126">
        <v>11</v>
      </c>
      <c r="R487" s="86">
        <v>743.18</v>
      </c>
      <c r="S487" s="138">
        <v>83.66</v>
      </c>
      <c r="T487" s="97"/>
      <c r="U487" s="124">
        <v>4.3</v>
      </c>
      <c r="V487" s="125">
        <v>0.8</v>
      </c>
      <c r="W487" s="126">
        <v>28</v>
      </c>
      <c r="X487" s="13"/>
      <c r="Y487" s="13"/>
      <c r="Z487" s="13"/>
      <c r="AA487" s="13">
        <v>-1</v>
      </c>
      <c r="AB487" s="43">
        <f>((U487-O487)/V487)*AA487 * (1-(3/(4*(Q487+W487-2)-1)))</f>
        <v>-0.97959183673469363</v>
      </c>
      <c r="AC487" s="128"/>
      <c r="AD487" s="44">
        <v>1</v>
      </c>
      <c r="AE487" s="44"/>
      <c r="AF487" s="140">
        <f>156/12</f>
        <v>13</v>
      </c>
      <c r="AG487" s="140">
        <f>29.8/12</f>
        <v>2.4833333333333334</v>
      </c>
      <c r="AH487" s="140"/>
      <c r="AI487" s="139">
        <f>142/12</f>
        <v>11.833333333333334</v>
      </c>
      <c r="AJ487" s="139">
        <f>29.5/12</f>
        <v>2.4583333333333335</v>
      </c>
      <c r="AK487" s="13"/>
      <c r="AL487" s="13"/>
      <c r="AM487" s="13"/>
      <c r="AN487" s="13"/>
      <c r="AO487" s="1"/>
    </row>
    <row r="488" spans="1:41" s="54" customFormat="1" ht="15.95" customHeight="1" x14ac:dyDescent="0.25">
      <c r="A488" s="11">
        <v>305</v>
      </c>
      <c r="B488" s="13" t="s">
        <v>43</v>
      </c>
      <c r="C488" s="13" t="s">
        <v>35</v>
      </c>
      <c r="D488" s="13" t="s">
        <v>35</v>
      </c>
      <c r="E488" s="36" t="s">
        <v>81</v>
      </c>
      <c r="F488" s="13" t="s">
        <v>386</v>
      </c>
      <c r="G488" s="13">
        <v>2018</v>
      </c>
      <c r="H488" s="103" t="s">
        <v>330</v>
      </c>
      <c r="I488" s="203"/>
      <c r="J488" s="203"/>
      <c r="K488" s="204" t="s">
        <v>330</v>
      </c>
      <c r="L488" s="207"/>
      <c r="M488" s="207"/>
      <c r="N488" s="204"/>
      <c r="O488" s="124">
        <v>5.4</v>
      </c>
      <c r="P488" s="125">
        <v>0.5</v>
      </c>
      <c r="Q488" s="126">
        <v>11</v>
      </c>
      <c r="R488" s="86">
        <v>743.18</v>
      </c>
      <c r="S488" s="138">
        <v>83.66</v>
      </c>
      <c r="T488" s="97"/>
      <c r="U488" s="124">
        <v>5.9</v>
      </c>
      <c r="V488" s="125">
        <v>0.8</v>
      </c>
      <c r="W488" s="126">
        <v>28</v>
      </c>
      <c r="X488" s="13"/>
      <c r="Y488" s="13"/>
      <c r="Z488" s="13"/>
      <c r="AA488" s="13">
        <v>-1</v>
      </c>
      <c r="AB488" s="43">
        <f>((U488-O488)/V488)*AA488 * (1-(3/(4*(Q488+W488-2)-1)))</f>
        <v>-0.61224489795918369</v>
      </c>
      <c r="AC488" s="128"/>
      <c r="AD488" s="44">
        <v>1</v>
      </c>
      <c r="AE488" s="44"/>
      <c r="AF488" s="140">
        <f>156/12</f>
        <v>13</v>
      </c>
      <c r="AG488" s="140">
        <f>29.8/12</f>
        <v>2.4833333333333334</v>
      </c>
      <c r="AH488" s="140"/>
      <c r="AI488" s="139">
        <f>142/12</f>
        <v>11.833333333333334</v>
      </c>
      <c r="AJ488" s="139">
        <f>29.5/12</f>
        <v>2.4583333333333335</v>
      </c>
      <c r="AK488" s="13"/>
      <c r="AL488" s="13"/>
      <c r="AM488" s="13"/>
      <c r="AN488" s="13"/>
      <c r="AO488" s="11"/>
    </row>
    <row r="489" spans="1:41" s="54" customFormat="1" ht="15.95" customHeight="1" x14ac:dyDescent="0.25">
      <c r="A489" s="11">
        <v>306</v>
      </c>
      <c r="B489" s="13" t="s">
        <v>43</v>
      </c>
      <c r="C489" s="13" t="s">
        <v>35</v>
      </c>
      <c r="D489" s="13" t="s">
        <v>35</v>
      </c>
      <c r="E489" s="36" t="s">
        <v>81</v>
      </c>
      <c r="F489" s="13" t="s">
        <v>108</v>
      </c>
      <c r="G489" s="13">
        <v>1998</v>
      </c>
      <c r="H489" s="103" t="s">
        <v>330</v>
      </c>
      <c r="I489" s="203"/>
      <c r="J489" s="203"/>
      <c r="K489" s="204" t="s">
        <v>330</v>
      </c>
      <c r="L489" s="207"/>
      <c r="M489" s="207"/>
      <c r="N489" s="204"/>
      <c r="O489" s="124">
        <v>18.45</v>
      </c>
      <c r="P489" s="125">
        <v>4.7</v>
      </c>
      <c r="Q489" s="126">
        <v>11</v>
      </c>
      <c r="R489" s="97">
        <v>388</v>
      </c>
      <c r="S489" s="125">
        <v>127</v>
      </c>
      <c r="T489" s="97"/>
      <c r="U489" s="124">
        <v>20.91</v>
      </c>
      <c r="V489" s="125">
        <v>4.6399999999999997</v>
      </c>
      <c r="W489" s="126">
        <v>11</v>
      </c>
      <c r="X489" s="13"/>
      <c r="Y489" s="13"/>
      <c r="Z489" s="13"/>
      <c r="AA489" s="13">
        <v>-1</v>
      </c>
      <c r="AB489" s="43">
        <f>((U489-O489)/V489)*AA489 * (1-(3/(4*(Q489+W489-2)-1)))</f>
        <v>-0.5100392841553909</v>
      </c>
      <c r="AC489" s="128"/>
      <c r="AD489" s="44">
        <v>1</v>
      </c>
      <c r="AE489" s="44"/>
      <c r="AF489" s="118">
        <v>8.83</v>
      </c>
      <c r="AG489" s="13">
        <v>1.7</v>
      </c>
      <c r="AH489" s="13"/>
      <c r="AI489" s="140">
        <v>8.83</v>
      </c>
      <c r="AJ489" s="129">
        <v>1.65</v>
      </c>
      <c r="AK489" s="13"/>
      <c r="AL489" s="13"/>
      <c r="AM489" s="13"/>
      <c r="AN489" s="13"/>
      <c r="AO489" s="1"/>
    </row>
    <row r="490" spans="1:41" s="84" customFormat="1" ht="15.95" customHeight="1" x14ac:dyDescent="0.25">
      <c r="A490" s="11">
        <v>325</v>
      </c>
      <c r="B490" s="13" t="s">
        <v>43</v>
      </c>
      <c r="C490" s="13" t="s">
        <v>35</v>
      </c>
      <c r="D490" s="13" t="s">
        <v>35</v>
      </c>
      <c r="E490" s="36" t="s">
        <v>81</v>
      </c>
      <c r="F490" s="13" t="s">
        <v>720</v>
      </c>
      <c r="G490" s="13">
        <v>2020</v>
      </c>
      <c r="H490" s="13" t="s">
        <v>733</v>
      </c>
      <c r="I490" s="204"/>
      <c r="J490" s="204"/>
      <c r="K490" s="204"/>
      <c r="L490" s="207"/>
      <c r="M490" s="204"/>
      <c r="N490" s="204" t="s">
        <v>723</v>
      </c>
      <c r="O490" s="124">
        <v>94</v>
      </c>
      <c r="P490" s="125">
        <f>(136-79)/4</f>
        <v>14.25</v>
      </c>
      <c r="Q490" s="126">
        <v>15</v>
      </c>
      <c r="R490" s="41">
        <v>289</v>
      </c>
      <c r="S490" s="39">
        <v>82.8</v>
      </c>
      <c r="T490" s="97"/>
      <c r="U490" s="124">
        <v>103</v>
      </c>
      <c r="V490" s="125">
        <v>12.75</v>
      </c>
      <c r="W490" s="126">
        <v>14</v>
      </c>
      <c r="X490" s="127"/>
      <c r="Y490" s="13"/>
      <c r="Z490" s="13"/>
      <c r="AA490" s="13">
        <v>-1</v>
      </c>
      <c r="AB490" s="43">
        <f>((U490-O490)/V490)*AA490 * (1-(3/(4*(Q490+W490-2)-1)))</f>
        <v>-0.68609125893348</v>
      </c>
      <c r="AC490" s="128"/>
      <c r="AD490" s="44">
        <v>1</v>
      </c>
      <c r="AE490" s="44"/>
      <c r="AF490" s="13"/>
      <c r="AG490" s="13"/>
      <c r="AH490" s="13"/>
      <c r="AI490" s="129"/>
      <c r="AJ490" s="129"/>
      <c r="AK490" s="13"/>
      <c r="AL490" s="13"/>
      <c r="AM490" s="13"/>
      <c r="AN490" s="13"/>
      <c r="AO490" s="1"/>
    </row>
    <row r="491" spans="1:41" s="54" customFormat="1" ht="15.95" customHeight="1" x14ac:dyDescent="0.25">
      <c r="A491" s="11">
        <v>324</v>
      </c>
      <c r="B491" s="13" t="s">
        <v>43</v>
      </c>
      <c r="C491" s="13" t="s">
        <v>35</v>
      </c>
      <c r="D491" s="13" t="s">
        <v>35</v>
      </c>
      <c r="E491" s="36" t="s">
        <v>81</v>
      </c>
      <c r="F491" s="13" t="s">
        <v>750</v>
      </c>
      <c r="G491" s="13">
        <v>1995</v>
      </c>
      <c r="H491" s="123" t="s">
        <v>757</v>
      </c>
      <c r="I491" s="207"/>
      <c r="J491" s="207"/>
      <c r="K491" s="204"/>
      <c r="L491" s="207"/>
      <c r="M491" s="207"/>
      <c r="N491" s="204"/>
      <c r="O491" s="124">
        <v>10.199999999999999</v>
      </c>
      <c r="P491" s="125">
        <v>2.2000000000000002</v>
      </c>
      <c r="Q491" s="148">
        <v>20</v>
      </c>
      <c r="R491" s="97">
        <v>583</v>
      </c>
      <c r="S491" s="125">
        <v>377</v>
      </c>
      <c r="T491" s="97"/>
      <c r="U491" s="124">
        <v>11</v>
      </c>
      <c r="V491" s="125">
        <v>2.8</v>
      </c>
      <c r="W491" s="126">
        <v>20</v>
      </c>
      <c r="X491" s="13"/>
      <c r="Y491" s="13"/>
      <c r="Z491" s="13"/>
      <c r="AA491" s="13">
        <v>-1</v>
      </c>
      <c r="AB491" s="43">
        <f>((U491-O491)/V491)*AA491 * (1-(3/(4*(Q491+W491-2)-1)))</f>
        <v>-0.28003784295175049</v>
      </c>
      <c r="AC491" s="128"/>
      <c r="AD491" s="44">
        <v>1</v>
      </c>
      <c r="AE491" s="44"/>
      <c r="AF491" s="129">
        <f>131/12</f>
        <v>10.916666666666666</v>
      </c>
      <c r="AG491" s="129">
        <v>1.3</v>
      </c>
      <c r="AH491" s="129"/>
      <c r="AI491" s="129">
        <v>11</v>
      </c>
      <c r="AJ491" s="129">
        <v>1.1000000000000001</v>
      </c>
      <c r="AK491" s="13"/>
      <c r="AL491" s="13"/>
      <c r="AM491" s="13"/>
      <c r="AN491" s="13"/>
      <c r="AO491" s="98"/>
    </row>
    <row r="492" spans="1:41" s="54" customFormat="1" ht="15.95" customHeight="1" x14ac:dyDescent="0.25">
      <c r="A492" s="11">
        <v>382</v>
      </c>
      <c r="B492" s="1" t="s">
        <v>34</v>
      </c>
      <c r="C492" s="14" t="s">
        <v>372</v>
      </c>
      <c r="D492" s="14" t="s">
        <v>372</v>
      </c>
      <c r="E492" s="36" t="s">
        <v>36</v>
      </c>
      <c r="F492" s="14" t="s">
        <v>406</v>
      </c>
      <c r="G492" s="1">
        <v>2004</v>
      </c>
      <c r="H492" s="11" t="s">
        <v>373</v>
      </c>
      <c r="I492" s="204"/>
      <c r="J492" s="204"/>
      <c r="K492" s="221" t="s">
        <v>413</v>
      </c>
      <c r="L492" s="222"/>
      <c r="M492" s="220"/>
      <c r="N492" s="220"/>
      <c r="O492" s="74">
        <v>63.33</v>
      </c>
      <c r="P492" s="60">
        <v>19.059999999999999</v>
      </c>
      <c r="Q492" s="91">
        <v>20</v>
      </c>
      <c r="R492" s="59">
        <v>858.5</v>
      </c>
      <c r="S492" s="60"/>
      <c r="T492" s="59"/>
      <c r="U492" s="74">
        <v>70.63</v>
      </c>
      <c r="V492" s="92">
        <v>18.579999999999998</v>
      </c>
      <c r="W492" s="91">
        <v>20</v>
      </c>
      <c r="X492" s="14"/>
      <c r="Y492" s="55">
        <f>(U492-O492)/SQRT((V492^2+P492^2)/2)</f>
        <v>0.38785369270415399</v>
      </c>
      <c r="Z492" s="55"/>
      <c r="AA492" s="14">
        <v>-1</v>
      </c>
      <c r="AB492" s="43">
        <f>((U492-O492)/V492)*AA492 * (1-(3/(4*(Q492+W492-2)-1)))</f>
        <v>-0.3850897140698179</v>
      </c>
      <c r="AC492" s="61"/>
      <c r="AD492" s="44">
        <v>1</v>
      </c>
      <c r="AE492" s="44"/>
      <c r="AF492" s="14"/>
      <c r="AG492" s="14"/>
      <c r="AH492" s="1"/>
      <c r="AI492" s="62"/>
      <c r="AJ492" s="62"/>
      <c r="AK492" s="14">
        <v>2</v>
      </c>
      <c r="AL492" s="14" t="s">
        <v>68</v>
      </c>
      <c r="AM492" s="1" t="s">
        <v>69</v>
      </c>
      <c r="AN492" s="14" t="s">
        <v>68</v>
      </c>
      <c r="AO492" s="11"/>
    </row>
    <row r="493" spans="1:41" s="54" customFormat="1" ht="15.95" customHeight="1" x14ac:dyDescent="0.25">
      <c r="A493" s="11">
        <v>390</v>
      </c>
      <c r="B493" s="1" t="s">
        <v>34</v>
      </c>
      <c r="C493" s="14" t="s">
        <v>372</v>
      </c>
      <c r="D493" s="14" t="s">
        <v>372</v>
      </c>
      <c r="E493" s="36" t="s">
        <v>36</v>
      </c>
      <c r="F493" s="14" t="s">
        <v>406</v>
      </c>
      <c r="G493" s="1">
        <v>2004</v>
      </c>
      <c r="H493" s="11" t="s">
        <v>414</v>
      </c>
      <c r="I493" s="204"/>
      <c r="J493" s="204"/>
      <c r="K493" s="221" t="s">
        <v>415</v>
      </c>
      <c r="L493" s="222"/>
      <c r="M493" s="220"/>
      <c r="N493" s="220"/>
      <c r="O493" s="74">
        <v>58.75</v>
      </c>
      <c r="P493" s="60">
        <v>4.3499999999999996</v>
      </c>
      <c r="Q493" s="91">
        <v>20</v>
      </c>
      <c r="R493" s="59">
        <v>858.5</v>
      </c>
      <c r="S493" s="60"/>
      <c r="T493" s="59"/>
      <c r="U493" s="74">
        <v>59.86</v>
      </c>
      <c r="V493" s="92">
        <v>5.0599999999999996</v>
      </c>
      <c r="W493" s="91">
        <v>20</v>
      </c>
      <c r="X493" s="14"/>
      <c r="Y493" s="55">
        <f>(U493-O493)/SQRT((V493^2+P493^2)/2)</f>
        <v>0.23525055026796488</v>
      </c>
      <c r="Z493" s="55"/>
      <c r="AA493" s="14">
        <v>-1</v>
      </c>
      <c r="AB493" s="43">
        <f>((U493-O493)/V493)*AA493 * (1-(3/(4*(Q493+W493-2)-1)))</f>
        <v>-0.21500929246394251</v>
      </c>
      <c r="AC493" s="61"/>
      <c r="AD493" s="44">
        <v>1</v>
      </c>
      <c r="AE493" s="44"/>
      <c r="AF493" s="14"/>
      <c r="AG493" s="14"/>
      <c r="AH493" s="1"/>
      <c r="AI493" s="62"/>
      <c r="AJ493" s="62"/>
      <c r="AK493" s="14">
        <v>2</v>
      </c>
      <c r="AL493" s="14" t="s">
        <v>68</v>
      </c>
      <c r="AM493" s="1" t="s">
        <v>69</v>
      </c>
      <c r="AN493" s="14" t="s">
        <v>68</v>
      </c>
      <c r="AO493" s="13"/>
    </row>
    <row r="494" spans="1:41" s="54" customFormat="1" ht="15.95" customHeight="1" x14ac:dyDescent="0.25">
      <c r="A494" s="11">
        <v>394</v>
      </c>
      <c r="B494" s="1" t="s">
        <v>34</v>
      </c>
      <c r="C494" s="14" t="s">
        <v>372</v>
      </c>
      <c r="D494" s="14" t="s">
        <v>372</v>
      </c>
      <c r="E494" s="36" t="s">
        <v>36</v>
      </c>
      <c r="F494" s="14" t="s">
        <v>547</v>
      </c>
      <c r="G494" s="1">
        <v>2007</v>
      </c>
      <c r="H494" s="11" t="s">
        <v>563</v>
      </c>
      <c r="I494" s="204"/>
      <c r="J494" s="204"/>
      <c r="K494" s="221" t="s">
        <v>564</v>
      </c>
      <c r="L494" s="222"/>
      <c r="M494" s="220"/>
      <c r="N494" s="220"/>
      <c r="O494" s="74">
        <v>95</v>
      </c>
      <c r="P494" s="60">
        <v>13.9</v>
      </c>
      <c r="Q494" s="91">
        <v>12</v>
      </c>
      <c r="R494" s="69" t="s">
        <v>117</v>
      </c>
      <c r="S494" s="70"/>
      <c r="T494" s="69"/>
      <c r="U494" s="74">
        <v>97</v>
      </c>
      <c r="V494" s="92">
        <v>2.9</v>
      </c>
      <c r="W494" s="91">
        <v>12</v>
      </c>
      <c r="X494" s="14"/>
      <c r="Y494" s="55">
        <f>(U494-O494)/SQRT((V494^2+P494^2)/2)</f>
        <v>0.19919488776864575</v>
      </c>
      <c r="Z494" s="55"/>
      <c r="AA494" s="14">
        <v>-1</v>
      </c>
      <c r="AB494" s="43">
        <f>((U494-O494)/V494)*AA494 * (1-(3/(4*(Q494+W494-2)-1)))</f>
        <v>-0.66587395957193829</v>
      </c>
      <c r="AC494" s="61"/>
      <c r="AD494" s="44">
        <v>1</v>
      </c>
      <c r="AE494" s="44"/>
      <c r="AF494" s="14"/>
      <c r="AG494" s="14"/>
      <c r="AH494" s="1"/>
      <c r="AI494" s="62"/>
      <c r="AJ494" s="62"/>
      <c r="AK494" s="71">
        <v>1</v>
      </c>
      <c r="AL494" s="71" t="s">
        <v>549</v>
      </c>
      <c r="AM494" s="71" t="s">
        <v>93</v>
      </c>
      <c r="AN494" s="14" t="s">
        <v>118</v>
      </c>
      <c r="AO494" s="1"/>
    </row>
    <row r="495" spans="1:41" s="54" customFormat="1" ht="15.95" customHeight="1" x14ac:dyDescent="0.25">
      <c r="A495" s="11">
        <v>383</v>
      </c>
      <c r="B495" s="1" t="s">
        <v>34</v>
      </c>
      <c r="C495" s="14" t="s">
        <v>372</v>
      </c>
      <c r="D495" s="14" t="s">
        <v>372</v>
      </c>
      <c r="E495" s="36" t="s">
        <v>36</v>
      </c>
      <c r="F495" s="14" t="s">
        <v>588</v>
      </c>
      <c r="G495" s="1">
        <v>2015</v>
      </c>
      <c r="H495" s="11" t="s">
        <v>373</v>
      </c>
      <c r="I495" s="204"/>
      <c r="J495" s="204"/>
      <c r="K495" s="221" t="s">
        <v>593</v>
      </c>
      <c r="L495" s="222"/>
      <c r="M495" s="220"/>
      <c r="N495" s="220"/>
      <c r="O495" s="74">
        <v>44.64</v>
      </c>
      <c r="P495" s="60">
        <v>37.18</v>
      </c>
      <c r="Q495" s="91">
        <v>14</v>
      </c>
      <c r="R495" s="69" t="s">
        <v>117</v>
      </c>
      <c r="S495" s="70"/>
      <c r="T495" s="69"/>
      <c r="U495" s="74">
        <v>57.14</v>
      </c>
      <c r="V495" s="92">
        <v>35.01</v>
      </c>
      <c r="W495" s="91">
        <v>14</v>
      </c>
      <c r="X495" s="14"/>
      <c r="Y495" s="55">
        <f>(U495-O495)/SQRT((V495^2+P495^2)/2)</f>
        <v>0.3461520006975074</v>
      </c>
      <c r="Z495" s="55"/>
      <c r="AA495" s="14">
        <v>-1</v>
      </c>
      <c r="AB495" s="43">
        <f>((U495-O495)/V495)*AA495 * (1-(3/(4*(Q495+W495-2)-1)))</f>
        <v>-0.34664159754633211</v>
      </c>
      <c r="AC495" s="61"/>
      <c r="AD495" s="44">
        <v>1</v>
      </c>
      <c r="AE495" s="44"/>
      <c r="AF495" s="14"/>
      <c r="AG495" s="14"/>
      <c r="AH495" s="1"/>
      <c r="AI495" s="62"/>
      <c r="AJ495" s="62"/>
      <c r="AK495" s="71">
        <v>3</v>
      </c>
      <c r="AL495" s="71" t="s">
        <v>591</v>
      </c>
      <c r="AM495" s="1" t="s">
        <v>69</v>
      </c>
      <c r="AN495" s="71" t="s">
        <v>591</v>
      </c>
      <c r="AO495" s="11"/>
    </row>
    <row r="496" spans="1:41" s="54" customFormat="1" ht="15.95" customHeight="1" x14ac:dyDescent="0.25">
      <c r="A496" s="11">
        <v>379</v>
      </c>
      <c r="B496" s="1" t="s">
        <v>34</v>
      </c>
      <c r="C496" s="14" t="s">
        <v>372</v>
      </c>
      <c r="D496" s="14" t="s">
        <v>372</v>
      </c>
      <c r="E496" s="36" t="s">
        <v>36</v>
      </c>
      <c r="F496" s="11" t="s">
        <v>148</v>
      </c>
      <c r="G496" s="1">
        <v>2017</v>
      </c>
      <c r="H496" s="11" t="s">
        <v>613</v>
      </c>
      <c r="I496" s="204"/>
      <c r="J496" s="204"/>
      <c r="K496" s="221"/>
      <c r="L496" s="222"/>
      <c r="M496" s="220"/>
      <c r="N496" s="220"/>
      <c r="O496" s="74">
        <v>14.1</v>
      </c>
      <c r="P496" s="60">
        <v>8.5</v>
      </c>
      <c r="Q496" s="91">
        <v>37</v>
      </c>
      <c r="R496" s="59">
        <v>720</v>
      </c>
      <c r="S496" s="60"/>
      <c r="T496" s="59"/>
      <c r="U496" s="74">
        <v>10.5</v>
      </c>
      <c r="V496" s="92">
        <v>8.3000000000000007</v>
      </c>
      <c r="W496" s="91">
        <v>30</v>
      </c>
      <c r="X496" s="14"/>
      <c r="Y496" s="55">
        <f>(U496-O496)/SQRT((V496^2+P496^2)/2)</f>
        <v>-0.42854106250850227</v>
      </c>
      <c r="Z496" s="55"/>
      <c r="AA496" s="14">
        <v>1</v>
      </c>
      <c r="AB496" s="43">
        <f>((U496-O496)/V496)*AA496 * (1-(3/(4*(Q496+W496-2)-1)))</f>
        <v>-0.42871098292785031</v>
      </c>
      <c r="AC496" s="61"/>
      <c r="AD496" s="44">
        <v>1</v>
      </c>
      <c r="AE496" s="44"/>
      <c r="AF496" s="14"/>
      <c r="AG496" s="14"/>
      <c r="AH496" s="1"/>
      <c r="AI496" s="62"/>
      <c r="AJ496" s="62"/>
      <c r="AK496" s="14">
        <v>1</v>
      </c>
      <c r="AL496" s="14" t="s">
        <v>116</v>
      </c>
      <c r="AM496" s="1" t="s">
        <v>69</v>
      </c>
      <c r="AN496" s="14" t="s">
        <v>118</v>
      </c>
      <c r="AO496" s="1"/>
    </row>
    <row r="497" spans="1:41" s="54" customFormat="1" ht="15.95" customHeight="1" x14ac:dyDescent="0.25">
      <c r="A497" s="11">
        <v>381</v>
      </c>
      <c r="B497" s="1" t="s">
        <v>34</v>
      </c>
      <c r="C497" s="14" t="s">
        <v>372</v>
      </c>
      <c r="D497" s="14" t="s">
        <v>372</v>
      </c>
      <c r="E497" s="36" t="s">
        <v>36</v>
      </c>
      <c r="F497" s="11" t="s">
        <v>148</v>
      </c>
      <c r="G497" s="1">
        <v>2017</v>
      </c>
      <c r="H497" s="11" t="s">
        <v>614</v>
      </c>
      <c r="I497" s="204"/>
      <c r="J497" s="204"/>
      <c r="K497" s="221" t="s">
        <v>615</v>
      </c>
      <c r="L497" s="222"/>
      <c r="M497" s="220"/>
      <c r="N497" s="220"/>
      <c r="O497" s="74">
        <v>3.1</v>
      </c>
      <c r="P497" s="60">
        <v>3.82</v>
      </c>
      <c r="Q497" s="91">
        <v>37</v>
      </c>
      <c r="R497" s="59">
        <v>720</v>
      </c>
      <c r="S497" s="60"/>
      <c r="T497" s="59"/>
      <c r="U497" s="74">
        <v>1.9</v>
      </c>
      <c r="V497" s="92">
        <v>1.9</v>
      </c>
      <c r="W497" s="91">
        <v>30</v>
      </c>
      <c r="X497" s="14"/>
      <c r="Y497" s="55">
        <f>(U497-O497)/SQRT((V497^2+P497^2)/2)</f>
        <v>-0.39776990075677027</v>
      </c>
      <c r="Z497" s="55"/>
      <c r="AA497" s="14">
        <v>1</v>
      </c>
      <c r="AB497" s="43">
        <f>((U497-O497)/V497)*AA497 * (1-(3/(4*(Q497+W497-2)-1)))</f>
        <v>-0.62426336110546643</v>
      </c>
      <c r="AC497" s="61"/>
      <c r="AD497" s="44">
        <v>1</v>
      </c>
      <c r="AE497" s="44"/>
      <c r="AF497" s="14"/>
      <c r="AG497" s="14"/>
      <c r="AH497" s="1"/>
      <c r="AI497" s="62"/>
      <c r="AJ497" s="62"/>
      <c r="AK497" s="14">
        <v>1</v>
      </c>
      <c r="AL497" s="14" t="s">
        <v>116</v>
      </c>
      <c r="AM497" s="1" t="s">
        <v>69</v>
      </c>
      <c r="AN497" s="14" t="s">
        <v>118</v>
      </c>
      <c r="AO497" s="13"/>
    </row>
    <row r="498" spans="1:41" s="45" customFormat="1" ht="15.95" customHeight="1" x14ac:dyDescent="0.25">
      <c r="A498" s="11">
        <v>384</v>
      </c>
      <c r="B498" s="1" t="s">
        <v>34</v>
      </c>
      <c r="C498" s="14" t="s">
        <v>372</v>
      </c>
      <c r="D498" s="14" t="s">
        <v>372</v>
      </c>
      <c r="E498" s="36" t="s">
        <v>36</v>
      </c>
      <c r="F498" s="14" t="s">
        <v>670</v>
      </c>
      <c r="G498" s="1">
        <v>2021</v>
      </c>
      <c r="H498" s="11" t="s">
        <v>373</v>
      </c>
      <c r="I498" s="204"/>
      <c r="J498" s="204"/>
      <c r="K498" s="204" t="s">
        <v>676</v>
      </c>
      <c r="L498" s="222"/>
      <c r="M498" s="220"/>
      <c r="N498" s="220"/>
      <c r="O498" s="74">
        <v>21</v>
      </c>
      <c r="P498" s="60">
        <v>11.21</v>
      </c>
      <c r="Q498" s="91">
        <v>19</v>
      </c>
      <c r="R498" s="59">
        <v>890</v>
      </c>
      <c r="S498" s="60"/>
      <c r="T498" s="59"/>
      <c r="U498" s="74">
        <v>30</v>
      </c>
      <c r="V498" s="92">
        <v>3.14</v>
      </c>
      <c r="W498" s="91">
        <v>25</v>
      </c>
      <c r="X498" s="14"/>
      <c r="Y498" s="55">
        <f>(U498-O498)/SQRT((V498^2+P498^2)/2)</f>
        <v>1.0933265191557937</v>
      </c>
      <c r="Z498" s="55"/>
      <c r="AA498" s="14">
        <v>-1</v>
      </c>
      <c r="AB498" s="43">
        <f>((U498-O498)/V498)*AA498 * (1-(3/(4*(Q498+W498-2)-1)))</f>
        <v>-2.8147526602845261</v>
      </c>
      <c r="AC498" s="61"/>
      <c r="AD498" s="44">
        <v>1</v>
      </c>
      <c r="AE498" s="44"/>
      <c r="AF498" s="14"/>
      <c r="AG498" s="14"/>
      <c r="AH498" s="1"/>
      <c r="AI498" s="62"/>
      <c r="AJ498" s="62"/>
      <c r="AK498" s="14">
        <v>2</v>
      </c>
      <c r="AL498" s="14"/>
      <c r="AM498" s="1"/>
      <c r="AN498" s="14"/>
      <c r="AO498" s="11"/>
    </row>
    <row r="499" spans="1:41" s="54" customFormat="1" ht="15.95" customHeight="1" x14ac:dyDescent="0.25">
      <c r="A499" s="11">
        <v>385</v>
      </c>
      <c r="B499" s="1" t="s">
        <v>34</v>
      </c>
      <c r="C499" s="14" t="s">
        <v>372</v>
      </c>
      <c r="D499" s="14" t="s">
        <v>372</v>
      </c>
      <c r="E499" s="36" t="s">
        <v>36</v>
      </c>
      <c r="F499" s="14" t="s">
        <v>680</v>
      </c>
      <c r="G499" s="1">
        <v>1994</v>
      </c>
      <c r="H499" s="11" t="s">
        <v>373</v>
      </c>
      <c r="I499" s="204"/>
      <c r="J499" s="204"/>
      <c r="K499" s="221" t="s">
        <v>683</v>
      </c>
      <c r="L499" s="222"/>
      <c r="M499" s="220"/>
      <c r="N499" s="220"/>
      <c r="O499" s="74">
        <v>64</v>
      </c>
      <c r="P499" s="60">
        <v>10</v>
      </c>
      <c r="Q499" s="91">
        <v>25</v>
      </c>
      <c r="R499" s="59">
        <v>1332</v>
      </c>
      <c r="S499" s="60"/>
      <c r="T499" s="59"/>
      <c r="U499" s="74">
        <v>69</v>
      </c>
      <c r="V499" s="92">
        <v>2</v>
      </c>
      <c r="W499" s="91">
        <v>15</v>
      </c>
      <c r="X499" s="14"/>
      <c r="Y499" s="55">
        <f>(U499-O499)/SQRT((V499^2+P499^2)/2)</f>
        <v>0.69337524528153649</v>
      </c>
      <c r="Z499" s="55"/>
      <c r="AA499" s="14">
        <v>-1</v>
      </c>
      <c r="AB499" s="43">
        <f>((U499-O499)/V499)*AA499 * (1-(3/(4*(Q499+W499-2)-1)))</f>
        <v>-2.4503311258278146</v>
      </c>
      <c r="AC499" s="61"/>
      <c r="AD499" s="44">
        <v>1</v>
      </c>
      <c r="AE499" s="44"/>
      <c r="AF499" s="14"/>
      <c r="AG499" s="14"/>
      <c r="AH499" s="1"/>
      <c r="AI499" s="62"/>
      <c r="AJ499" s="62"/>
      <c r="AK499" s="14">
        <v>2</v>
      </c>
      <c r="AL499" s="14" t="s">
        <v>68</v>
      </c>
      <c r="AM499" s="1" t="s">
        <v>69</v>
      </c>
      <c r="AN499" s="14" t="s">
        <v>68</v>
      </c>
      <c r="AO499" s="11"/>
    </row>
    <row r="500" spans="1:41" s="54" customFormat="1" ht="15.95" customHeight="1" x14ac:dyDescent="0.25">
      <c r="A500" s="11">
        <v>380</v>
      </c>
      <c r="B500" s="1" t="s">
        <v>34</v>
      </c>
      <c r="C500" s="14" t="s">
        <v>372</v>
      </c>
      <c r="D500" s="14" t="s">
        <v>372</v>
      </c>
      <c r="E500" s="36" t="s">
        <v>36</v>
      </c>
      <c r="F500" s="1" t="s">
        <v>228</v>
      </c>
      <c r="G500" s="1">
        <v>2020</v>
      </c>
      <c r="H500" s="11" t="s">
        <v>613</v>
      </c>
      <c r="I500" s="204"/>
      <c r="J500" s="204"/>
      <c r="K500" s="221"/>
      <c r="L500" s="222"/>
      <c r="M500" s="220"/>
      <c r="N500" s="220"/>
      <c r="O500" s="57">
        <v>2.2999999999999998</v>
      </c>
      <c r="P500" s="58">
        <v>2.2000000000000002</v>
      </c>
      <c r="Q500" s="40">
        <v>19</v>
      </c>
      <c r="R500" s="59">
        <v>1042</v>
      </c>
      <c r="S500" s="60"/>
      <c r="T500" s="59"/>
      <c r="U500" s="57">
        <v>1.2</v>
      </c>
      <c r="V500" s="39">
        <v>1.3</v>
      </c>
      <c r="W500" s="40">
        <v>19</v>
      </c>
      <c r="X500" s="1"/>
      <c r="Y500" s="55">
        <f>(U500-O500)/SQRT((V500^2+P500^2)/2)</f>
        <v>-0.60876698620373393</v>
      </c>
      <c r="Z500" s="55"/>
      <c r="AA500" s="14">
        <v>1</v>
      </c>
      <c r="AB500" s="43">
        <f>((U500-O500)/V500)*AA500 * (1-(3/(4*(Q500+W500-2)-1)))</f>
        <v>-0.82840236686390523</v>
      </c>
      <c r="AC500" s="61"/>
      <c r="AD500" s="44">
        <v>1</v>
      </c>
      <c r="AE500" s="44"/>
      <c r="AF500" s="14"/>
      <c r="AG500" s="14"/>
      <c r="AH500" s="1"/>
      <c r="AI500" s="62"/>
      <c r="AJ500" s="62"/>
      <c r="AK500" s="14">
        <v>1</v>
      </c>
      <c r="AL500" s="14" t="s">
        <v>116</v>
      </c>
      <c r="AM500" s="68" t="s">
        <v>117</v>
      </c>
      <c r="AN500" s="14" t="s">
        <v>118</v>
      </c>
      <c r="AO500" s="1"/>
    </row>
    <row r="501" spans="1:41" s="54" customFormat="1" ht="15.95" customHeight="1" x14ac:dyDescent="0.25">
      <c r="A501" s="11">
        <v>386</v>
      </c>
      <c r="B501" s="13" t="s">
        <v>43</v>
      </c>
      <c r="C501" s="14" t="s">
        <v>372</v>
      </c>
      <c r="D501" s="14" t="s">
        <v>372</v>
      </c>
      <c r="E501" s="36" t="s">
        <v>45</v>
      </c>
      <c r="F501" s="13" t="s">
        <v>267</v>
      </c>
      <c r="G501" s="13">
        <v>2003</v>
      </c>
      <c r="H501" s="11" t="s">
        <v>373</v>
      </c>
      <c r="I501" s="204"/>
      <c r="J501" s="204"/>
      <c r="K501" s="204" t="s">
        <v>374</v>
      </c>
      <c r="L501" s="207"/>
      <c r="M501" s="207"/>
      <c r="N501" s="204"/>
      <c r="O501" s="124">
        <v>43.8</v>
      </c>
      <c r="P501" s="125">
        <v>7.5</v>
      </c>
      <c r="Q501" s="126">
        <v>46</v>
      </c>
      <c r="R501" s="86">
        <f>8.1*60.5364</f>
        <v>490.34483999999998</v>
      </c>
      <c r="S501" s="138">
        <f>6.2*60.5364</f>
        <v>375.32568000000003</v>
      </c>
      <c r="T501" s="97"/>
      <c r="U501" s="124">
        <v>49.7</v>
      </c>
      <c r="V501" s="125">
        <v>5.9</v>
      </c>
      <c r="W501" s="126">
        <v>18</v>
      </c>
      <c r="X501" s="13"/>
      <c r="Y501" s="13"/>
      <c r="Z501" s="13"/>
      <c r="AA501" s="13">
        <v>-1</v>
      </c>
      <c r="AB501" s="43">
        <f>((U501-O501)/V501)*AA501 * (1-(3/(4*(Q501+W501-2)-1)))</f>
        <v>-0.98785425101214663</v>
      </c>
      <c r="AC501" s="128"/>
      <c r="AD501" s="44">
        <v>1</v>
      </c>
      <c r="AE501" s="44"/>
      <c r="AF501" s="118">
        <f>129/12</f>
        <v>10.75</v>
      </c>
      <c r="AG501" s="118">
        <v>2.1</v>
      </c>
      <c r="AH501" s="118"/>
      <c r="AI501" s="139">
        <v>13.1</v>
      </c>
      <c r="AJ501" s="139">
        <v>3.2</v>
      </c>
      <c r="AK501" s="13"/>
      <c r="AL501" s="13"/>
      <c r="AM501" s="13"/>
      <c r="AN501" s="13"/>
      <c r="AO501" s="13"/>
    </row>
    <row r="502" spans="1:41" s="84" customFormat="1" ht="15.95" customHeight="1" x14ac:dyDescent="0.25">
      <c r="A502" s="11">
        <v>387</v>
      </c>
      <c r="B502" s="13" t="s">
        <v>43</v>
      </c>
      <c r="C502" s="14" t="s">
        <v>372</v>
      </c>
      <c r="D502" s="14" t="s">
        <v>372</v>
      </c>
      <c r="E502" s="36" t="s">
        <v>45</v>
      </c>
      <c r="F502" s="13" t="s">
        <v>267</v>
      </c>
      <c r="G502" s="13">
        <v>2003</v>
      </c>
      <c r="H502" s="11" t="s">
        <v>373</v>
      </c>
      <c r="I502" s="204"/>
      <c r="J502" s="204"/>
      <c r="K502" s="204" t="s">
        <v>375</v>
      </c>
      <c r="L502" s="207"/>
      <c r="M502" s="207"/>
      <c r="N502" s="204"/>
      <c r="O502" s="124">
        <v>42.7</v>
      </c>
      <c r="P502" s="125">
        <v>8.6999999999999993</v>
      </c>
      <c r="Q502" s="126">
        <v>46</v>
      </c>
      <c r="R502" s="86">
        <f>8.1*60.5364</f>
        <v>490.34483999999998</v>
      </c>
      <c r="S502" s="138">
        <f>6.2*60.5364</f>
        <v>375.32568000000003</v>
      </c>
      <c r="T502" s="97"/>
      <c r="U502" s="124">
        <v>50.3</v>
      </c>
      <c r="V502" s="125">
        <v>8.1999999999999993</v>
      </c>
      <c r="W502" s="126">
        <v>18</v>
      </c>
      <c r="X502" s="13"/>
      <c r="Y502" s="13"/>
      <c r="Z502" s="13"/>
      <c r="AA502" s="13">
        <v>-1</v>
      </c>
      <c r="AB502" s="43">
        <f>((U502-O502)/V502)*AA502 * (1-(3/(4*(Q502+W502-2)-1)))</f>
        <v>-0.91557223264540277</v>
      </c>
      <c r="AC502" s="128"/>
      <c r="AD502" s="44">
        <v>1</v>
      </c>
      <c r="AE502" s="44"/>
      <c r="AF502" s="118">
        <f>129/12</f>
        <v>10.75</v>
      </c>
      <c r="AG502" s="118">
        <v>2.1</v>
      </c>
      <c r="AH502" s="118"/>
      <c r="AI502" s="139">
        <v>13.1</v>
      </c>
      <c r="AJ502" s="139">
        <v>3.2</v>
      </c>
      <c r="AK502" s="13"/>
      <c r="AL502" s="13"/>
      <c r="AM502" s="13"/>
      <c r="AN502" s="13"/>
      <c r="AO502" s="1"/>
    </row>
    <row r="503" spans="1:41" s="45" customFormat="1" ht="15.95" customHeight="1" x14ac:dyDescent="0.25">
      <c r="A503" s="11">
        <v>389</v>
      </c>
      <c r="B503" s="11" t="s">
        <v>43</v>
      </c>
      <c r="C503" s="14" t="s">
        <v>372</v>
      </c>
      <c r="D503" s="14" t="s">
        <v>372</v>
      </c>
      <c r="E503" s="36" t="s">
        <v>45</v>
      </c>
      <c r="F503" s="13" t="s">
        <v>287</v>
      </c>
      <c r="G503" s="13">
        <v>2005</v>
      </c>
      <c r="H503" s="11" t="s">
        <v>373</v>
      </c>
      <c r="I503" s="204"/>
      <c r="J503" s="204"/>
      <c r="K503" s="204" t="s">
        <v>454</v>
      </c>
      <c r="L503" s="207"/>
      <c r="M503" s="207"/>
      <c r="N503" s="204"/>
      <c r="O503" s="38">
        <v>53</v>
      </c>
      <c r="P503" s="39">
        <v>10</v>
      </c>
      <c r="Q503" s="126">
        <v>26</v>
      </c>
      <c r="R503" s="86">
        <f>(449+529)/2</f>
        <v>489</v>
      </c>
      <c r="S503" s="138">
        <f>(220+142)/2</f>
        <v>181</v>
      </c>
      <c r="T503" s="97"/>
      <c r="U503" s="38">
        <v>59</v>
      </c>
      <c r="V503" s="39">
        <v>11</v>
      </c>
      <c r="W503" s="126">
        <v>21</v>
      </c>
      <c r="X503" s="13"/>
      <c r="Y503" s="13"/>
      <c r="Z503" s="13"/>
      <c r="AA503" s="13">
        <v>-1</v>
      </c>
      <c r="AB503" s="43">
        <f>((U503-O503)/V503)*AA503 * (1-(3/(4*(Q503+W503-2)-1)))</f>
        <v>-0.53631284916201116</v>
      </c>
      <c r="AC503" s="128"/>
      <c r="AD503" s="44">
        <v>1</v>
      </c>
      <c r="AE503" s="44"/>
      <c r="AF503" s="118">
        <v>12.3</v>
      </c>
      <c r="AG503" s="118">
        <v>3.7</v>
      </c>
      <c r="AH503" s="118"/>
      <c r="AI503" s="139">
        <v>11.8</v>
      </c>
      <c r="AJ503" s="139">
        <v>3.6</v>
      </c>
      <c r="AK503" s="13"/>
      <c r="AL503" s="13"/>
      <c r="AM503" s="13"/>
      <c r="AN503" s="13"/>
      <c r="AO503" s="1"/>
    </row>
    <row r="504" spans="1:41" s="54" customFormat="1" ht="15.95" customHeight="1" x14ac:dyDescent="0.25">
      <c r="A504" s="11">
        <v>391</v>
      </c>
      <c r="B504" s="13" t="s">
        <v>43</v>
      </c>
      <c r="C504" s="14" t="s">
        <v>372</v>
      </c>
      <c r="D504" s="14" t="s">
        <v>372</v>
      </c>
      <c r="E504" s="36" t="s">
        <v>45</v>
      </c>
      <c r="F504" s="11" t="s">
        <v>292</v>
      </c>
      <c r="G504" s="11">
        <v>1995</v>
      </c>
      <c r="H504" s="11" t="s">
        <v>472</v>
      </c>
      <c r="I504" s="204"/>
      <c r="J504" s="204"/>
      <c r="K504" s="207" t="s">
        <v>473</v>
      </c>
      <c r="L504" s="207"/>
      <c r="M504" s="204"/>
      <c r="N504" s="204"/>
      <c r="O504" s="38">
        <v>10.5</v>
      </c>
      <c r="P504" s="39">
        <v>4.74</v>
      </c>
      <c r="Q504" s="40">
        <v>10</v>
      </c>
      <c r="R504" s="41">
        <v>348</v>
      </c>
      <c r="S504" s="41"/>
      <c r="T504" s="41"/>
      <c r="U504" s="38">
        <v>13.1</v>
      </c>
      <c r="V504" s="156" t="s">
        <v>474</v>
      </c>
      <c r="W504" s="40">
        <v>10</v>
      </c>
      <c r="X504" s="11"/>
      <c r="Y504" s="11"/>
      <c r="Z504" s="11"/>
      <c r="AA504" s="11">
        <v>-1</v>
      </c>
      <c r="AB504" s="43">
        <f>((U504-O504)/V504)*AA504 * (1-(3/(4*(Q504+W504-2)-1)))</f>
        <v>-0.50002828214265505</v>
      </c>
      <c r="AC504" s="11"/>
      <c r="AD504" s="44">
        <v>1</v>
      </c>
      <c r="AE504" s="11"/>
      <c r="AF504" s="11">
        <v>7.53</v>
      </c>
      <c r="AG504" s="11" t="s">
        <v>117</v>
      </c>
      <c r="AH504" s="11"/>
      <c r="AI504" s="11">
        <v>7.59</v>
      </c>
      <c r="AJ504" s="11" t="s">
        <v>117</v>
      </c>
      <c r="AK504" s="11"/>
      <c r="AL504" s="11" t="s">
        <v>296</v>
      </c>
      <c r="AM504" s="11"/>
      <c r="AN504" s="11"/>
      <c r="AO504" s="13"/>
    </row>
    <row r="505" spans="1:41" s="54" customFormat="1" ht="15.95" customHeight="1" x14ac:dyDescent="0.25">
      <c r="A505" s="11">
        <v>388</v>
      </c>
      <c r="B505" s="13" t="s">
        <v>43</v>
      </c>
      <c r="C505" s="14" t="s">
        <v>372</v>
      </c>
      <c r="D505" s="14" t="s">
        <v>372</v>
      </c>
      <c r="E505" s="36" t="s">
        <v>45</v>
      </c>
      <c r="F505" s="13" t="s">
        <v>519</v>
      </c>
      <c r="G505" s="13">
        <v>2010</v>
      </c>
      <c r="H505" s="11" t="s">
        <v>373</v>
      </c>
      <c r="I505" s="204"/>
      <c r="J505" s="204"/>
      <c r="K505" s="204" t="s">
        <v>527</v>
      </c>
      <c r="L505" s="207"/>
      <c r="M505" s="207"/>
      <c r="N505" s="204"/>
      <c r="O505" s="124">
        <v>19.5</v>
      </c>
      <c r="P505" s="125">
        <v>6.93</v>
      </c>
      <c r="Q505" s="126">
        <v>14</v>
      </c>
      <c r="R505" s="86">
        <v>491</v>
      </c>
      <c r="S505" s="138">
        <v>149.19999999999999</v>
      </c>
      <c r="T505" s="97"/>
      <c r="U505" s="124">
        <v>24.88</v>
      </c>
      <c r="V505" s="125">
        <v>6.85</v>
      </c>
      <c r="W505" s="126">
        <v>14</v>
      </c>
      <c r="X505" s="13"/>
      <c r="Y505" s="13"/>
      <c r="Z505" s="13"/>
      <c r="AA505" s="13">
        <v>-1</v>
      </c>
      <c r="AB505" s="43">
        <f>((U505-O505)/V505)*AA505 * (1-(3/(4*(Q505+W505-2)-1)))</f>
        <v>-0.76252568917865482</v>
      </c>
      <c r="AC505" s="128"/>
      <c r="AD505" s="44">
        <v>1</v>
      </c>
      <c r="AE505" s="44"/>
      <c r="AF505" s="118">
        <v>10.8</v>
      </c>
      <c r="AG505" s="118">
        <f>(13-8)/4</f>
        <v>1.25</v>
      </c>
      <c r="AH505" s="118"/>
      <c r="AI505" s="139">
        <v>10.9</v>
      </c>
      <c r="AJ505" s="140">
        <f>(13-8)/4</f>
        <v>1.25</v>
      </c>
      <c r="AK505" s="13"/>
      <c r="AL505" s="13"/>
      <c r="AM505" s="13"/>
      <c r="AN505" s="13"/>
      <c r="AO505" s="1"/>
    </row>
    <row r="506" spans="1:41" s="162" customFormat="1" ht="15.95" customHeight="1" x14ac:dyDescent="0.25">
      <c r="A506" s="11">
        <v>392</v>
      </c>
      <c r="B506" s="11" t="s">
        <v>54</v>
      </c>
      <c r="C506" s="14" t="s">
        <v>372</v>
      </c>
      <c r="D506" s="14" t="s">
        <v>372</v>
      </c>
      <c r="E506" s="36"/>
      <c r="F506" s="11" t="s">
        <v>292</v>
      </c>
      <c r="G506" s="11">
        <v>1995</v>
      </c>
      <c r="H506" s="11" t="s">
        <v>472</v>
      </c>
      <c r="I506" s="204"/>
      <c r="J506" s="204"/>
      <c r="K506" s="207" t="s">
        <v>473</v>
      </c>
      <c r="L506" s="207"/>
      <c r="M506" s="207"/>
      <c r="N506" s="204"/>
      <c r="O506" s="38">
        <v>14.5</v>
      </c>
      <c r="P506" s="39">
        <v>3.95</v>
      </c>
      <c r="Q506" s="40">
        <v>10</v>
      </c>
      <c r="R506" s="41">
        <v>1014</v>
      </c>
      <c r="S506" s="41">
        <v>216</v>
      </c>
      <c r="T506" s="41"/>
      <c r="U506" s="38">
        <v>17.600000000000001</v>
      </c>
      <c r="V506" s="41">
        <v>1.08</v>
      </c>
      <c r="W506" s="40">
        <v>10</v>
      </c>
      <c r="X506" s="11"/>
      <c r="Y506" s="11"/>
      <c r="Z506" s="143"/>
      <c r="AA506" s="11">
        <v>-1</v>
      </c>
      <c r="AB506" s="43">
        <f>((U506-O506)/V506)*AA506 * (1-(3/(4*(Q506+W506-2)-1)))</f>
        <v>-2.7490871152842997</v>
      </c>
      <c r="AC506" s="11"/>
      <c r="AD506" s="44">
        <v>1</v>
      </c>
      <c r="AE506" s="11"/>
      <c r="AF506" s="1">
        <v>20.6</v>
      </c>
      <c r="AG506" s="1">
        <f>(28.6-13.4)/4</f>
        <v>3.8000000000000003</v>
      </c>
      <c r="AH506" s="163" t="s">
        <v>297</v>
      </c>
      <c r="AI506" s="11"/>
      <c r="AJ506" s="11"/>
      <c r="AK506" s="11"/>
      <c r="AL506" s="11"/>
      <c r="AM506" s="11"/>
      <c r="AN506" s="11"/>
      <c r="AO506" s="11"/>
    </row>
    <row r="507" spans="1:41" s="84" customFormat="1" ht="15.95" customHeight="1" x14ac:dyDescent="0.25">
      <c r="A507" s="11">
        <v>377</v>
      </c>
      <c r="B507" s="11" t="s">
        <v>54</v>
      </c>
      <c r="C507" s="14" t="s">
        <v>372</v>
      </c>
      <c r="D507" s="14" t="s">
        <v>372</v>
      </c>
      <c r="E507" s="36"/>
      <c r="F507" s="13" t="s">
        <v>137</v>
      </c>
      <c r="G507" s="13">
        <v>2001</v>
      </c>
      <c r="H507" s="13" t="s">
        <v>537</v>
      </c>
      <c r="I507" s="204"/>
      <c r="J507" s="204"/>
      <c r="K507" s="204" t="s">
        <v>538</v>
      </c>
      <c r="L507" s="207" t="s">
        <v>539</v>
      </c>
      <c r="M507" s="207" t="s">
        <v>540</v>
      </c>
      <c r="N507" s="207"/>
      <c r="O507" s="124">
        <v>0.89</v>
      </c>
      <c r="P507" s="125">
        <v>0.11</v>
      </c>
      <c r="Q507" s="126">
        <v>18</v>
      </c>
      <c r="R507" s="169" t="s">
        <v>58</v>
      </c>
      <c r="S507" s="170"/>
      <c r="T507" s="97"/>
      <c r="U507" s="124">
        <v>0.92</v>
      </c>
      <c r="V507" s="125">
        <v>0.1</v>
      </c>
      <c r="W507" s="126">
        <v>16</v>
      </c>
      <c r="X507" s="13"/>
      <c r="Y507" s="13"/>
      <c r="Z507" s="13"/>
      <c r="AA507" s="13">
        <v>-1</v>
      </c>
      <c r="AB507" s="43">
        <f>((U507-O507)/V507)*AA507 * (1-(3/(4*(Q507+W507-2)-1)))</f>
        <v>-0.2929133858267719</v>
      </c>
      <c r="AC507" s="128"/>
      <c r="AD507" s="44">
        <v>1</v>
      </c>
      <c r="AE507" s="44"/>
      <c r="AF507" s="118">
        <v>17.88</v>
      </c>
      <c r="AG507" s="118">
        <v>2.74</v>
      </c>
      <c r="AH507" s="11"/>
      <c r="AI507" s="155">
        <v>16.32</v>
      </c>
      <c r="AJ507" s="155">
        <v>2.92</v>
      </c>
      <c r="AK507" s="13"/>
      <c r="AL507" s="13"/>
      <c r="AM507" s="13"/>
      <c r="AN507" s="13"/>
      <c r="AO507" s="11"/>
    </row>
    <row r="508" spans="1:41" s="84" customFormat="1" ht="15.95" customHeight="1" x14ac:dyDescent="0.25">
      <c r="A508" s="11">
        <v>378</v>
      </c>
      <c r="B508" s="11" t="s">
        <v>54</v>
      </c>
      <c r="C508" s="14" t="s">
        <v>372</v>
      </c>
      <c r="D508" s="14" t="s">
        <v>372</v>
      </c>
      <c r="E508" s="36"/>
      <c r="F508" s="13" t="s">
        <v>137</v>
      </c>
      <c r="G508" s="13">
        <v>2001</v>
      </c>
      <c r="H508" s="13" t="s">
        <v>537</v>
      </c>
      <c r="I508" s="204"/>
      <c r="J508" s="204"/>
      <c r="K508" s="204" t="s">
        <v>541</v>
      </c>
      <c r="L508" s="207" t="s">
        <v>539</v>
      </c>
      <c r="M508" s="207" t="s">
        <v>542</v>
      </c>
      <c r="N508" s="207"/>
      <c r="O508" s="124">
        <v>0.7</v>
      </c>
      <c r="P508" s="125">
        <v>0.16</v>
      </c>
      <c r="Q508" s="126">
        <v>18</v>
      </c>
      <c r="R508" s="169" t="s">
        <v>58</v>
      </c>
      <c r="S508" s="170"/>
      <c r="T508" s="97"/>
      <c r="U508" s="124">
        <v>0.75</v>
      </c>
      <c r="V508" s="125">
        <v>0.16</v>
      </c>
      <c r="W508" s="126">
        <v>16</v>
      </c>
      <c r="X508" s="13"/>
      <c r="Y508" s="13"/>
      <c r="Z508" s="13"/>
      <c r="AA508" s="13">
        <v>-1</v>
      </c>
      <c r="AB508" s="43">
        <f>((U508-O508)/V508)*AA508 * (1-(3/(4*(Q508+W508-2)-1)))</f>
        <v>-0.30511811023622076</v>
      </c>
      <c r="AC508" s="128"/>
      <c r="AD508" s="44">
        <v>1</v>
      </c>
      <c r="AE508" s="44"/>
      <c r="AF508" s="118">
        <v>17.88</v>
      </c>
      <c r="AG508" s="118">
        <v>2.74</v>
      </c>
      <c r="AH508" s="11"/>
      <c r="AI508" s="155">
        <v>16.32</v>
      </c>
      <c r="AJ508" s="155">
        <v>2.92</v>
      </c>
      <c r="AK508" s="13"/>
      <c r="AL508" s="13"/>
      <c r="AM508" s="13"/>
      <c r="AN508" s="13"/>
      <c r="AO508" s="13"/>
    </row>
    <row r="509" spans="1:41" s="54" customFormat="1" ht="15.95" customHeight="1" x14ac:dyDescent="0.25">
      <c r="A509" s="11">
        <v>439</v>
      </c>
      <c r="B509" s="1" t="s">
        <v>34</v>
      </c>
      <c r="C509" s="14" t="s">
        <v>129</v>
      </c>
      <c r="D509" s="14" t="s">
        <v>129</v>
      </c>
      <c r="E509" s="36"/>
      <c r="F509" s="14" t="s">
        <v>113</v>
      </c>
      <c r="G509" s="1">
        <v>2017</v>
      </c>
      <c r="H509" s="11" t="s">
        <v>130</v>
      </c>
      <c r="I509" s="204" t="s">
        <v>41</v>
      </c>
      <c r="J509" s="204" t="s">
        <v>41</v>
      </c>
      <c r="K509" s="210" t="s">
        <v>131</v>
      </c>
      <c r="L509" s="220"/>
      <c r="M509" s="220"/>
      <c r="N509" s="220"/>
      <c r="O509" s="74">
        <v>2144</v>
      </c>
      <c r="P509" s="60">
        <v>570</v>
      </c>
      <c r="Q509" s="91">
        <v>57</v>
      </c>
      <c r="R509" s="59">
        <v>655</v>
      </c>
      <c r="S509" s="60"/>
      <c r="T509" s="59"/>
      <c r="U509" s="74">
        <v>1875</v>
      </c>
      <c r="V509" s="92">
        <v>418</v>
      </c>
      <c r="W509" s="91">
        <v>57</v>
      </c>
      <c r="X509" s="14"/>
      <c r="Y509" s="55">
        <f>(U509-O509)/SQRT((V509^2+P509^2)/2)</f>
        <v>-0.53820240216197568</v>
      </c>
      <c r="Z509" s="55"/>
      <c r="AA509" s="14">
        <v>1</v>
      </c>
      <c r="AB509" s="43">
        <f>((U509-O509)/V509)*AA509 * (1-(3/(4*(Q509+W509-2)-1)))</f>
        <v>-0.63922160495809377</v>
      </c>
      <c r="AC509" s="61"/>
      <c r="AD509" s="44">
        <v>1</v>
      </c>
      <c r="AE509" s="44"/>
      <c r="AF509" s="14"/>
      <c r="AG509" s="14"/>
      <c r="AH509" s="1"/>
      <c r="AI509" s="62"/>
      <c r="AJ509" s="62"/>
      <c r="AK509" s="14">
        <v>1</v>
      </c>
      <c r="AL509" s="14" t="s">
        <v>116</v>
      </c>
      <c r="AM509" s="1" t="s">
        <v>117</v>
      </c>
      <c r="AN509" s="14" t="s">
        <v>118</v>
      </c>
      <c r="AO509" s="11"/>
    </row>
    <row r="510" spans="1:41" s="54" customFormat="1" ht="15.95" customHeight="1" x14ac:dyDescent="0.25">
      <c r="A510" s="11">
        <v>440</v>
      </c>
      <c r="B510" s="1" t="s">
        <v>34</v>
      </c>
      <c r="C510" s="14" t="s">
        <v>129</v>
      </c>
      <c r="D510" s="14" t="s">
        <v>129</v>
      </c>
      <c r="E510" s="36"/>
      <c r="F510" s="14" t="s">
        <v>113</v>
      </c>
      <c r="G510" s="1">
        <v>2017</v>
      </c>
      <c r="H510" s="11" t="s">
        <v>134</v>
      </c>
      <c r="I510" s="204" t="s">
        <v>41</v>
      </c>
      <c r="J510" s="204" t="s">
        <v>41</v>
      </c>
      <c r="K510" s="210" t="s">
        <v>135</v>
      </c>
      <c r="L510" s="220"/>
      <c r="M510" s="220"/>
      <c r="N510" s="220"/>
      <c r="O510" s="74">
        <v>605</v>
      </c>
      <c r="P510" s="60">
        <v>146</v>
      </c>
      <c r="Q510" s="91">
        <v>57</v>
      </c>
      <c r="R510" s="59">
        <v>655</v>
      </c>
      <c r="S510" s="60"/>
      <c r="T510" s="59"/>
      <c r="U510" s="74">
        <v>549</v>
      </c>
      <c r="V510" s="92">
        <v>80</v>
      </c>
      <c r="W510" s="91">
        <v>57</v>
      </c>
      <c r="X510" s="14"/>
      <c r="Y510" s="55">
        <f>(U510-O510)/SQRT((V510^2+P510^2)/2)</f>
        <v>-0.47570503539933895</v>
      </c>
      <c r="Z510" s="55"/>
      <c r="AA510" s="14">
        <v>1</v>
      </c>
      <c r="AB510" s="43">
        <f>((U510-O510)/V510)*AA510 * (1-(3/(4*(Q510+W510-2)-1)))</f>
        <v>-0.69530201342281872</v>
      </c>
      <c r="AC510" s="61"/>
      <c r="AD510" s="44">
        <v>1</v>
      </c>
      <c r="AE510" s="44"/>
      <c r="AF510" s="14"/>
      <c r="AG510" s="14"/>
      <c r="AH510" s="1"/>
      <c r="AI510" s="62"/>
      <c r="AJ510" s="62"/>
      <c r="AK510" s="14">
        <v>1</v>
      </c>
      <c r="AL510" s="14" t="s">
        <v>116</v>
      </c>
      <c r="AM510" s="1" t="s">
        <v>117</v>
      </c>
      <c r="AN510" s="14" t="s">
        <v>118</v>
      </c>
      <c r="AO510" s="1"/>
    </row>
    <row r="511" spans="1:41" s="54" customFormat="1" ht="15.95" customHeight="1" x14ac:dyDescent="0.25">
      <c r="A511" s="11">
        <v>432</v>
      </c>
      <c r="B511" s="1" t="s">
        <v>34</v>
      </c>
      <c r="C511" s="14" t="s">
        <v>129</v>
      </c>
      <c r="D511" s="14" t="s">
        <v>129</v>
      </c>
      <c r="E511" s="36"/>
      <c r="F511" s="11" t="s">
        <v>148</v>
      </c>
      <c r="G511" s="1">
        <v>2017</v>
      </c>
      <c r="H511" s="11" t="s">
        <v>167</v>
      </c>
      <c r="I511" s="204" t="s">
        <v>41</v>
      </c>
      <c r="J511" s="204" t="s">
        <v>41</v>
      </c>
      <c r="K511" s="210" t="s">
        <v>169</v>
      </c>
      <c r="L511" s="220"/>
      <c r="M511" s="220"/>
      <c r="N511" s="220"/>
      <c r="O511" s="74">
        <v>307</v>
      </c>
      <c r="P511" s="60">
        <v>42</v>
      </c>
      <c r="Q511" s="91">
        <v>37</v>
      </c>
      <c r="R511" s="59">
        <v>720</v>
      </c>
      <c r="S511" s="60"/>
      <c r="T511" s="59"/>
      <c r="U511" s="74">
        <v>281</v>
      </c>
      <c r="V511" s="92">
        <v>31.3</v>
      </c>
      <c r="W511" s="91">
        <v>30</v>
      </c>
      <c r="X511" s="14"/>
      <c r="Y511" s="55">
        <f>(U511-O511)/SQRT((V511^2+P511^2)/2)</f>
        <v>-0.70197367472588612</v>
      </c>
      <c r="Z511" s="55"/>
      <c r="AA511" s="14">
        <v>1</v>
      </c>
      <c r="AB511" s="43">
        <f>((U511-O511)/V511)*AA511 * (1-(3/(4*(Q511+W511-2)-1)))</f>
        <v>-0.82104925555404795</v>
      </c>
      <c r="AC511" s="61"/>
      <c r="AD511" s="44">
        <v>1</v>
      </c>
      <c r="AE511" s="44"/>
      <c r="AF511" s="14"/>
      <c r="AG511" s="14"/>
      <c r="AH511" s="1"/>
      <c r="AI511" s="62"/>
      <c r="AJ511" s="62"/>
      <c r="AK511" s="14">
        <v>1</v>
      </c>
      <c r="AL511" s="14" t="s">
        <v>116</v>
      </c>
      <c r="AM511" s="1" t="s">
        <v>69</v>
      </c>
      <c r="AN511" s="14" t="s">
        <v>118</v>
      </c>
      <c r="AO511" s="1"/>
    </row>
    <row r="512" spans="1:41" s="54" customFormat="1" ht="15.95" customHeight="1" x14ac:dyDescent="0.25">
      <c r="A512" s="11">
        <v>433</v>
      </c>
      <c r="B512" s="1" t="s">
        <v>34</v>
      </c>
      <c r="C512" s="14" t="s">
        <v>129</v>
      </c>
      <c r="D512" s="14" t="s">
        <v>129</v>
      </c>
      <c r="E512" s="36"/>
      <c r="F512" s="11" t="s">
        <v>148</v>
      </c>
      <c r="G512" s="1">
        <v>2017</v>
      </c>
      <c r="H512" s="11" t="s">
        <v>173</v>
      </c>
      <c r="I512" s="204" t="s">
        <v>41</v>
      </c>
      <c r="J512" s="204" t="s">
        <v>41</v>
      </c>
      <c r="K512" s="210" t="s">
        <v>175</v>
      </c>
      <c r="L512" s="220"/>
      <c r="M512" s="220"/>
      <c r="N512" s="220"/>
      <c r="O512" s="74">
        <v>1008</v>
      </c>
      <c r="P512" s="60">
        <v>239.7</v>
      </c>
      <c r="Q512" s="91">
        <v>37</v>
      </c>
      <c r="R512" s="59">
        <v>720</v>
      </c>
      <c r="S512" s="60"/>
      <c r="T512" s="59"/>
      <c r="U512" s="74">
        <v>841</v>
      </c>
      <c r="V512" s="92">
        <v>126.3</v>
      </c>
      <c r="W512" s="91">
        <v>30</v>
      </c>
      <c r="X512" s="14"/>
      <c r="Y512" s="55">
        <f>(U512-O512)/SQRT((V512^2+P512^2)/2)</f>
        <v>-0.87168670832676065</v>
      </c>
      <c r="Z512" s="55"/>
      <c r="AA512" s="14">
        <v>1</v>
      </c>
      <c r="AB512" s="43">
        <f>((U512-O512)/V512)*AA512 * (1-(3/(4*(Q512+W512-2)-1)))</f>
        <v>-1.306932993393801</v>
      </c>
      <c r="AC512" s="61"/>
      <c r="AD512" s="44">
        <v>1</v>
      </c>
      <c r="AE512" s="44"/>
      <c r="AF512" s="14"/>
      <c r="AG512" s="14"/>
      <c r="AH512" s="1"/>
      <c r="AI512" s="62"/>
      <c r="AJ512" s="62"/>
      <c r="AK512" s="14">
        <v>1</v>
      </c>
      <c r="AL512" s="14" t="s">
        <v>116</v>
      </c>
      <c r="AM512" s="1" t="s">
        <v>69</v>
      </c>
      <c r="AN512" s="14" t="s">
        <v>118</v>
      </c>
      <c r="AO512" s="1"/>
    </row>
    <row r="513" spans="1:41" s="54" customFormat="1" ht="15.95" customHeight="1" x14ac:dyDescent="0.25">
      <c r="A513" s="11">
        <v>435</v>
      </c>
      <c r="B513" s="1" t="s">
        <v>34</v>
      </c>
      <c r="C513" s="14" t="s">
        <v>129</v>
      </c>
      <c r="D513" s="14" t="s">
        <v>129</v>
      </c>
      <c r="E513" s="36"/>
      <c r="F513" s="11" t="s">
        <v>148</v>
      </c>
      <c r="G513" s="1">
        <v>2017</v>
      </c>
      <c r="H513" s="11" t="s">
        <v>184</v>
      </c>
      <c r="I513" s="204" t="s">
        <v>41</v>
      </c>
      <c r="J513" s="204" t="s">
        <v>41</v>
      </c>
      <c r="K513" s="210" t="s">
        <v>185</v>
      </c>
      <c r="L513" s="220"/>
      <c r="M513" s="220"/>
      <c r="N513" s="220"/>
      <c r="O513" s="74">
        <v>438</v>
      </c>
      <c r="P513" s="60">
        <v>70.599999999999994</v>
      </c>
      <c r="Q513" s="91">
        <v>37</v>
      </c>
      <c r="R513" s="59">
        <v>720</v>
      </c>
      <c r="S513" s="60"/>
      <c r="T513" s="59"/>
      <c r="U513" s="74">
        <v>407</v>
      </c>
      <c r="V513" s="92">
        <v>72.2</v>
      </c>
      <c r="W513" s="91">
        <v>30</v>
      </c>
      <c r="X513" s="14"/>
      <c r="Y513" s="55">
        <f>(U513-O513)/SQRT((V513^2+P513^2)/2)</f>
        <v>-0.43414641886282429</v>
      </c>
      <c r="Z513" s="55"/>
      <c r="AA513" s="14">
        <v>1</v>
      </c>
      <c r="AB513" s="43">
        <f>((U513-O513)/V513)*AA513 * (1-(3/(4*(Q513+W513-2)-1)))</f>
        <v>-0.42438956566380392</v>
      </c>
      <c r="AC513" s="61"/>
      <c r="AD513" s="44">
        <v>1</v>
      </c>
      <c r="AE513" s="44"/>
      <c r="AF513" s="14"/>
      <c r="AG513" s="14"/>
      <c r="AH513" s="1"/>
      <c r="AI513" s="62"/>
      <c r="AJ513" s="62"/>
      <c r="AK513" s="14">
        <v>1</v>
      </c>
      <c r="AL513" s="14" t="s">
        <v>116</v>
      </c>
      <c r="AM513" s="1" t="s">
        <v>69</v>
      </c>
      <c r="AN513" s="14" t="s">
        <v>118</v>
      </c>
      <c r="AO513" s="1"/>
    </row>
    <row r="514" spans="1:41" s="54" customFormat="1" ht="15.95" customHeight="1" x14ac:dyDescent="0.25">
      <c r="A514" s="11">
        <v>437</v>
      </c>
      <c r="B514" s="1" t="s">
        <v>34</v>
      </c>
      <c r="C514" s="14" t="s">
        <v>129</v>
      </c>
      <c r="D514" s="14" t="s">
        <v>129</v>
      </c>
      <c r="E514" s="36"/>
      <c r="F514" s="11" t="s">
        <v>148</v>
      </c>
      <c r="G514" s="1">
        <v>2017</v>
      </c>
      <c r="H514" s="11" t="s">
        <v>188</v>
      </c>
      <c r="I514" s="204" t="s">
        <v>41</v>
      </c>
      <c r="J514" s="204" t="s">
        <v>41</v>
      </c>
      <c r="K514" s="210" t="s">
        <v>189</v>
      </c>
      <c r="L514" s="220"/>
      <c r="M514" s="220"/>
      <c r="N514" s="220"/>
      <c r="O514" s="74">
        <v>606</v>
      </c>
      <c r="P514" s="60">
        <v>167.6</v>
      </c>
      <c r="Q514" s="91">
        <v>37</v>
      </c>
      <c r="R514" s="59">
        <v>720</v>
      </c>
      <c r="S514" s="60"/>
      <c r="T514" s="59"/>
      <c r="U514" s="74">
        <v>498</v>
      </c>
      <c r="V514" s="92">
        <v>71.7</v>
      </c>
      <c r="W514" s="91">
        <v>30</v>
      </c>
      <c r="X514" s="14"/>
      <c r="Y514" s="55">
        <f>(U514-O514)/SQRT((V514^2+P514^2)/2)</f>
        <v>-0.83785590572546365</v>
      </c>
      <c r="Z514" s="55"/>
      <c r="AA514" s="14">
        <v>1</v>
      </c>
      <c r="AB514" s="43">
        <f>((U514-O514)/V514)*AA514 * (1-(3/(4*(Q514+W514-2)-1)))</f>
        <v>-1.4888289365276812</v>
      </c>
      <c r="AC514" s="61"/>
      <c r="AD514" s="44">
        <v>1</v>
      </c>
      <c r="AE514" s="44"/>
      <c r="AF514" s="14"/>
      <c r="AG514" s="14"/>
      <c r="AH514" s="1"/>
      <c r="AI514" s="62"/>
      <c r="AJ514" s="62"/>
      <c r="AK514" s="14">
        <v>1</v>
      </c>
      <c r="AL514" s="14" t="s">
        <v>116</v>
      </c>
      <c r="AM514" s="1" t="s">
        <v>69</v>
      </c>
      <c r="AN514" s="14" t="s">
        <v>118</v>
      </c>
      <c r="AO514" s="1"/>
    </row>
    <row r="515" spans="1:41" s="45" customFormat="1" ht="15.95" customHeight="1" x14ac:dyDescent="0.25">
      <c r="A515" s="11">
        <v>434</v>
      </c>
      <c r="B515" s="1" t="s">
        <v>34</v>
      </c>
      <c r="C515" s="14" t="s">
        <v>129</v>
      </c>
      <c r="D515" s="14" t="s">
        <v>129</v>
      </c>
      <c r="E515" s="36"/>
      <c r="F515" s="1" t="s">
        <v>228</v>
      </c>
      <c r="G515" s="1">
        <v>2020</v>
      </c>
      <c r="H515" s="11" t="s">
        <v>229</v>
      </c>
      <c r="I515" s="204" t="s">
        <v>41</v>
      </c>
      <c r="J515" s="204" t="s">
        <v>41</v>
      </c>
      <c r="K515" s="210" t="s">
        <v>175</v>
      </c>
      <c r="L515" s="220"/>
      <c r="M515" s="220"/>
      <c r="N515" s="220"/>
      <c r="O515" s="57">
        <v>1152</v>
      </c>
      <c r="P515" s="58">
        <v>237</v>
      </c>
      <c r="Q515" s="40">
        <v>19</v>
      </c>
      <c r="R515" s="59">
        <v>1042</v>
      </c>
      <c r="S515" s="60"/>
      <c r="T515" s="59"/>
      <c r="U515" s="57">
        <v>938</v>
      </c>
      <c r="V515" s="39">
        <v>203</v>
      </c>
      <c r="W515" s="40">
        <v>19</v>
      </c>
      <c r="X515" s="1"/>
      <c r="Y515" s="55">
        <f>(U515-O515)/SQRT((V515^2+P515^2)/2)</f>
        <v>-0.9698361004090521</v>
      </c>
      <c r="Z515" s="55"/>
      <c r="AA515" s="14">
        <v>1</v>
      </c>
      <c r="AB515" s="43">
        <f>((U515-O515)/V515)*AA515 * (1-(3/(4*(Q515+W515-2)-1)))</f>
        <v>-1.0320713768989631</v>
      </c>
      <c r="AC515" s="61"/>
      <c r="AD515" s="44">
        <v>1</v>
      </c>
      <c r="AE515" s="44"/>
      <c r="AF515" s="14"/>
      <c r="AG515" s="14"/>
      <c r="AH515" s="1"/>
      <c r="AI515" s="62"/>
      <c r="AJ515" s="62"/>
      <c r="AK515" s="14">
        <v>1</v>
      </c>
      <c r="AL515" s="14" t="s">
        <v>116</v>
      </c>
      <c r="AM515" s="1" t="s">
        <v>117</v>
      </c>
      <c r="AN515" s="14" t="s">
        <v>118</v>
      </c>
      <c r="AO515" s="13"/>
    </row>
    <row r="516" spans="1:41" s="54" customFormat="1" ht="15.95" customHeight="1" x14ac:dyDescent="0.25">
      <c r="A516" s="11">
        <v>436</v>
      </c>
      <c r="B516" s="1" t="s">
        <v>34</v>
      </c>
      <c r="C516" s="14" t="s">
        <v>129</v>
      </c>
      <c r="D516" s="14" t="s">
        <v>129</v>
      </c>
      <c r="E516" s="36"/>
      <c r="F516" s="1" t="s">
        <v>228</v>
      </c>
      <c r="G516" s="1">
        <v>2020</v>
      </c>
      <c r="H516" s="11" t="s">
        <v>184</v>
      </c>
      <c r="I516" s="204" t="s">
        <v>41</v>
      </c>
      <c r="J516" s="204" t="s">
        <v>41</v>
      </c>
      <c r="K516" s="210" t="s">
        <v>185</v>
      </c>
      <c r="L516" s="220"/>
      <c r="M516" s="220"/>
      <c r="N516" s="220"/>
      <c r="O516" s="57">
        <v>483</v>
      </c>
      <c r="P516" s="58">
        <v>104</v>
      </c>
      <c r="Q516" s="40">
        <v>19</v>
      </c>
      <c r="R516" s="59">
        <v>1042</v>
      </c>
      <c r="S516" s="60"/>
      <c r="T516" s="59"/>
      <c r="U516" s="57">
        <v>430</v>
      </c>
      <c r="V516" s="39">
        <v>58</v>
      </c>
      <c r="W516" s="40">
        <v>19</v>
      </c>
      <c r="X516" s="1"/>
      <c r="Y516" s="55">
        <f>(U516-O516)/SQRT((V516^2+P516^2)/2)</f>
        <v>-0.62943770101896013</v>
      </c>
      <c r="Z516" s="55"/>
      <c r="AA516" s="14">
        <v>1</v>
      </c>
      <c r="AB516" s="43">
        <f>((U516-O516)/V516)*AA516 * (1-(3/(4*(Q516+W516-2)-1)))</f>
        <v>-0.89462261876054994</v>
      </c>
      <c r="AC516" s="61"/>
      <c r="AD516" s="44">
        <v>1</v>
      </c>
      <c r="AE516" s="44"/>
      <c r="AF516" s="14"/>
      <c r="AG516" s="14"/>
      <c r="AH516" s="1"/>
      <c r="AI516" s="62"/>
      <c r="AJ516" s="62"/>
      <c r="AK516" s="14">
        <v>1</v>
      </c>
      <c r="AL516" s="14" t="s">
        <v>116</v>
      </c>
      <c r="AM516" s="1" t="s">
        <v>117</v>
      </c>
      <c r="AN516" s="14" t="s">
        <v>118</v>
      </c>
      <c r="AO516" s="1"/>
    </row>
    <row r="517" spans="1:41" s="84" customFormat="1" ht="15.95" customHeight="1" x14ac:dyDescent="0.25">
      <c r="A517" s="11">
        <v>438</v>
      </c>
      <c r="B517" s="1" t="s">
        <v>34</v>
      </c>
      <c r="C517" s="14" t="s">
        <v>129</v>
      </c>
      <c r="D517" s="14" t="s">
        <v>129</v>
      </c>
      <c r="E517" s="36"/>
      <c r="F517" s="1" t="s">
        <v>228</v>
      </c>
      <c r="G517" s="1">
        <v>2020</v>
      </c>
      <c r="H517" s="11" t="s">
        <v>188</v>
      </c>
      <c r="I517" s="204" t="s">
        <v>41</v>
      </c>
      <c r="J517" s="204" t="s">
        <v>41</v>
      </c>
      <c r="K517" s="210" t="s">
        <v>189</v>
      </c>
      <c r="L517" s="220"/>
      <c r="M517" s="220"/>
      <c r="N517" s="220"/>
      <c r="O517" s="57">
        <v>752</v>
      </c>
      <c r="P517" s="58">
        <v>262</v>
      </c>
      <c r="Q517" s="40">
        <v>19</v>
      </c>
      <c r="R517" s="59">
        <v>1042</v>
      </c>
      <c r="S517" s="60"/>
      <c r="T517" s="59"/>
      <c r="U517" s="57">
        <v>586</v>
      </c>
      <c r="V517" s="39">
        <v>113</v>
      </c>
      <c r="W517" s="40">
        <v>19</v>
      </c>
      <c r="X517" s="1"/>
      <c r="Y517" s="55">
        <f>(U517-O517)/SQRT((V517^2+P517^2)/2)</f>
        <v>-0.82276575383526052</v>
      </c>
      <c r="Z517" s="55"/>
      <c r="AA517" s="14">
        <v>1</v>
      </c>
      <c r="AB517" s="43">
        <f>((U517-O517)/V517)*AA517 * (1-(3/(4*(Q517+W517-2)-1)))</f>
        <v>-1.4382078098892259</v>
      </c>
      <c r="AC517" s="61"/>
      <c r="AD517" s="44">
        <v>1</v>
      </c>
      <c r="AE517" s="44"/>
      <c r="AF517" s="14"/>
      <c r="AG517" s="14"/>
      <c r="AH517" s="1"/>
      <c r="AI517" s="62"/>
      <c r="AJ517" s="62"/>
      <c r="AK517" s="14">
        <v>1</v>
      </c>
      <c r="AL517" s="14" t="s">
        <v>116</v>
      </c>
      <c r="AM517" s="1" t="s">
        <v>117</v>
      </c>
      <c r="AN517" s="14" t="s">
        <v>118</v>
      </c>
      <c r="AO517" s="1"/>
    </row>
    <row r="518" spans="1:41" s="54" customFormat="1" ht="15.95" customHeight="1" x14ac:dyDescent="0.25">
      <c r="A518" s="11">
        <v>431</v>
      </c>
      <c r="B518" s="1" t="s">
        <v>34</v>
      </c>
      <c r="C518" s="14" t="s">
        <v>129</v>
      </c>
      <c r="D518" s="14" t="s">
        <v>129</v>
      </c>
      <c r="E518" s="36"/>
      <c r="F518" s="14" t="s">
        <v>680</v>
      </c>
      <c r="G518" s="1">
        <v>1994</v>
      </c>
      <c r="H518" s="11" t="s">
        <v>681</v>
      </c>
      <c r="I518" s="204"/>
      <c r="J518" s="204"/>
      <c r="K518" s="210" t="s">
        <v>682</v>
      </c>
      <c r="L518" s="220"/>
      <c r="M518" s="220"/>
      <c r="N518" s="220"/>
      <c r="O518" s="74">
        <v>461</v>
      </c>
      <c r="P518" s="60">
        <v>132</v>
      </c>
      <c r="Q518" s="91">
        <v>25</v>
      </c>
      <c r="R518" s="59">
        <v>1332</v>
      </c>
      <c r="S518" s="60"/>
      <c r="T518" s="59"/>
      <c r="U518" s="74">
        <v>395</v>
      </c>
      <c r="V518" s="92">
        <v>48</v>
      </c>
      <c r="W518" s="91">
        <v>15</v>
      </c>
      <c r="X518" s="14"/>
      <c r="Y518" s="55">
        <f>(U518-O518)/SQRT((V518^2+P518^2)/2)</f>
        <v>-0.66453430266319469</v>
      </c>
      <c r="Z518" s="55"/>
      <c r="AA518" s="14">
        <v>1</v>
      </c>
      <c r="AB518" s="43">
        <f>((U518-O518)/V518)*AA518 * (1-(3/(4*(Q518+W518-2)-1)))</f>
        <v>-1.3476821192052981</v>
      </c>
      <c r="AC518" s="61"/>
      <c r="AD518" s="44">
        <v>1</v>
      </c>
      <c r="AE518" s="44"/>
      <c r="AF518" s="14"/>
      <c r="AG518" s="14"/>
      <c r="AH518" s="1"/>
      <c r="AI518" s="62"/>
      <c r="AJ518" s="62"/>
      <c r="AK518" s="14">
        <v>2</v>
      </c>
      <c r="AL518" s="14" t="s">
        <v>68</v>
      </c>
      <c r="AM518" s="1" t="s">
        <v>69</v>
      </c>
      <c r="AN518" s="14" t="s">
        <v>68</v>
      </c>
      <c r="AO518" s="1"/>
    </row>
    <row r="519" spans="1:41" s="54" customFormat="1" ht="15.95" customHeight="1" x14ac:dyDescent="0.25">
      <c r="A519" s="11">
        <v>441</v>
      </c>
      <c r="B519" s="13" t="s">
        <v>43</v>
      </c>
      <c r="C519" s="14" t="s">
        <v>129</v>
      </c>
      <c r="D519" s="14" t="s">
        <v>129</v>
      </c>
      <c r="E519" s="36"/>
      <c r="F519" s="11" t="s">
        <v>46</v>
      </c>
      <c r="G519" s="13">
        <v>2008</v>
      </c>
      <c r="H519" s="103" t="s">
        <v>362</v>
      </c>
      <c r="I519" s="204"/>
      <c r="J519" s="204"/>
      <c r="K519" s="204" t="s">
        <v>360</v>
      </c>
      <c r="L519" s="207"/>
      <c r="M519" s="207" t="s">
        <v>363</v>
      </c>
      <c r="N519" s="204"/>
      <c r="O519" s="146">
        <v>8.36</v>
      </c>
      <c r="P519" s="125">
        <v>2.8722813232690143</v>
      </c>
      <c r="Q519" s="126">
        <v>33</v>
      </c>
      <c r="R519" s="97"/>
      <c r="S519" s="125"/>
      <c r="T519" s="97"/>
      <c r="U519" s="146">
        <v>11.35</v>
      </c>
      <c r="V519" s="125">
        <v>2.9154759474226504</v>
      </c>
      <c r="W519" s="126">
        <v>34</v>
      </c>
      <c r="X519" s="13"/>
      <c r="Y519" s="13"/>
      <c r="Z519" s="13"/>
      <c r="AA519" s="13">
        <v>-1</v>
      </c>
      <c r="AB519" s="43">
        <f>((U519-O519)/V519)*AA519 * (1-(3/(4*(Q519+W519-2)-1)))</f>
        <v>-1.0136824479651116</v>
      </c>
      <c r="AC519" s="128"/>
      <c r="AD519" s="44">
        <v>1</v>
      </c>
      <c r="AE519" s="44"/>
      <c r="AF519" s="13">
        <v>11.18</v>
      </c>
      <c r="AG519" s="129">
        <v>3.4</v>
      </c>
      <c r="AH519" s="129"/>
      <c r="AI519" s="147">
        <v>10.29</v>
      </c>
      <c r="AJ519" s="129">
        <v>3.1</v>
      </c>
      <c r="AK519" s="13"/>
      <c r="AL519" s="13"/>
      <c r="AM519" s="13"/>
      <c r="AN519" s="13"/>
      <c r="AO519" s="1"/>
    </row>
    <row r="520" spans="1:41" s="84" customFormat="1" ht="15.95" customHeight="1" x14ac:dyDescent="0.25">
      <c r="A520" s="11">
        <v>403</v>
      </c>
      <c r="B520" s="1" t="s">
        <v>34</v>
      </c>
      <c r="C520" s="14" t="s">
        <v>121</v>
      </c>
      <c r="D520" s="14" t="s">
        <v>121</v>
      </c>
      <c r="E520" s="36" t="s">
        <v>45</v>
      </c>
      <c r="F520" s="14" t="s">
        <v>113</v>
      </c>
      <c r="G520" s="1">
        <v>2017</v>
      </c>
      <c r="H520" s="11" t="s">
        <v>122</v>
      </c>
      <c r="I520" s="204" t="s">
        <v>39</v>
      </c>
      <c r="J520" s="204" t="s">
        <v>39</v>
      </c>
      <c r="K520" s="221" t="s">
        <v>123</v>
      </c>
      <c r="L520" s="222"/>
      <c r="M520" s="220"/>
      <c r="N520" s="220"/>
      <c r="O520" s="74">
        <v>4.5</v>
      </c>
      <c r="P520" s="60">
        <v>2.6</v>
      </c>
      <c r="Q520" s="91">
        <v>57</v>
      </c>
      <c r="R520" s="59">
        <v>655</v>
      </c>
      <c r="S520" s="60"/>
      <c r="T520" s="59"/>
      <c r="U520" s="74">
        <v>3.9</v>
      </c>
      <c r="V520" s="92">
        <v>2.6</v>
      </c>
      <c r="W520" s="91">
        <v>57</v>
      </c>
      <c r="X520" s="14"/>
      <c r="Y520" s="55">
        <f>(U520-O520)/SQRT((V520^2+P520^2)/2)</f>
        <v>-0.23076923076923078</v>
      </c>
      <c r="Z520" s="55"/>
      <c r="AA520" s="14">
        <v>1</v>
      </c>
      <c r="AB520" s="43">
        <f>((U520-O520)/V520)*AA520 * (1-(3/(4*(Q520+W520-2)-1)))</f>
        <v>-0.22922044398554467</v>
      </c>
      <c r="AC520" s="61"/>
      <c r="AD520" s="44">
        <v>1</v>
      </c>
      <c r="AE520" s="44"/>
      <c r="AF520" s="14"/>
      <c r="AG520" s="14"/>
      <c r="AH520" s="1"/>
      <c r="AI520" s="62"/>
      <c r="AJ520" s="62"/>
      <c r="AK520" s="14">
        <v>1</v>
      </c>
      <c r="AL520" s="14" t="s">
        <v>116</v>
      </c>
      <c r="AM520" s="1" t="s">
        <v>69</v>
      </c>
      <c r="AN520" s="14" t="s">
        <v>118</v>
      </c>
      <c r="AO520" s="1"/>
    </row>
    <row r="521" spans="1:41" s="54" customFormat="1" ht="15.95" customHeight="1" x14ac:dyDescent="0.25">
      <c r="A521" s="11">
        <v>404</v>
      </c>
      <c r="B521" s="1" t="s">
        <v>34</v>
      </c>
      <c r="C521" s="14" t="s">
        <v>121</v>
      </c>
      <c r="D521" s="14" t="s">
        <v>121</v>
      </c>
      <c r="E521" s="36" t="s">
        <v>45</v>
      </c>
      <c r="F521" s="14" t="s">
        <v>113</v>
      </c>
      <c r="G521" s="1">
        <v>2017</v>
      </c>
      <c r="H521" s="11" t="s">
        <v>124</v>
      </c>
      <c r="I521" s="204" t="s">
        <v>41</v>
      </c>
      <c r="J521" s="204" t="s">
        <v>41</v>
      </c>
      <c r="K521" s="221" t="s">
        <v>125</v>
      </c>
      <c r="L521" s="222"/>
      <c r="M521" s="220"/>
      <c r="N521" s="220"/>
      <c r="O521" s="74">
        <v>1705</v>
      </c>
      <c r="P521" s="60">
        <v>457</v>
      </c>
      <c r="Q521" s="91">
        <v>57</v>
      </c>
      <c r="R521" s="59">
        <v>655</v>
      </c>
      <c r="S521" s="60"/>
      <c r="T521" s="59"/>
      <c r="U521" s="74">
        <v>1539</v>
      </c>
      <c r="V521" s="92">
        <v>318</v>
      </c>
      <c r="W521" s="91">
        <v>57</v>
      </c>
      <c r="X521" s="14"/>
      <c r="Y521" s="55">
        <f>(U521-O521)/SQRT((V521^2+P521^2)/2)</f>
        <v>-0.42165878460045436</v>
      </c>
      <c r="Z521" s="55"/>
      <c r="AA521" s="14">
        <v>1</v>
      </c>
      <c r="AB521" s="43">
        <f>((U521-O521)/V521)*AA521 * (1-(3/(4*(Q521+W521-2)-1)))</f>
        <v>-0.51850913849141023</v>
      </c>
      <c r="AC521" s="61"/>
      <c r="AD521" s="44">
        <v>1</v>
      </c>
      <c r="AE521" s="44"/>
      <c r="AF521" s="14"/>
      <c r="AG521" s="14"/>
      <c r="AH521" s="1"/>
      <c r="AI521" s="62"/>
      <c r="AJ521" s="62"/>
      <c r="AK521" s="14">
        <v>1</v>
      </c>
      <c r="AL521" s="14" t="s">
        <v>116</v>
      </c>
      <c r="AM521" s="1" t="s">
        <v>69</v>
      </c>
      <c r="AN521" s="14" t="s">
        <v>118</v>
      </c>
      <c r="AO521" s="1"/>
    </row>
    <row r="522" spans="1:41" s="54" customFormat="1" ht="15.95" customHeight="1" x14ac:dyDescent="0.25">
      <c r="A522" s="11">
        <v>405</v>
      </c>
      <c r="B522" s="1" t="s">
        <v>34</v>
      </c>
      <c r="C522" s="14" t="s">
        <v>121</v>
      </c>
      <c r="D522" s="14" t="s">
        <v>121</v>
      </c>
      <c r="E522" s="36" t="s">
        <v>45</v>
      </c>
      <c r="F522" s="14" t="s">
        <v>406</v>
      </c>
      <c r="G522" s="1">
        <v>2004</v>
      </c>
      <c r="H522" s="11" t="s">
        <v>416</v>
      </c>
      <c r="I522" s="204"/>
      <c r="J522" s="204"/>
      <c r="K522" s="221" t="s">
        <v>417</v>
      </c>
      <c r="L522" s="222"/>
      <c r="M522" s="220"/>
      <c r="N522" s="220"/>
      <c r="O522" s="74">
        <v>13.53</v>
      </c>
      <c r="P522" s="60">
        <v>3.25</v>
      </c>
      <c r="Q522" s="91">
        <v>20</v>
      </c>
      <c r="R522" s="59">
        <v>858.5</v>
      </c>
      <c r="S522" s="60"/>
      <c r="T522" s="59"/>
      <c r="U522" s="74">
        <v>17.62</v>
      </c>
      <c r="V522" s="92">
        <v>3.57</v>
      </c>
      <c r="W522" s="91">
        <v>20</v>
      </c>
      <c r="X522" s="14"/>
      <c r="Y522" s="55">
        <f>(U522-O522)/SQRT((V522^2+P522^2)/2)</f>
        <v>1.1980953733222595</v>
      </c>
      <c r="Z522" s="55"/>
      <c r="AA522" s="14">
        <v>-1</v>
      </c>
      <c r="AB522" s="43">
        <f>((U522-O522)/V522)*AA522 * (1-(3/(4*(Q522+W522-2)-1)))</f>
        <v>-1.1228968408555482</v>
      </c>
      <c r="AC522" s="61"/>
      <c r="AD522" s="44">
        <v>1</v>
      </c>
      <c r="AE522" s="44"/>
      <c r="AF522" s="14"/>
      <c r="AG522" s="14"/>
      <c r="AH522" s="1"/>
      <c r="AI522" s="62"/>
      <c r="AJ522" s="62"/>
      <c r="AK522" s="14">
        <v>2</v>
      </c>
      <c r="AL522" s="14" t="s">
        <v>68</v>
      </c>
      <c r="AM522" s="1" t="s">
        <v>69</v>
      </c>
      <c r="AN522" s="14" t="s">
        <v>68</v>
      </c>
      <c r="AO522" s="1"/>
    </row>
    <row r="523" spans="1:41" s="54" customFormat="1" ht="15.95" customHeight="1" x14ac:dyDescent="0.25">
      <c r="A523" s="11">
        <v>287</v>
      </c>
      <c r="B523" s="11" t="s">
        <v>34</v>
      </c>
      <c r="C523" s="14" t="s">
        <v>121</v>
      </c>
      <c r="D523" s="14" t="s">
        <v>121</v>
      </c>
      <c r="E523" s="36" t="s">
        <v>45</v>
      </c>
      <c r="F523" s="11" t="s">
        <v>274</v>
      </c>
      <c r="G523" s="11">
        <v>2023</v>
      </c>
      <c r="H523" s="11" t="s">
        <v>447</v>
      </c>
      <c r="I523" s="204"/>
      <c r="J523" s="210"/>
      <c r="K523" s="204" t="s">
        <v>437</v>
      </c>
      <c r="L523" s="207" t="s">
        <v>448</v>
      </c>
      <c r="M523" s="204" t="s">
        <v>277</v>
      </c>
      <c r="N523" s="204"/>
      <c r="O523" s="38">
        <v>54</v>
      </c>
      <c r="P523" s="39">
        <v>11.5</v>
      </c>
      <c r="Q523" s="40">
        <v>40</v>
      </c>
      <c r="R523" s="41">
        <v>589</v>
      </c>
      <c r="S523" s="39">
        <v>444</v>
      </c>
      <c r="T523" s="41"/>
      <c r="U523" s="38">
        <v>58</v>
      </c>
      <c r="V523" s="41">
        <v>11.8</v>
      </c>
      <c r="W523" s="40">
        <v>32</v>
      </c>
      <c r="X523" s="11" t="s">
        <v>58</v>
      </c>
      <c r="Y523" s="11"/>
      <c r="Z523" s="11"/>
      <c r="AA523" s="11">
        <v>-1</v>
      </c>
      <c r="AB523" s="43">
        <f>((U523-O523)/V523)*AA523 * (1-(3/(4*(Q523+W523-2)-1)))</f>
        <v>-0.3353380718060871</v>
      </c>
      <c r="AC523" s="11"/>
      <c r="AD523" s="44">
        <v>1</v>
      </c>
      <c r="AE523" s="44"/>
      <c r="AF523" s="11" t="s">
        <v>58</v>
      </c>
      <c r="AG523" s="11"/>
      <c r="AH523" s="11"/>
      <c r="AI523" s="11"/>
      <c r="AJ523" s="11"/>
      <c r="AK523" s="11"/>
      <c r="AL523" s="11"/>
      <c r="AM523" s="11"/>
      <c r="AN523" s="11"/>
      <c r="AO523" s="11"/>
    </row>
    <row r="524" spans="1:41" s="54" customFormat="1" ht="15.95" customHeight="1" x14ac:dyDescent="0.25">
      <c r="A524" s="11">
        <v>409</v>
      </c>
      <c r="B524" s="1" t="s">
        <v>34</v>
      </c>
      <c r="C524" s="14" t="s">
        <v>121</v>
      </c>
      <c r="D524" s="14" t="s">
        <v>121</v>
      </c>
      <c r="E524" s="36" t="s">
        <v>45</v>
      </c>
      <c r="F524" s="14" t="s">
        <v>113</v>
      </c>
      <c r="G524" s="1">
        <v>2017</v>
      </c>
      <c r="H524" s="11" t="s">
        <v>506</v>
      </c>
      <c r="I524" s="204"/>
      <c r="J524" s="204"/>
      <c r="K524" s="221" t="s">
        <v>507</v>
      </c>
      <c r="L524" s="222"/>
      <c r="M524" s="220"/>
      <c r="N524" s="220"/>
      <c r="O524" s="74">
        <v>98.6</v>
      </c>
      <c r="P524" s="60">
        <v>5.6</v>
      </c>
      <c r="Q524" s="91">
        <v>57</v>
      </c>
      <c r="R524" s="59">
        <v>655</v>
      </c>
      <c r="S524" s="60"/>
      <c r="T524" s="59"/>
      <c r="U524" s="74">
        <v>100.7</v>
      </c>
      <c r="V524" s="92">
        <v>3.5</v>
      </c>
      <c r="W524" s="91">
        <v>57</v>
      </c>
      <c r="X524" s="14"/>
      <c r="Y524" s="55">
        <f>(U524-O524)/SQRT((V524^2+P524^2)/2)</f>
        <v>0.44971901339751869</v>
      </c>
      <c r="Z524" s="55"/>
      <c r="AA524" s="14">
        <v>-1</v>
      </c>
      <c r="AB524" s="43">
        <f>((U524-O524)/V524)*AA524 * (1-(3/(4*(Q524+W524-2)-1)))</f>
        <v>-0.59597315436241849</v>
      </c>
      <c r="AC524" s="61"/>
      <c r="AD524" s="44">
        <v>1</v>
      </c>
      <c r="AE524" s="44"/>
      <c r="AF524" s="14"/>
      <c r="AG524" s="14"/>
      <c r="AH524" s="1"/>
      <c r="AI524" s="62"/>
      <c r="AJ524" s="62"/>
      <c r="AK524" s="14">
        <v>1</v>
      </c>
      <c r="AL524" s="14" t="s">
        <v>116</v>
      </c>
      <c r="AM524" s="1" t="s">
        <v>69</v>
      </c>
      <c r="AN524" s="14" t="s">
        <v>118</v>
      </c>
      <c r="AO524" s="1"/>
    </row>
    <row r="525" spans="1:41" s="54" customFormat="1" ht="15.95" customHeight="1" x14ac:dyDescent="0.25">
      <c r="A525" s="11">
        <v>412</v>
      </c>
      <c r="B525" s="1" t="s">
        <v>34</v>
      </c>
      <c r="C525" s="14" t="s">
        <v>121</v>
      </c>
      <c r="D525" s="14" t="s">
        <v>121</v>
      </c>
      <c r="E525" s="36" t="s">
        <v>45</v>
      </c>
      <c r="F525" s="14" t="s">
        <v>547</v>
      </c>
      <c r="G525" s="1">
        <v>2007</v>
      </c>
      <c r="H525" s="11" t="s">
        <v>565</v>
      </c>
      <c r="I525" s="204"/>
      <c r="J525" s="204"/>
      <c r="K525" s="221" t="s">
        <v>566</v>
      </c>
      <c r="L525" s="222"/>
      <c r="M525" s="220"/>
      <c r="N525" s="220"/>
      <c r="O525" s="74">
        <v>94</v>
      </c>
      <c r="P525" s="60">
        <v>19.399999999999999</v>
      </c>
      <c r="Q525" s="91">
        <v>12</v>
      </c>
      <c r="R525" s="69" t="s">
        <v>117</v>
      </c>
      <c r="S525" s="70"/>
      <c r="T525" s="69"/>
      <c r="U525" s="74">
        <v>96</v>
      </c>
      <c r="V525" s="92">
        <v>11.8</v>
      </c>
      <c r="W525" s="91">
        <v>12</v>
      </c>
      <c r="X525" s="14"/>
      <c r="Y525" s="55">
        <f>(U525-O525)/SQRT((V525^2+P525^2)/2)</f>
        <v>0.1245628508079212</v>
      </c>
      <c r="Z525" s="55"/>
      <c r="AA525" s="14">
        <v>-1</v>
      </c>
      <c r="AB525" s="43">
        <f>((U525-O525)/V525)*AA525 * (1-(3/(4*(Q525+W525-2)-1)))</f>
        <v>-0.1636469900642899</v>
      </c>
      <c r="AC525" s="61"/>
      <c r="AD525" s="44">
        <v>1</v>
      </c>
      <c r="AE525" s="44"/>
      <c r="AF525" s="14"/>
      <c r="AG525" s="14"/>
      <c r="AH525" s="1"/>
      <c r="AI525" s="62"/>
      <c r="AJ525" s="62"/>
      <c r="AK525" s="14">
        <v>1</v>
      </c>
      <c r="AL525" s="71" t="s">
        <v>549</v>
      </c>
      <c r="AM525" s="1" t="s">
        <v>69</v>
      </c>
      <c r="AN525" s="71" t="s">
        <v>118</v>
      </c>
      <c r="AO525" s="1"/>
    </row>
    <row r="526" spans="1:41" s="45" customFormat="1" ht="15.95" customHeight="1" x14ac:dyDescent="0.25">
      <c r="A526" s="11">
        <v>396</v>
      </c>
      <c r="B526" s="1" t="s">
        <v>34</v>
      </c>
      <c r="C526" s="14" t="s">
        <v>121</v>
      </c>
      <c r="D526" s="14" t="s">
        <v>121</v>
      </c>
      <c r="E526" s="36" t="s">
        <v>45</v>
      </c>
      <c r="F526" s="11" t="s">
        <v>148</v>
      </c>
      <c r="G526" s="1">
        <v>2017</v>
      </c>
      <c r="H526" s="13" t="s">
        <v>389</v>
      </c>
      <c r="I526" s="204"/>
      <c r="J526" s="204"/>
      <c r="K526" s="221" t="s">
        <v>601</v>
      </c>
      <c r="L526" s="222"/>
      <c r="M526" s="220"/>
      <c r="N526" s="220"/>
      <c r="O526" s="74">
        <v>5.3</v>
      </c>
      <c r="P526" s="60">
        <v>0.9</v>
      </c>
      <c r="Q526" s="91">
        <v>37</v>
      </c>
      <c r="R526" s="59">
        <v>720</v>
      </c>
      <c r="S526" s="60"/>
      <c r="T526" s="59"/>
      <c r="U526" s="74">
        <v>5.7</v>
      </c>
      <c r="V526" s="92">
        <v>0.9</v>
      </c>
      <c r="W526" s="91">
        <v>30</v>
      </c>
      <c r="X526" s="14"/>
      <c r="Y526" s="55">
        <f>(U526-O526)/SQRT((V526^2+P526^2)/2)</f>
        <v>0.44444444444444481</v>
      </c>
      <c r="Z526" s="55"/>
      <c r="AA526" s="14">
        <v>-1</v>
      </c>
      <c r="AB526" s="43">
        <f>((U526-O526)/V526)*AA526 * (1-(3/(4*(Q526+W526-2)-1)))</f>
        <v>-0.43929643929643969</v>
      </c>
      <c r="AC526" s="61"/>
      <c r="AD526" s="44">
        <v>1</v>
      </c>
      <c r="AE526" s="44"/>
      <c r="AF526" s="14"/>
      <c r="AG526" s="14"/>
      <c r="AH526" s="1"/>
      <c r="AI526" s="62"/>
      <c r="AJ526" s="62"/>
      <c r="AK526" s="14">
        <v>1</v>
      </c>
      <c r="AL526" s="14" t="s">
        <v>116</v>
      </c>
      <c r="AM526" s="1" t="s">
        <v>69</v>
      </c>
      <c r="AN526" s="14" t="s">
        <v>118</v>
      </c>
      <c r="AO526" s="1"/>
    </row>
    <row r="527" spans="1:41" s="54" customFormat="1" ht="15.95" customHeight="1" x14ac:dyDescent="0.25">
      <c r="A527" s="11">
        <v>397</v>
      </c>
      <c r="B527" s="1" t="s">
        <v>34</v>
      </c>
      <c r="C527" s="14" t="s">
        <v>121</v>
      </c>
      <c r="D527" s="14" t="s">
        <v>121</v>
      </c>
      <c r="E527" s="36" t="s">
        <v>45</v>
      </c>
      <c r="F527" s="1" t="s">
        <v>228</v>
      </c>
      <c r="G527" s="1">
        <v>2020</v>
      </c>
      <c r="H527" s="13" t="s">
        <v>389</v>
      </c>
      <c r="I527" s="204"/>
      <c r="J527" s="204"/>
      <c r="K527" s="221" t="s">
        <v>601</v>
      </c>
      <c r="L527" s="222"/>
      <c r="M527" s="220"/>
      <c r="N527" s="220"/>
      <c r="O527" s="57">
        <v>5.9</v>
      </c>
      <c r="P527" s="58">
        <v>1</v>
      </c>
      <c r="Q527" s="40">
        <v>19</v>
      </c>
      <c r="R527" s="59">
        <v>1042</v>
      </c>
      <c r="S527" s="60"/>
      <c r="T527" s="59"/>
      <c r="U527" s="57">
        <v>5</v>
      </c>
      <c r="V527" s="39">
        <v>1.1000000000000001</v>
      </c>
      <c r="W527" s="40">
        <v>19</v>
      </c>
      <c r="X527" s="1"/>
      <c r="Y527" s="55">
        <f>(U527-O527)/SQRT((V527^2+P527^2)/2)</f>
        <v>-0.85617268947808967</v>
      </c>
      <c r="Z527" s="55"/>
      <c r="AA527" s="14">
        <v>-1</v>
      </c>
      <c r="AB527" s="43">
        <f>((U527-O527)/V527)*AA527 * (1-(3/(4*(Q527+W527-2)-1)))</f>
        <v>0.80101716465352857</v>
      </c>
      <c r="AC527" s="61"/>
      <c r="AD527" s="44">
        <v>1</v>
      </c>
      <c r="AE527" s="44"/>
      <c r="AF527" s="14"/>
      <c r="AG527" s="14"/>
      <c r="AH527" s="1"/>
      <c r="AI527" s="62"/>
      <c r="AJ527" s="62"/>
      <c r="AK527" s="14"/>
      <c r="AL527" s="14"/>
      <c r="AM527" s="1"/>
      <c r="AN527" s="14"/>
      <c r="AO527" s="1"/>
    </row>
    <row r="528" spans="1:41" s="84" customFormat="1" ht="15.95" customHeight="1" x14ac:dyDescent="0.25">
      <c r="A528" s="11">
        <v>406</v>
      </c>
      <c r="B528" s="1" t="s">
        <v>34</v>
      </c>
      <c r="C528" s="14" t="s">
        <v>121</v>
      </c>
      <c r="D528" s="14" t="s">
        <v>121</v>
      </c>
      <c r="E528" s="36" t="s">
        <v>45</v>
      </c>
      <c r="F528" s="14" t="s">
        <v>687</v>
      </c>
      <c r="G528" s="1">
        <v>1996</v>
      </c>
      <c r="H528" s="11" t="s">
        <v>416</v>
      </c>
      <c r="I528" s="204"/>
      <c r="J528" s="204"/>
      <c r="K528" s="210" t="s">
        <v>692</v>
      </c>
      <c r="L528" s="220" t="s">
        <v>693</v>
      </c>
      <c r="M528" s="220"/>
      <c r="N528" s="220"/>
      <c r="O528" s="57">
        <v>9.3000000000000007</v>
      </c>
      <c r="P528" s="58">
        <v>3.65</v>
      </c>
      <c r="Q528" s="40">
        <v>11</v>
      </c>
      <c r="R528" s="41">
        <v>1545</v>
      </c>
      <c r="S528" s="39"/>
      <c r="T528" s="41"/>
      <c r="U528" s="57">
        <v>4.68</v>
      </c>
      <c r="V528" s="39">
        <v>2.5299999999999998</v>
      </c>
      <c r="W528" s="40">
        <v>22</v>
      </c>
      <c r="X528" s="14"/>
      <c r="Y528" s="55">
        <f>(U528-O528)/SQRT((V528^2+P528^2)/2)</f>
        <v>-1.4711809142647732</v>
      </c>
      <c r="Z528" s="55"/>
      <c r="AA528" s="14">
        <v>1</v>
      </c>
      <c r="AB528" s="43">
        <f>((U528-O528)/V528)*AA528 * (1-(3/(4*(Q528+W528-2)-1)))</f>
        <v>-1.7815482502651119</v>
      </c>
      <c r="AC528" s="61"/>
      <c r="AD528" s="44">
        <v>1</v>
      </c>
      <c r="AE528" s="44"/>
      <c r="AF528" s="14"/>
      <c r="AG528" s="14"/>
      <c r="AH528" s="1"/>
      <c r="AI528" s="62"/>
      <c r="AJ528" s="62"/>
      <c r="AK528" s="71" t="s">
        <v>146</v>
      </c>
      <c r="AL528" s="71" t="s">
        <v>146</v>
      </c>
      <c r="AM528" s="68" t="s">
        <v>117</v>
      </c>
      <c r="AN528" s="71" t="s">
        <v>146</v>
      </c>
      <c r="AO528" s="13"/>
    </row>
    <row r="529" spans="1:41" s="54" customFormat="1" ht="15.95" customHeight="1" x14ac:dyDescent="0.25">
      <c r="A529" s="11">
        <v>407</v>
      </c>
      <c r="B529" s="1" t="s">
        <v>34</v>
      </c>
      <c r="C529" s="14" t="s">
        <v>121</v>
      </c>
      <c r="D529" s="14" t="s">
        <v>121</v>
      </c>
      <c r="E529" s="36" t="s">
        <v>45</v>
      </c>
      <c r="F529" s="14" t="s">
        <v>697</v>
      </c>
      <c r="G529" s="1">
        <v>1996</v>
      </c>
      <c r="H529" s="11" t="s">
        <v>416</v>
      </c>
      <c r="I529" s="204"/>
      <c r="J529" s="204"/>
      <c r="K529" s="210" t="s">
        <v>692</v>
      </c>
      <c r="L529" s="220" t="s">
        <v>693</v>
      </c>
      <c r="M529" s="220"/>
      <c r="N529" s="220"/>
      <c r="O529" s="57">
        <v>8.9</v>
      </c>
      <c r="P529" s="58">
        <v>4.0599999999999996</v>
      </c>
      <c r="Q529" s="40">
        <v>11</v>
      </c>
      <c r="R529" s="41">
        <v>566</v>
      </c>
      <c r="S529" s="39"/>
      <c r="T529" s="41"/>
      <c r="U529" s="57">
        <v>4.68</v>
      </c>
      <c r="V529" s="39">
        <v>2.5299999999999998</v>
      </c>
      <c r="W529" s="40">
        <v>22</v>
      </c>
      <c r="X529" s="14"/>
      <c r="Y529" s="55">
        <f>(U529-O529)/SQRT((V529^2+P529^2)/2)</f>
        <v>-1.2475464788947848</v>
      </c>
      <c r="Z529" s="55"/>
      <c r="AA529" s="14">
        <v>1</v>
      </c>
      <c r="AB529" s="43">
        <f>((U529-O529)/V529)*AA529 * (1-(3/(4*(Q529+W529-2)-1)))</f>
        <v>-1.6273016485105565</v>
      </c>
      <c r="AC529" s="61"/>
      <c r="AD529" s="44">
        <v>1</v>
      </c>
      <c r="AE529" s="44"/>
      <c r="AF529" s="14"/>
      <c r="AG529" s="14"/>
      <c r="AH529" s="1"/>
      <c r="AI529" s="62"/>
      <c r="AJ529" s="62"/>
      <c r="AK529" s="71" t="s">
        <v>146</v>
      </c>
      <c r="AL529" s="71" t="s">
        <v>146</v>
      </c>
      <c r="AM529" s="68" t="s">
        <v>117</v>
      </c>
      <c r="AN529" s="71" t="s">
        <v>146</v>
      </c>
      <c r="AO529" s="1"/>
    </row>
    <row r="530" spans="1:41" s="54" customFormat="1" ht="15.95" customHeight="1" x14ac:dyDescent="0.25">
      <c r="A530" s="11">
        <v>398</v>
      </c>
      <c r="B530" s="13" t="s">
        <v>43</v>
      </c>
      <c r="C530" s="13" t="s">
        <v>121</v>
      </c>
      <c r="D530" s="13" t="s">
        <v>121</v>
      </c>
      <c r="E530" s="36" t="s">
        <v>36</v>
      </c>
      <c r="F530" s="13" t="s">
        <v>386</v>
      </c>
      <c r="G530" s="13">
        <v>2018</v>
      </c>
      <c r="H530" s="13" t="s">
        <v>389</v>
      </c>
      <c r="I530" s="204"/>
      <c r="J530" s="204"/>
      <c r="K530" s="204"/>
      <c r="L530" s="207"/>
      <c r="M530" s="207"/>
      <c r="N530" s="204"/>
      <c r="O530" s="124">
        <v>4.9000000000000004</v>
      </c>
      <c r="P530" s="125">
        <v>0.9</v>
      </c>
      <c r="Q530" s="126">
        <v>11</v>
      </c>
      <c r="R530" s="86">
        <v>743.18</v>
      </c>
      <c r="S530" s="138">
        <v>83.66</v>
      </c>
      <c r="T530" s="97"/>
      <c r="U530" s="124">
        <v>4.3</v>
      </c>
      <c r="V530" s="125">
        <v>1</v>
      </c>
      <c r="W530" s="126">
        <v>28</v>
      </c>
      <c r="X530" s="13"/>
      <c r="Y530" s="13"/>
      <c r="Z530" s="13"/>
      <c r="AA530" s="13">
        <v>-1</v>
      </c>
      <c r="AB530" s="43">
        <f>((U530-O530)/V530)*AA530 * (1-(3/(4*(Q530+W530-2)-1)))</f>
        <v>0.58775510204081682</v>
      </c>
      <c r="AC530" s="128"/>
      <c r="AD530" s="44">
        <v>1</v>
      </c>
      <c r="AE530" s="44"/>
      <c r="AF530" s="140">
        <f>156/12</f>
        <v>13</v>
      </c>
      <c r="AG530" s="140">
        <f>29.8/12</f>
        <v>2.4833333333333334</v>
      </c>
      <c r="AH530" s="140"/>
      <c r="AI530" s="139">
        <f>142/12</f>
        <v>11.833333333333334</v>
      </c>
      <c r="AJ530" s="139">
        <f>29.5/12</f>
        <v>2.4583333333333335</v>
      </c>
      <c r="AK530" s="13"/>
      <c r="AL530" s="13"/>
      <c r="AM530" s="13"/>
      <c r="AN530" s="13"/>
      <c r="AO530" s="11"/>
    </row>
    <row r="531" spans="1:41" s="54" customFormat="1" ht="15.95" customHeight="1" x14ac:dyDescent="0.25">
      <c r="A531" s="11">
        <v>408</v>
      </c>
      <c r="B531" s="13" t="s">
        <v>43</v>
      </c>
      <c r="C531" s="13" t="s">
        <v>121</v>
      </c>
      <c r="D531" s="13" t="s">
        <v>121</v>
      </c>
      <c r="E531" s="36" t="s">
        <v>36</v>
      </c>
      <c r="F531" s="118" t="s">
        <v>698</v>
      </c>
      <c r="G531" s="13">
        <v>2000</v>
      </c>
      <c r="H531" s="11" t="s">
        <v>416</v>
      </c>
      <c r="I531" s="208"/>
      <c r="J531" s="208"/>
      <c r="K531" s="205" t="s">
        <v>48</v>
      </c>
      <c r="L531" s="207" t="s">
        <v>704</v>
      </c>
      <c r="M531" s="207"/>
      <c r="N531" s="205"/>
      <c r="O531" s="124">
        <v>14.16</v>
      </c>
      <c r="P531" s="138">
        <v>6.62</v>
      </c>
      <c r="Q531" s="126">
        <v>19</v>
      </c>
      <c r="R531" s="97">
        <v>777.2</v>
      </c>
      <c r="S531" s="125">
        <v>199.9</v>
      </c>
      <c r="T531" s="97"/>
      <c r="U531" s="158">
        <v>12.53</v>
      </c>
      <c r="V531" s="125">
        <v>4.9400000000000004</v>
      </c>
      <c r="W531" s="126">
        <v>19</v>
      </c>
      <c r="X531" s="13"/>
      <c r="Y531" s="13"/>
      <c r="Z531" s="13"/>
      <c r="AA531" s="13">
        <v>1</v>
      </c>
      <c r="AB531" s="43">
        <f>((U531-O531)/V531)*AA531 * (1-(3/(4*(Q531+W531-2)-1)))</f>
        <v>-0.32303728660003977</v>
      </c>
      <c r="AC531" s="128"/>
      <c r="AD531" s="44">
        <v>1</v>
      </c>
      <c r="AE531" s="44"/>
      <c r="AF531" s="13">
        <v>9.4</v>
      </c>
      <c r="AG531" s="13">
        <v>2.9</v>
      </c>
      <c r="AH531" s="13"/>
      <c r="AI531" s="129">
        <v>9.3000000000000007</v>
      </c>
      <c r="AJ531" s="129">
        <v>2.9</v>
      </c>
      <c r="AK531" s="13"/>
      <c r="AL531" s="13"/>
      <c r="AM531" s="13"/>
      <c r="AN531" s="13"/>
      <c r="AO531" s="1"/>
    </row>
    <row r="532" spans="1:41" s="54" customFormat="1" ht="15.95" customHeight="1" x14ac:dyDescent="0.25">
      <c r="A532" s="11">
        <v>410</v>
      </c>
      <c r="B532" s="13" t="s">
        <v>43</v>
      </c>
      <c r="C532" s="14" t="s">
        <v>121</v>
      </c>
      <c r="D532" s="14" t="s">
        <v>121</v>
      </c>
      <c r="E532" s="36" t="s">
        <v>36</v>
      </c>
      <c r="F532" s="13" t="s">
        <v>713</v>
      </c>
      <c r="G532" s="13">
        <v>1999</v>
      </c>
      <c r="H532" s="13" t="s">
        <v>714</v>
      </c>
      <c r="I532" s="204"/>
      <c r="J532" s="204"/>
      <c r="K532" s="204" t="s">
        <v>539</v>
      </c>
      <c r="L532" s="207" t="s">
        <v>715</v>
      </c>
      <c r="M532" s="207"/>
      <c r="N532" s="204"/>
      <c r="O532" s="124">
        <v>68.099999999999994</v>
      </c>
      <c r="P532" s="125">
        <v>14.9</v>
      </c>
      <c r="Q532" s="126">
        <v>36</v>
      </c>
      <c r="R532" s="97">
        <v>455</v>
      </c>
      <c r="S532" s="125">
        <v>250</v>
      </c>
      <c r="T532" s="97"/>
      <c r="U532" s="124">
        <v>88.9</v>
      </c>
      <c r="V532" s="125">
        <v>9.1999999999999993</v>
      </c>
      <c r="W532" s="126">
        <v>36</v>
      </c>
      <c r="X532" s="13"/>
      <c r="Y532" s="13"/>
      <c r="Z532" s="13"/>
      <c r="AA532" s="13">
        <v>-1</v>
      </c>
      <c r="AB532" s="43">
        <f>((U532-O532)/V532)*AA532 * (1-(3/(4*(Q532+W532-2)-1)))</f>
        <v>-2.2365591397849478</v>
      </c>
      <c r="AC532" s="128"/>
      <c r="AD532" s="44">
        <v>1</v>
      </c>
      <c r="AE532" s="44"/>
      <c r="AF532" s="13">
        <v>13.3</v>
      </c>
      <c r="AG532" s="13">
        <v>3</v>
      </c>
      <c r="AH532" s="13"/>
      <c r="AI532" s="129">
        <v>13.2</v>
      </c>
      <c r="AJ532" s="129">
        <v>3</v>
      </c>
      <c r="AK532" s="13"/>
      <c r="AL532" s="13"/>
      <c r="AM532" s="13"/>
      <c r="AN532" s="13"/>
      <c r="AO532" s="1"/>
    </row>
    <row r="533" spans="1:41" s="45" customFormat="1" ht="15.95" customHeight="1" x14ac:dyDescent="0.25">
      <c r="A533" s="11">
        <v>411</v>
      </c>
      <c r="B533" s="13" t="s">
        <v>43</v>
      </c>
      <c r="C533" s="14" t="s">
        <v>121</v>
      </c>
      <c r="D533" s="14" t="s">
        <v>121</v>
      </c>
      <c r="E533" s="36" t="s">
        <v>36</v>
      </c>
      <c r="F533" s="13" t="s">
        <v>717</v>
      </c>
      <c r="G533" s="13">
        <v>2000</v>
      </c>
      <c r="H533" s="13" t="s">
        <v>718</v>
      </c>
      <c r="I533" s="204"/>
      <c r="J533" s="204"/>
      <c r="K533" s="204" t="s">
        <v>539</v>
      </c>
      <c r="L533" s="207" t="s">
        <v>719</v>
      </c>
      <c r="M533" s="207"/>
      <c r="N533" s="204"/>
      <c r="O533" s="124">
        <v>88.7</v>
      </c>
      <c r="P533" s="125">
        <v>9.1999999999999993</v>
      </c>
      <c r="Q533" s="126">
        <v>36</v>
      </c>
      <c r="R533" s="97">
        <v>455</v>
      </c>
      <c r="S533" s="125">
        <v>250</v>
      </c>
      <c r="T533" s="97"/>
      <c r="U533" s="124">
        <v>91.5</v>
      </c>
      <c r="V533" s="125">
        <v>9.6</v>
      </c>
      <c r="W533" s="126">
        <v>36</v>
      </c>
      <c r="X533" s="13"/>
      <c r="Y533" s="13"/>
      <c r="Z533" s="13"/>
      <c r="AA533" s="13">
        <v>-1</v>
      </c>
      <c r="AB533" s="43">
        <f>((U533-O533)/V533)*AA533 * (1-(3/(4*(Q533+W533-2)-1)))</f>
        <v>-0.28853046594982051</v>
      </c>
      <c r="AC533" s="128"/>
      <c r="AD533" s="44">
        <v>1</v>
      </c>
      <c r="AE533" s="44"/>
      <c r="AF533" s="13"/>
      <c r="AG533" s="13"/>
      <c r="AH533" s="13"/>
      <c r="AI533" s="129"/>
      <c r="AJ533" s="129"/>
      <c r="AK533" s="13"/>
      <c r="AL533" s="13"/>
      <c r="AM533" s="13"/>
      <c r="AN533" s="13"/>
      <c r="AO533" s="1"/>
    </row>
    <row r="534" spans="1:41" s="84" customFormat="1" ht="15.95" customHeight="1" x14ac:dyDescent="0.25">
      <c r="A534" s="11">
        <v>399</v>
      </c>
      <c r="B534" s="11" t="s">
        <v>54</v>
      </c>
      <c r="C534" s="13" t="s">
        <v>121</v>
      </c>
      <c r="D534" s="13" t="s">
        <v>121</v>
      </c>
      <c r="E534" s="36"/>
      <c r="F534" s="13" t="s">
        <v>137</v>
      </c>
      <c r="G534" s="13">
        <v>2001</v>
      </c>
      <c r="H534" s="13" t="s">
        <v>389</v>
      </c>
      <c r="I534" s="204"/>
      <c r="J534" s="204"/>
      <c r="K534" s="204"/>
      <c r="L534" s="207" t="s">
        <v>532</v>
      </c>
      <c r="M534" s="207" t="s">
        <v>533</v>
      </c>
      <c r="N534" s="204"/>
      <c r="O534" s="124">
        <v>6.7</v>
      </c>
      <c r="P534" s="125">
        <v>1.4</v>
      </c>
      <c r="Q534" s="126">
        <v>18</v>
      </c>
      <c r="R534" s="169" t="s">
        <v>58</v>
      </c>
      <c r="S534" s="170"/>
      <c r="T534" s="97"/>
      <c r="U534" s="124">
        <v>6.2</v>
      </c>
      <c r="V534" s="125">
        <v>1.4</v>
      </c>
      <c r="W534" s="126">
        <v>16</v>
      </c>
      <c r="X534" s="13"/>
      <c r="Y534" s="13"/>
      <c r="Z534" s="13"/>
      <c r="AA534" s="13">
        <v>-1</v>
      </c>
      <c r="AB534" s="43">
        <f>((U534-O534)/V534)*AA534 * (1-(3/(4*(Q534+W534-2)-1)))</f>
        <v>0.34870641169853772</v>
      </c>
      <c r="AC534" s="128"/>
      <c r="AD534" s="44">
        <v>1</v>
      </c>
      <c r="AE534" s="44"/>
      <c r="AF534" s="118">
        <v>17.88</v>
      </c>
      <c r="AG534" s="118">
        <v>2.74</v>
      </c>
      <c r="AH534" s="11"/>
      <c r="AI534" s="155">
        <v>16.32</v>
      </c>
      <c r="AJ534" s="155">
        <v>2.92</v>
      </c>
      <c r="AK534" s="13"/>
      <c r="AL534" s="13"/>
      <c r="AM534" s="13"/>
      <c r="AN534" s="13"/>
      <c r="AO534" s="1"/>
    </row>
    <row r="535" spans="1:41" s="84" customFormat="1" ht="15.95" customHeight="1" x14ac:dyDescent="0.25">
      <c r="A535" s="11">
        <v>400</v>
      </c>
      <c r="B535" s="11" t="s">
        <v>54</v>
      </c>
      <c r="C535" s="13" t="s">
        <v>121</v>
      </c>
      <c r="D535" s="13" t="s">
        <v>121</v>
      </c>
      <c r="E535" s="36"/>
      <c r="F535" s="13" t="s">
        <v>137</v>
      </c>
      <c r="G535" s="13">
        <v>2001</v>
      </c>
      <c r="H535" s="13" t="s">
        <v>389</v>
      </c>
      <c r="I535" s="204"/>
      <c r="J535" s="204"/>
      <c r="K535" s="204"/>
      <c r="L535" s="207" t="s">
        <v>534</v>
      </c>
      <c r="M535" s="207"/>
      <c r="N535" s="204"/>
      <c r="O535" s="124">
        <v>0.71</v>
      </c>
      <c r="P535" s="125">
        <v>1.7</v>
      </c>
      <c r="Q535" s="126">
        <v>18</v>
      </c>
      <c r="R535" s="169" t="s">
        <v>58</v>
      </c>
      <c r="S535" s="170"/>
      <c r="T535" s="97"/>
      <c r="U535" s="124">
        <v>1.6</v>
      </c>
      <c r="V535" s="125">
        <v>4.07</v>
      </c>
      <c r="W535" s="126">
        <v>16</v>
      </c>
      <c r="X535" s="13"/>
      <c r="Y535" s="13"/>
      <c r="Z535" s="13"/>
      <c r="AA535" s="13">
        <v>-1</v>
      </c>
      <c r="AB535" s="43">
        <f>((U535-O535)/V535)*AA535 * (1-(3/(4*(Q535+W535-2)-1)))</f>
        <v>-0.2135077095707017</v>
      </c>
      <c r="AC535" s="128"/>
      <c r="AD535" s="44">
        <v>1</v>
      </c>
      <c r="AE535" s="44"/>
      <c r="AF535" s="118">
        <v>17.88</v>
      </c>
      <c r="AG535" s="118">
        <v>2.74</v>
      </c>
      <c r="AH535" s="11"/>
      <c r="AI535" s="155">
        <v>16.32</v>
      </c>
      <c r="AJ535" s="155">
        <v>2.92</v>
      </c>
      <c r="AK535" s="13"/>
      <c r="AL535" s="13"/>
      <c r="AM535" s="13"/>
      <c r="AN535" s="13"/>
      <c r="AO535" s="11"/>
    </row>
    <row r="536" spans="1:41" s="54" customFormat="1" ht="15.95" customHeight="1" x14ac:dyDescent="0.25">
      <c r="A536" s="11">
        <v>401</v>
      </c>
      <c r="B536" s="11" t="s">
        <v>54</v>
      </c>
      <c r="C536" s="13" t="s">
        <v>121</v>
      </c>
      <c r="D536" s="13" t="s">
        <v>121</v>
      </c>
      <c r="E536" s="36"/>
      <c r="F536" s="13" t="s">
        <v>137</v>
      </c>
      <c r="G536" s="13">
        <v>2001</v>
      </c>
      <c r="H536" s="13" t="s">
        <v>389</v>
      </c>
      <c r="I536" s="204"/>
      <c r="J536" s="204"/>
      <c r="K536" s="204"/>
      <c r="L536" s="207" t="s">
        <v>535</v>
      </c>
      <c r="M536" s="207"/>
      <c r="N536" s="204"/>
      <c r="O536" s="124">
        <v>21.6</v>
      </c>
      <c r="P536" s="125">
        <v>16.8</v>
      </c>
      <c r="Q536" s="126">
        <v>18</v>
      </c>
      <c r="R536" s="169" t="s">
        <v>58</v>
      </c>
      <c r="S536" s="170"/>
      <c r="T536" s="97"/>
      <c r="U536" s="124">
        <v>30.4</v>
      </c>
      <c r="V536" s="125">
        <v>16.899999999999999</v>
      </c>
      <c r="W536" s="126">
        <v>16</v>
      </c>
      <c r="X536" s="13"/>
      <c r="Y536" s="13"/>
      <c r="Z536" s="13"/>
      <c r="AA536" s="13">
        <v>-1</v>
      </c>
      <c r="AB536" s="43">
        <f>((U536-O536)/V536)*AA536 * (1-(3/(4*(Q536+W536-2)-1)))</f>
        <v>-0.50840982155337078</v>
      </c>
      <c r="AC536" s="128"/>
      <c r="AD536" s="44">
        <v>1</v>
      </c>
      <c r="AE536" s="44"/>
      <c r="AF536" s="118">
        <v>17.88</v>
      </c>
      <c r="AG536" s="118">
        <v>2.74</v>
      </c>
      <c r="AH536" s="11"/>
      <c r="AI536" s="155">
        <v>16.32</v>
      </c>
      <c r="AJ536" s="155">
        <v>2.92</v>
      </c>
      <c r="AK536" s="13"/>
      <c r="AL536" s="13"/>
      <c r="AM536" s="13"/>
      <c r="AN536" s="13"/>
      <c r="AO536" s="1"/>
    </row>
    <row r="537" spans="1:41" s="54" customFormat="1" ht="15.95" customHeight="1" x14ac:dyDescent="0.25">
      <c r="A537" s="11">
        <v>402</v>
      </c>
      <c r="B537" s="11" t="s">
        <v>54</v>
      </c>
      <c r="C537" s="13" t="s">
        <v>121</v>
      </c>
      <c r="D537" s="13" t="s">
        <v>121</v>
      </c>
      <c r="E537" s="36"/>
      <c r="F537" s="13" t="s">
        <v>137</v>
      </c>
      <c r="G537" s="13">
        <v>2001</v>
      </c>
      <c r="H537" s="13" t="s">
        <v>389</v>
      </c>
      <c r="I537" s="204"/>
      <c r="J537" s="204"/>
      <c r="K537" s="204"/>
      <c r="L537" s="207" t="s">
        <v>536</v>
      </c>
      <c r="M537" s="207"/>
      <c r="N537" s="204"/>
      <c r="O537" s="124">
        <v>32.6</v>
      </c>
      <c r="P537" s="125">
        <v>4.5999999999999996</v>
      </c>
      <c r="Q537" s="126">
        <v>18</v>
      </c>
      <c r="R537" s="169" t="s">
        <v>58</v>
      </c>
      <c r="S537" s="170"/>
      <c r="T537" s="97"/>
      <c r="U537" s="124">
        <v>33.299999999999997</v>
      </c>
      <c r="V537" s="125">
        <v>4.33</v>
      </c>
      <c r="W537" s="126">
        <v>16</v>
      </c>
      <c r="X537" s="13"/>
      <c r="Y537" s="13"/>
      <c r="Z537" s="13"/>
      <c r="AA537" s="13">
        <v>-1</v>
      </c>
      <c r="AB537" s="43">
        <f>((U537-O537)/V537)*AA537 * (1-(3/(4*(Q537+W537-2)-1)))</f>
        <v>-0.15784401083813621</v>
      </c>
      <c r="AC537" s="128"/>
      <c r="AD537" s="44">
        <v>1</v>
      </c>
      <c r="AE537" s="44"/>
      <c r="AF537" s="118">
        <v>17.88</v>
      </c>
      <c r="AG537" s="118">
        <v>2.74</v>
      </c>
      <c r="AH537" s="11"/>
      <c r="AI537" s="155">
        <v>16.32</v>
      </c>
      <c r="AJ537" s="155">
        <v>2.92</v>
      </c>
      <c r="AK537" s="13"/>
      <c r="AL537" s="13"/>
      <c r="AM537" s="13"/>
      <c r="AN537" s="13"/>
      <c r="AO537" s="1"/>
    </row>
    <row r="538" spans="1:41" s="54" customFormat="1" ht="15.95" customHeight="1" x14ac:dyDescent="0.25">
      <c r="A538" s="11">
        <v>492</v>
      </c>
      <c r="B538" s="1" t="s">
        <v>34</v>
      </c>
      <c r="C538" s="14" t="s">
        <v>136</v>
      </c>
      <c r="D538" s="14" t="s">
        <v>136</v>
      </c>
      <c r="E538" s="36" t="s">
        <v>45</v>
      </c>
      <c r="F538" s="14" t="s">
        <v>383</v>
      </c>
      <c r="G538" s="1">
        <v>2018</v>
      </c>
      <c r="H538" s="11" t="s">
        <v>384</v>
      </c>
      <c r="I538" s="204"/>
      <c r="J538" s="204"/>
      <c r="K538" s="210" t="s">
        <v>385</v>
      </c>
      <c r="L538" s="220"/>
      <c r="M538" s="220"/>
      <c r="N538" s="220"/>
      <c r="O538" s="74">
        <v>10.1</v>
      </c>
      <c r="P538" s="60">
        <v>2.14</v>
      </c>
      <c r="Q538" s="91">
        <v>46</v>
      </c>
      <c r="R538" s="59">
        <v>594.79999999999995</v>
      </c>
      <c r="S538" s="60"/>
      <c r="T538" s="59"/>
      <c r="U538" s="74">
        <v>8.5399999999999991</v>
      </c>
      <c r="V538" s="92">
        <v>1.91</v>
      </c>
      <c r="W538" s="91">
        <v>31</v>
      </c>
      <c r="X538" s="14"/>
      <c r="Y538" s="55">
        <f>(U538-O538)/SQRT((V538^2+P538^2)/2)</f>
        <v>-0.76913109944122449</v>
      </c>
      <c r="Z538" s="55"/>
      <c r="AA538" s="14">
        <v>1</v>
      </c>
      <c r="AB538" s="43">
        <f>((U538-O538)/V538)*AA538 * (1-(3/(4*(Q538+W538-2)-1)))</f>
        <v>-0.80855907124971571</v>
      </c>
      <c r="AC538" s="61"/>
      <c r="AD538" s="44">
        <v>1</v>
      </c>
      <c r="AE538" s="44"/>
      <c r="AF538" s="14"/>
      <c r="AG538" s="14"/>
      <c r="AH538" s="1"/>
      <c r="AI538" s="62"/>
      <c r="AJ538" s="62"/>
      <c r="AK538" s="14">
        <v>1</v>
      </c>
      <c r="AL538" s="14" t="s">
        <v>116</v>
      </c>
      <c r="AM538" s="1" t="s">
        <v>69</v>
      </c>
      <c r="AN538" s="14" t="s">
        <v>118</v>
      </c>
      <c r="AO538" s="1"/>
    </row>
    <row r="539" spans="1:41" s="54" customFormat="1" ht="15.95" customHeight="1" x14ac:dyDescent="0.25">
      <c r="A539" s="11">
        <v>493</v>
      </c>
      <c r="B539" s="11" t="s">
        <v>34</v>
      </c>
      <c r="C539" s="14" t="s">
        <v>136</v>
      </c>
      <c r="D539" s="14" t="s">
        <v>136</v>
      </c>
      <c r="E539" s="36" t="s">
        <v>45</v>
      </c>
      <c r="F539" s="11" t="s">
        <v>274</v>
      </c>
      <c r="G539" s="11">
        <v>2023</v>
      </c>
      <c r="H539" s="11" t="s">
        <v>443</v>
      </c>
      <c r="I539" s="204"/>
      <c r="J539" s="210"/>
      <c r="K539" s="204" t="s">
        <v>437</v>
      </c>
      <c r="L539" s="207" t="s">
        <v>444</v>
      </c>
      <c r="M539" s="204" t="s">
        <v>445</v>
      </c>
      <c r="N539" s="204"/>
      <c r="O539" s="38">
        <v>50</v>
      </c>
      <c r="P539" s="39">
        <v>9.1999999999999993</v>
      </c>
      <c r="Q539" s="40">
        <v>40</v>
      </c>
      <c r="R539" s="41">
        <v>589</v>
      </c>
      <c r="S539" s="39">
        <v>444</v>
      </c>
      <c r="T539" s="41"/>
      <c r="U539" s="38">
        <v>51</v>
      </c>
      <c r="V539" s="41">
        <v>9.6</v>
      </c>
      <c r="W539" s="40">
        <v>32</v>
      </c>
      <c r="X539" s="11" t="s">
        <v>58</v>
      </c>
      <c r="Y539" s="11"/>
      <c r="Z539" s="11"/>
      <c r="AA539" s="11">
        <v>-1</v>
      </c>
      <c r="AB539" s="43">
        <f>((U539-O539)/V539)*AA539 * (1-(3/(4*(Q539+W539-2)-1)))</f>
        <v>-0.10304659498207885</v>
      </c>
      <c r="AC539" s="11"/>
      <c r="AD539" s="44">
        <v>1</v>
      </c>
      <c r="AE539" s="44"/>
      <c r="AF539" s="11" t="s">
        <v>58</v>
      </c>
      <c r="AG539" s="11"/>
      <c r="AH539" s="11"/>
      <c r="AI539" s="11"/>
      <c r="AJ539" s="11"/>
      <c r="AK539" s="11"/>
      <c r="AL539" s="11"/>
      <c r="AM539" s="11"/>
      <c r="AN539" s="11"/>
      <c r="AO539" s="1"/>
    </row>
    <row r="540" spans="1:41" s="45" customFormat="1" ht="15.95" customHeight="1" x14ac:dyDescent="0.25">
      <c r="A540" s="11">
        <v>494</v>
      </c>
      <c r="B540" s="11" t="s">
        <v>34</v>
      </c>
      <c r="C540" s="14" t="s">
        <v>136</v>
      </c>
      <c r="D540" s="14" t="s">
        <v>136</v>
      </c>
      <c r="E540" s="36" t="s">
        <v>45</v>
      </c>
      <c r="F540" s="11" t="s">
        <v>274</v>
      </c>
      <c r="G540" s="11">
        <v>2023</v>
      </c>
      <c r="H540" s="11" t="s">
        <v>446</v>
      </c>
      <c r="I540" s="204"/>
      <c r="J540" s="210"/>
      <c r="K540" s="204" t="s">
        <v>437</v>
      </c>
      <c r="L540" s="207" t="s">
        <v>444</v>
      </c>
      <c r="M540" s="204" t="s">
        <v>445</v>
      </c>
      <c r="N540" s="204"/>
      <c r="O540" s="38">
        <v>47</v>
      </c>
      <c r="P540" s="39">
        <v>10.8</v>
      </c>
      <c r="Q540" s="40">
        <v>40</v>
      </c>
      <c r="R540" s="41">
        <v>589</v>
      </c>
      <c r="S540" s="39">
        <v>444</v>
      </c>
      <c r="T540" s="41"/>
      <c r="U540" s="38">
        <v>54</v>
      </c>
      <c r="V540" s="41">
        <v>10.3</v>
      </c>
      <c r="W540" s="40">
        <v>32</v>
      </c>
      <c r="X540" s="11" t="s">
        <v>58</v>
      </c>
      <c r="Y540" s="11"/>
      <c r="Z540" s="11"/>
      <c r="AA540" s="11">
        <v>-1</v>
      </c>
      <c r="AB540" s="43">
        <f>((U540-O540)/V540)*AA540 * (1-(3/(4*(Q540+W540-2)-1)))</f>
        <v>-0.67230399832967946</v>
      </c>
      <c r="AC540" s="11"/>
      <c r="AD540" s="44">
        <v>1</v>
      </c>
      <c r="AE540" s="44"/>
      <c r="AF540" s="11" t="s">
        <v>58</v>
      </c>
      <c r="AG540" s="11"/>
      <c r="AH540" s="11"/>
      <c r="AI540" s="11"/>
      <c r="AJ540" s="11"/>
      <c r="AK540" s="11"/>
      <c r="AL540" s="11"/>
      <c r="AM540" s="11"/>
      <c r="AN540" s="11"/>
      <c r="AO540" s="1"/>
    </row>
    <row r="541" spans="1:41" s="54" customFormat="1" ht="15.95" customHeight="1" x14ac:dyDescent="0.25">
      <c r="A541" s="11">
        <v>477</v>
      </c>
      <c r="B541" s="1" t="s">
        <v>34</v>
      </c>
      <c r="C541" s="14" t="s">
        <v>136</v>
      </c>
      <c r="D541" s="14" t="s">
        <v>136</v>
      </c>
      <c r="E541" s="36" t="s">
        <v>45</v>
      </c>
      <c r="F541" s="11" t="s">
        <v>148</v>
      </c>
      <c r="G541" s="1">
        <v>2017</v>
      </c>
      <c r="H541" s="11" t="s">
        <v>603</v>
      </c>
      <c r="I541" s="204"/>
      <c r="J541" s="204"/>
      <c r="K541" s="210" t="s">
        <v>294</v>
      </c>
      <c r="L541" s="220"/>
      <c r="M541" s="220"/>
      <c r="N541" s="220"/>
      <c r="O541" s="74">
        <v>65.099999999999994</v>
      </c>
      <c r="P541" s="60">
        <v>11.7</v>
      </c>
      <c r="Q541" s="91">
        <v>37</v>
      </c>
      <c r="R541" s="59">
        <v>720</v>
      </c>
      <c r="S541" s="60"/>
      <c r="T541" s="59"/>
      <c r="U541" s="74">
        <v>59.2</v>
      </c>
      <c r="V541" s="92">
        <v>5.0999999999999996</v>
      </c>
      <c r="W541" s="91">
        <v>30</v>
      </c>
      <c r="X541" s="14"/>
      <c r="Y541" s="55">
        <f>(U541-O541)/SQRT((V541^2+P541^2)/2)</f>
        <v>-0.6537421203926238</v>
      </c>
      <c r="Z541" s="55"/>
      <c r="AA541" s="14">
        <v>1</v>
      </c>
      <c r="AB541" s="43">
        <f>((U541-O541)/V541)*AA541 * (1-(3/(4*(Q541+W541-2)-1)))</f>
        <v>-1.1434627905216124</v>
      </c>
      <c r="AC541" s="61"/>
      <c r="AD541" s="44">
        <v>1</v>
      </c>
      <c r="AE541" s="44"/>
      <c r="AF541" s="14"/>
      <c r="AG541" s="14"/>
      <c r="AH541" s="1"/>
      <c r="AI541" s="62"/>
      <c r="AJ541" s="62"/>
      <c r="AK541" s="14">
        <v>1</v>
      </c>
      <c r="AL541" s="14" t="s">
        <v>116</v>
      </c>
      <c r="AM541" s="1" t="s">
        <v>69</v>
      </c>
      <c r="AN541" s="14" t="s">
        <v>118</v>
      </c>
      <c r="AO541" s="1"/>
    </row>
    <row r="542" spans="1:41" s="54" customFormat="1" ht="15.95" customHeight="1" x14ac:dyDescent="0.25">
      <c r="A542" s="11">
        <v>473</v>
      </c>
      <c r="B542" s="1" t="s">
        <v>34</v>
      </c>
      <c r="C542" s="14" t="s">
        <v>136</v>
      </c>
      <c r="D542" s="14" t="s">
        <v>136</v>
      </c>
      <c r="E542" s="36" t="s">
        <v>45</v>
      </c>
      <c r="F542" s="14" t="s">
        <v>647</v>
      </c>
      <c r="G542" s="1">
        <v>1998</v>
      </c>
      <c r="H542" s="11" t="s">
        <v>648</v>
      </c>
      <c r="I542" s="204"/>
      <c r="J542" s="204"/>
      <c r="K542" s="210" t="s">
        <v>649</v>
      </c>
      <c r="L542" s="220"/>
      <c r="M542" s="220"/>
      <c r="N542" s="220"/>
      <c r="O542" s="74">
        <v>37.9</v>
      </c>
      <c r="P542" s="60">
        <v>15.2</v>
      </c>
      <c r="Q542" s="91">
        <v>57</v>
      </c>
      <c r="R542" s="59">
        <v>1085</v>
      </c>
      <c r="S542" s="60"/>
      <c r="T542" s="59"/>
      <c r="U542" s="74">
        <v>26.5</v>
      </c>
      <c r="V542" s="92">
        <v>8.6</v>
      </c>
      <c r="W542" s="91">
        <v>40</v>
      </c>
      <c r="X542" s="14"/>
      <c r="Y542" s="55">
        <f>(U542-O542)/SQRT((V542^2+P542^2)/2)</f>
        <v>-0.92314501640396418</v>
      </c>
      <c r="Z542" s="55"/>
      <c r="AA542" s="14">
        <v>1</v>
      </c>
      <c r="AB542" s="43">
        <f>((U542-O542)/V542)*AA542 * (1-(3/(4*(Q542+W542-2)-1)))</f>
        <v>-1.3150886666257593</v>
      </c>
      <c r="AC542" s="61"/>
      <c r="AD542" s="44">
        <v>1</v>
      </c>
      <c r="AE542" s="44"/>
      <c r="AF542" s="14"/>
      <c r="AG542" s="14"/>
      <c r="AH542" s="1"/>
      <c r="AI542" s="62"/>
      <c r="AJ542" s="62"/>
      <c r="AK542" s="14">
        <v>4</v>
      </c>
      <c r="AL542" s="14" t="s">
        <v>215</v>
      </c>
      <c r="AM542" s="1" t="s">
        <v>117</v>
      </c>
      <c r="AN542" s="14" t="s">
        <v>215</v>
      </c>
      <c r="AO542" s="1"/>
    </row>
    <row r="543" spans="1:41" s="54" customFormat="1" ht="15.95" customHeight="1" x14ac:dyDescent="0.25">
      <c r="A543" s="11">
        <v>474</v>
      </c>
      <c r="B543" s="1" t="s">
        <v>34</v>
      </c>
      <c r="C543" s="14" t="s">
        <v>136</v>
      </c>
      <c r="D543" s="14" t="s">
        <v>136</v>
      </c>
      <c r="E543" s="36" t="s">
        <v>45</v>
      </c>
      <c r="F543" s="14" t="s">
        <v>647</v>
      </c>
      <c r="G543" s="1">
        <v>1998</v>
      </c>
      <c r="H543" s="11" t="s">
        <v>650</v>
      </c>
      <c r="I543" s="204"/>
      <c r="J543" s="204"/>
      <c r="K543" s="210" t="s">
        <v>651</v>
      </c>
      <c r="L543" s="220"/>
      <c r="M543" s="220"/>
      <c r="N543" s="220"/>
      <c r="O543" s="74">
        <v>16.600000000000001</v>
      </c>
      <c r="P543" s="60">
        <v>11.8</v>
      </c>
      <c r="Q543" s="91">
        <v>57</v>
      </c>
      <c r="R543" s="59">
        <v>1085</v>
      </c>
      <c r="S543" s="60"/>
      <c r="T543" s="59"/>
      <c r="U543" s="74">
        <v>8.5</v>
      </c>
      <c r="V543" s="92">
        <v>6.4</v>
      </c>
      <c r="W543" s="91">
        <v>40</v>
      </c>
      <c r="X543" s="14"/>
      <c r="Y543" s="55">
        <f>(U543-O543)/SQRT((V543^2+P543^2)/2)</f>
        <v>-0.85334102151549585</v>
      </c>
      <c r="Z543" s="55"/>
      <c r="AA543" s="14">
        <v>1</v>
      </c>
      <c r="AB543" s="43">
        <f>((U543-O543)/V543)*AA543 * (1-(3/(4*(Q543+W543-2)-1)))</f>
        <v>-1.2556068601583115</v>
      </c>
      <c r="AC543" s="61"/>
      <c r="AD543" s="44">
        <v>1</v>
      </c>
      <c r="AE543" s="44"/>
      <c r="AF543" s="14"/>
      <c r="AG543" s="14"/>
      <c r="AH543" s="1"/>
      <c r="AI543" s="62"/>
      <c r="AJ543" s="62"/>
      <c r="AK543" s="14">
        <v>4</v>
      </c>
      <c r="AL543" s="14" t="s">
        <v>215</v>
      </c>
      <c r="AM543" s="1" t="s">
        <v>117</v>
      </c>
      <c r="AN543" s="14" t="s">
        <v>215</v>
      </c>
      <c r="AO543" s="1"/>
    </row>
    <row r="544" spans="1:41" s="54" customFormat="1" ht="15.95" customHeight="1" x14ac:dyDescent="0.25">
      <c r="A544" s="11">
        <v>481</v>
      </c>
      <c r="B544" s="1" t="s">
        <v>34</v>
      </c>
      <c r="C544" s="14" t="s">
        <v>136</v>
      </c>
      <c r="D544" s="14" t="s">
        <v>136</v>
      </c>
      <c r="E544" s="36" t="s">
        <v>45</v>
      </c>
      <c r="F544" s="14" t="s">
        <v>647</v>
      </c>
      <c r="G544" s="1">
        <v>1998</v>
      </c>
      <c r="H544" s="11" t="s">
        <v>652</v>
      </c>
      <c r="I544" s="204"/>
      <c r="J544" s="204"/>
      <c r="K544" s="210" t="s">
        <v>653</v>
      </c>
      <c r="L544" s="220"/>
      <c r="M544" s="220"/>
      <c r="N544" s="220"/>
      <c r="O544" s="74">
        <v>452</v>
      </c>
      <c r="P544" s="60">
        <v>72.239999999999995</v>
      </c>
      <c r="Q544" s="91">
        <v>57</v>
      </c>
      <c r="R544" s="59">
        <v>1085</v>
      </c>
      <c r="S544" s="60"/>
      <c r="T544" s="59"/>
      <c r="U544" s="74">
        <v>430</v>
      </c>
      <c r="V544" s="92">
        <v>77.48</v>
      </c>
      <c r="W544" s="91">
        <v>40</v>
      </c>
      <c r="X544" s="14"/>
      <c r="Y544" s="55">
        <f>(U544-O544)/SQRT((V544^2+P544^2)/2)</f>
        <v>-0.29370208915591428</v>
      </c>
      <c r="Z544" s="55"/>
      <c r="AA544" s="14">
        <v>1</v>
      </c>
      <c r="AB544" s="43">
        <f>((U544-O544)/V544)*AA544 * (1-(3/(4*(Q544+W544-2)-1)))</f>
        <v>-0.2816966639105436</v>
      </c>
      <c r="AC544" s="61"/>
      <c r="AD544" s="44">
        <v>1</v>
      </c>
      <c r="AE544" s="44"/>
      <c r="AF544" s="14"/>
      <c r="AG544" s="14"/>
      <c r="AH544" s="1"/>
      <c r="AI544" s="62"/>
      <c r="AJ544" s="62"/>
      <c r="AK544" s="14">
        <v>4</v>
      </c>
      <c r="AL544" s="14" t="s">
        <v>215</v>
      </c>
      <c r="AM544" s="1" t="s">
        <v>117</v>
      </c>
      <c r="AN544" s="14" t="s">
        <v>215</v>
      </c>
      <c r="AO544" s="1"/>
    </row>
    <row r="545" spans="1:41" s="54" customFormat="1" ht="15.95" customHeight="1" x14ac:dyDescent="0.25">
      <c r="A545" s="11">
        <v>482</v>
      </c>
      <c r="B545" s="1" t="s">
        <v>34</v>
      </c>
      <c r="C545" s="14" t="s">
        <v>136</v>
      </c>
      <c r="D545" s="14" t="s">
        <v>136</v>
      </c>
      <c r="E545" s="36" t="s">
        <v>45</v>
      </c>
      <c r="F545" s="14" t="s">
        <v>647</v>
      </c>
      <c r="G545" s="1">
        <v>1998</v>
      </c>
      <c r="H545" s="11" t="s">
        <v>654</v>
      </c>
      <c r="I545" s="204"/>
      <c r="J545" s="204"/>
      <c r="K545" s="210" t="s">
        <v>655</v>
      </c>
      <c r="L545" s="220"/>
      <c r="M545" s="220"/>
      <c r="N545" s="220"/>
      <c r="O545" s="74">
        <v>14.4</v>
      </c>
      <c r="P545" s="60">
        <v>11.8</v>
      </c>
      <c r="Q545" s="91">
        <v>57</v>
      </c>
      <c r="R545" s="59">
        <v>1085</v>
      </c>
      <c r="S545" s="60"/>
      <c r="T545" s="59"/>
      <c r="U545" s="74">
        <v>10.7</v>
      </c>
      <c r="V545" s="92">
        <v>8.6</v>
      </c>
      <c r="W545" s="91">
        <v>40</v>
      </c>
      <c r="X545" s="14"/>
      <c r="Y545" s="55">
        <f>(U545-O545)/SQRT((V545^2+P545^2)/2)</f>
        <v>-0.35836296545455271</v>
      </c>
      <c r="Z545" s="55"/>
      <c r="AA545" s="14">
        <v>1</v>
      </c>
      <c r="AB545" s="43">
        <f>((U545-O545)/V545)*AA545 * (1-(3/(4*(Q545+W545-2)-1)))</f>
        <v>-0.42682702337853606</v>
      </c>
      <c r="AC545" s="61"/>
      <c r="AD545" s="44">
        <v>1</v>
      </c>
      <c r="AE545" s="44"/>
      <c r="AF545" s="14"/>
      <c r="AG545" s="14"/>
      <c r="AH545" s="1"/>
      <c r="AI545" s="62"/>
      <c r="AJ545" s="62"/>
      <c r="AK545" s="14">
        <v>4</v>
      </c>
      <c r="AL545" s="14" t="s">
        <v>215</v>
      </c>
      <c r="AM545" s="1" t="s">
        <v>117</v>
      </c>
      <c r="AN545" s="14" t="s">
        <v>215</v>
      </c>
      <c r="AO545" s="13"/>
    </row>
    <row r="546" spans="1:41" s="54" customFormat="1" ht="15.95" customHeight="1" x14ac:dyDescent="0.25">
      <c r="A546" s="11">
        <v>483</v>
      </c>
      <c r="B546" s="1" t="s">
        <v>34</v>
      </c>
      <c r="C546" s="14" t="s">
        <v>136</v>
      </c>
      <c r="D546" s="14" t="s">
        <v>136</v>
      </c>
      <c r="E546" s="36" t="s">
        <v>45</v>
      </c>
      <c r="F546" s="14" t="s">
        <v>647</v>
      </c>
      <c r="G546" s="1">
        <v>1998</v>
      </c>
      <c r="H546" s="11" t="s">
        <v>656</v>
      </c>
      <c r="I546" s="204"/>
      <c r="J546" s="204"/>
      <c r="K546" s="210" t="s">
        <v>657</v>
      </c>
      <c r="L546" s="220"/>
      <c r="M546" s="220"/>
      <c r="N546" s="220"/>
      <c r="O546" s="74">
        <v>19.600000000000001</v>
      </c>
      <c r="P546" s="60">
        <v>10.9</v>
      </c>
      <c r="Q546" s="91">
        <v>57</v>
      </c>
      <c r="R546" s="59">
        <v>1085</v>
      </c>
      <c r="S546" s="60"/>
      <c r="T546" s="59"/>
      <c r="U546" s="74">
        <v>15.1</v>
      </c>
      <c r="V546" s="92">
        <v>9.4</v>
      </c>
      <c r="W546" s="91">
        <v>40</v>
      </c>
      <c r="X546" s="14"/>
      <c r="Y546" s="55">
        <f>(U546-O546)/SQRT((V546^2+P546^2)/2)</f>
        <v>-0.44214434886732878</v>
      </c>
      <c r="Z546" s="55"/>
      <c r="AA546" s="14">
        <v>1</v>
      </c>
      <c r="AB546" s="43">
        <f>((U546-O546)/V546)*AA546 * (1-(3/(4*(Q546+W546-2)-1)))</f>
        <v>-0.47493403693931419</v>
      </c>
      <c r="AC546" s="61"/>
      <c r="AD546" s="44">
        <v>1</v>
      </c>
      <c r="AE546" s="44"/>
      <c r="AF546" s="14"/>
      <c r="AG546" s="14"/>
      <c r="AH546" s="1"/>
      <c r="AI546" s="62"/>
      <c r="AJ546" s="62"/>
      <c r="AK546" s="14">
        <v>4</v>
      </c>
      <c r="AL546" s="14" t="s">
        <v>215</v>
      </c>
      <c r="AM546" s="1" t="s">
        <v>117</v>
      </c>
      <c r="AN546" s="14" t="s">
        <v>215</v>
      </c>
      <c r="AO546" s="1"/>
    </row>
    <row r="547" spans="1:41" s="54" customFormat="1" ht="15.95" customHeight="1" x14ac:dyDescent="0.25">
      <c r="A547" s="11">
        <v>484</v>
      </c>
      <c r="B547" s="1" t="s">
        <v>34</v>
      </c>
      <c r="C547" s="14" t="s">
        <v>136</v>
      </c>
      <c r="D547" s="14" t="s">
        <v>136</v>
      </c>
      <c r="E547" s="36" t="s">
        <v>45</v>
      </c>
      <c r="F547" s="14" t="s">
        <v>647</v>
      </c>
      <c r="G547" s="1">
        <v>1998</v>
      </c>
      <c r="H547" s="11" t="s">
        <v>658</v>
      </c>
      <c r="I547" s="204"/>
      <c r="J547" s="204"/>
      <c r="K547" s="210" t="s">
        <v>659</v>
      </c>
      <c r="L547" s="220"/>
      <c r="M547" s="220"/>
      <c r="N547" s="220"/>
      <c r="O547" s="74">
        <v>101</v>
      </c>
      <c r="P547" s="60">
        <v>52</v>
      </c>
      <c r="Q547" s="91">
        <v>57</v>
      </c>
      <c r="R547" s="59">
        <v>1085</v>
      </c>
      <c r="S547" s="60"/>
      <c r="T547" s="59"/>
      <c r="U547" s="74">
        <v>89</v>
      </c>
      <c r="V547" s="92">
        <v>58</v>
      </c>
      <c r="W547" s="91">
        <v>40</v>
      </c>
      <c r="X547" s="14"/>
      <c r="Y547" s="55">
        <f>(U547-O547)/SQRT((V547^2+P547^2)/2)</f>
        <v>-0.21785797263947917</v>
      </c>
      <c r="Z547" s="55"/>
      <c r="AA547" s="14">
        <v>1</v>
      </c>
      <c r="AB547" s="43">
        <f>((U547-O547)/V547)*AA547 * (1-(3/(4*(Q547+W547-2)-1)))</f>
        <v>-0.20525884814848513</v>
      </c>
      <c r="AC547" s="61"/>
      <c r="AD547" s="44">
        <v>1</v>
      </c>
      <c r="AE547" s="44"/>
      <c r="AF547" s="14"/>
      <c r="AG547" s="14"/>
      <c r="AH547" s="1"/>
      <c r="AI547" s="62"/>
      <c r="AJ547" s="62"/>
      <c r="AK547" s="14">
        <v>4</v>
      </c>
      <c r="AL547" s="14" t="s">
        <v>215</v>
      </c>
      <c r="AM547" s="1" t="s">
        <v>117</v>
      </c>
      <c r="AN547" s="14" t="s">
        <v>215</v>
      </c>
      <c r="AO547" s="1"/>
    </row>
    <row r="548" spans="1:41" s="45" customFormat="1" ht="15.95" customHeight="1" x14ac:dyDescent="0.25">
      <c r="A548" s="11">
        <v>485</v>
      </c>
      <c r="B548" s="1" t="s">
        <v>34</v>
      </c>
      <c r="C548" s="14" t="s">
        <v>136</v>
      </c>
      <c r="D548" s="14" t="s">
        <v>136</v>
      </c>
      <c r="E548" s="36" t="s">
        <v>45</v>
      </c>
      <c r="F548" s="14" t="s">
        <v>647</v>
      </c>
      <c r="G548" s="1">
        <v>1998</v>
      </c>
      <c r="H548" s="11" t="s">
        <v>660</v>
      </c>
      <c r="I548" s="204"/>
      <c r="J548" s="204"/>
      <c r="K548" s="210" t="s">
        <v>661</v>
      </c>
      <c r="L548" s="220"/>
      <c r="M548" s="220"/>
      <c r="N548" s="220"/>
      <c r="O548" s="74">
        <v>35</v>
      </c>
      <c r="P548" s="60">
        <v>12</v>
      </c>
      <c r="Q548" s="91">
        <v>57</v>
      </c>
      <c r="R548" s="59">
        <v>1085</v>
      </c>
      <c r="S548" s="60"/>
      <c r="T548" s="59"/>
      <c r="U548" s="74">
        <v>33</v>
      </c>
      <c r="V548" s="92">
        <v>12</v>
      </c>
      <c r="W548" s="91">
        <v>40</v>
      </c>
      <c r="X548" s="14"/>
      <c r="Y548" s="55">
        <f>(U548-O548)/SQRT((V548^2+P548^2)/2)</f>
        <v>-0.16666666666666666</v>
      </c>
      <c r="Z548" s="55"/>
      <c r="AA548" s="14">
        <v>1</v>
      </c>
      <c r="AB548" s="43">
        <f>((U548-O548)/V548)*AA548 * (1-(3/(4*(Q548+W548-2)-1)))</f>
        <v>-0.16534740545294635</v>
      </c>
      <c r="AC548" s="61"/>
      <c r="AD548" s="44">
        <v>1</v>
      </c>
      <c r="AE548" s="44"/>
      <c r="AF548" s="14"/>
      <c r="AG548" s="14"/>
      <c r="AH548" s="1"/>
      <c r="AI548" s="62"/>
      <c r="AJ548" s="62"/>
      <c r="AK548" s="14">
        <v>4</v>
      </c>
      <c r="AL548" s="14" t="s">
        <v>215</v>
      </c>
      <c r="AM548" s="1" t="s">
        <v>117</v>
      </c>
      <c r="AN548" s="14" t="s">
        <v>215</v>
      </c>
      <c r="AO548" s="1"/>
    </row>
    <row r="549" spans="1:41" s="54" customFormat="1" ht="15.95" customHeight="1" x14ac:dyDescent="0.25">
      <c r="A549" s="11">
        <v>486</v>
      </c>
      <c r="B549" s="1" t="s">
        <v>34</v>
      </c>
      <c r="C549" s="14" t="s">
        <v>136</v>
      </c>
      <c r="D549" s="14" t="s">
        <v>136</v>
      </c>
      <c r="E549" s="36" t="s">
        <v>45</v>
      </c>
      <c r="F549" s="14" t="s">
        <v>647</v>
      </c>
      <c r="G549" s="1">
        <v>1998</v>
      </c>
      <c r="H549" s="11" t="s">
        <v>662</v>
      </c>
      <c r="I549" s="204"/>
      <c r="J549" s="204"/>
      <c r="K549" s="210" t="s">
        <v>663</v>
      </c>
      <c r="L549" s="220"/>
      <c r="M549" s="220"/>
      <c r="N549" s="220"/>
      <c r="O549" s="74">
        <v>3</v>
      </c>
      <c r="P549" s="60">
        <v>4.9000000000000004</v>
      </c>
      <c r="Q549" s="91">
        <v>57</v>
      </c>
      <c r="R549" s="59">
        <v>1085</v>
      </c>
      <c r="S549" s="60"/>
      <c r="T549" s="59"/>
      <c r="U549" s="74">
        <v>1.7</v>
      </c>
      <c r="V549" s="92">
        <v>3.5</v>
      </c>
      <c r="W549" s="91">
        <v>40</v>
      </c>
      <c r="X549" s="14"/>
      <c r="Y549" s="55">
        <f>(U549-O549)/SQRT((V549^2+P549^2)/2)</f>
        <v>-0.30531240499566353</v>
      </c>
      <c r="Z549" s="55"/>
      <c r="AA549" s="14">
        <v>1</v>
      </c>
      <c r="AB549" s="43">
        <f>((U549-O549)/V549)*AA549 * (1-(3/(4*(Q549+W549-2)-1)))</f>
        <v>-0.36848850358085189</v>
      </c>
      <c r="AC549" s="61"/>
      <c r="AD549" s="44">
        <v>1</v>
      </c>
      <c r="AE549" s="44"/>
      <c r="AF549" s="14"/>
      <c r="AG549" s="14"/>
      <c r="AH549" s="1"/>
      <c r="AI549" s="62"/>
      <c r="AJ549" s="62"/>
      <c r="AK549" s="14">
        <v>4</v>
      </c>
      <c r="AL549" s="14" t="s">
        <v>215</v>
      </c>
      <c r="AM549" s="1" t="s">
        <v>117</v>
      </c>
      <c r="AN549" s="14" t="s">
        <v>215</v>
      </c>
      <c r="AO549" s="1"/>
    </row>
    <row r="550" spans="1:41" s="54" customFormat="1" ht="15.95" customHeight="1" x14ac:dyDescent="0.25">
      <c r="A550" s="11">
        <v>487</v>
      </c>
      <c r="B550" s="1" t="s">
        <v>34</v>
      </c>
      <c r="C550" s="14" t="s">
        <v>136</v>
      </c>
      <c r="D550" s="14" t="s">
        <v>136</v>
      </c>
      <c r="E550" s="36" t="s">
        <v>45</v>
      </c>
      <c r="F550" s="14" t="s">
        <v>647</v>
      </c>
      <c r="G550" s="1">
        <v>1998</v>
      </c>
      <c r="H550" s="11" t="s">
        <v>664</v>
      </c>
      <c r="I550" s="204"/>
      <c r="J550" s="204"/>
      <c r="K550" s="210" t="s">
        <v>665</v>
      </c>
      <c r="L550" s="220"/>
      <c r="M550" s="220"/>
      <c r="N550" s="220"/>
      <c r="O550" s="74">
        <v>4.7</v>
      </c>
      <c r="P550" s="60">
        <v>6</v>
      </c>
      <c r="Q550" s="91">
        <v>57</v>
      </c>
      <c r="R550" s="59">
        <v>1085</v>
      </c>
      <c r="S550" s="60"/>
      <c r="T550" s="59"/>
      <c r="U550" s="74">
        <v>3.1</v>
      </c>
      <c r="V550" s="92">
        <v>4.7</v>
      </c>
      <c r="W550" s="91">
        <v>40</v>
      </c>
      <c r="X550" s="14"/>
      <c r="Y550" s="55">
        <f>(U550-O550)/SQRT((V550^2+P550^2)/2)</f>
        <v>-0.2968822906616716</v>
      </c>
      <c r="Z550" s="55"/>
      <c r="AA550" s="14">
        <v>1</v>
      </c>
      <c r="AB550" s="43">
        <f>((U550-O550)/V550)*AA550 * (1-(3/(4*(Q550+W550-2)-1)))</f>
        <v>-0.33773087071240104</v>
      </c>
      <c r="AC550" s="61"/>
      <c r="AD550" s="44">
        <v>1</v>
      </c>
      <c r="AE550" s="44"/>
      <c r="AF550" s="14"/>
      <c r="AG550" s="14"/>
      <c r="AH550" s="1"/>
      <c r="AI550" s="62"/>
      <c r="AJ550" s="62"/>
      <c r="AK550" s="14">
        <v>4</v>
      </c>
      <c r="AL550" s="14" t="s">
        <v>215</v>
      </c>
      <c r="AM550" s="1" t="s">
        <v>117</v>
      </c>
      <c r="AN550" s="14" t="s">
        <v>215</v>
      </c>
      <c r="AO550" s="11"/>
    </row>
    <row r="551" spans="1:41" s="84" customFormat="1" ht="15.95" customHeight="1" x14ac:dyDescent="0.25">
      <c r="A551" s="11">
        <v>475</v>
      </c>
      <c r="B551" s="1" t="s">
        <v>34</v>
      </c>
      <c r="C551" s="14" t="s">
        <v>136</v>
      </c>
      <c r="D551" s="14" t="s">
        <v>136</v>
      </c>
      <c r="E551" s="36" t="s">
        <v>45</v>
      </c>
      <c r="F551" s="14" t="s">
        <v>647</v>
      </c>
      <c r="G551" s="1">
        <v>1998</v>
      </c>
      <c r="H551" s="11" t="s">
        <v>666</v>
      </c>
      <c r="I551" s="204"/>
      <c r="J551" s="204"/>
      <c r="K551" s="210" t="s">
        <v>667</v>
      </c>
      <c r="L551" s="220"/>
      <c r="M551" s="220"/>
      <c r="N551" s="220"/>
      <c r="O551" s="74">
        <v>17.2</v>
      </c>
      <c r="P551" s="60">
        <v>6.7</v>
      </c>
      <c r="Q551" s="91">
        <v>57</v>
      </c>
      <c r="R551" s="59">
        <v>1085</v>
      </c>
      <c r="S551" s="60"/>
      <c r="T551" s="59"/>
      <c r="U551" s="74">
        <v>13.1</v>
      </c>
      <c r="V551" s="92">
        <v>3.5</v>
      </c>
      <c r="W551" s="91">
        <v>40</v>
      </c>
      <c r="X551" s="14"/>
      <c r="Y551" s="55">
        <f>(U551-O551)/SQRT((V551^2+P551^2)/2)</f>
        <v>-0.76705894100189487</v>
      </c>
      <c r="Z551" s="55"/>
      <c r="AA551" s="14">
        <v>1</v>
      </c>
      <c r="AB551" s="43">
        <f>((U551-O551)/V551)*AA551 * (1-(3/(4*(Q551+W551-2)-1)))</f>
        <v>-1.1621560497549941</v>
      </c>
      <c r="AC551" s="61"/>
      <c r="AD551" s="44">
        <v>1</v>
      </c>
      <c r="AE551" s="44"/>
      <c r="AF551" s="14"/>
      <c r="AG551" s="14"/>
      <c r="AH551" s="1"/>
      <c r="AI551" s="62"/>
      <c r="AJ551" s="62"/>
      <c r="AK551" s="14">
        <v>4</v>
      </c>
      <c r="AL551" s="14" t="s">
        <v>215</v>
      </c>
      <c r="AM551" s="1" t="s">
        <v>117</v>
      </c>
      <c r="AN551" s="14" t="s">
        <v>215</v>
      </c>
      <c r="AO551" s="1"/>
    </row>
    <row r="552" spans="1:41" s="54" customFormat="1" ht="15.95" customHeight="1" x14ac:dyDescent="0.25">
      <c r="A552" s="11">
        <v>476</v>
      </c>
      <c r="B552" s="1" t="s">
        <v>34</v>
      </c>
      <c r="C552" s="14" t="s">
        <v>136</v>
      </c>
      <c r="D552" s="14" t="s">
        <v>136</v>
      </c>
      <c r="E552" s="36" t="s">
        <v>45</v>
      </c>
      <c r="F552" s="14" t="s">
        <v>647</v>
      </c>
      <c r="G552" s="1">
        <v>1998</v>
      </c>
      <c r="H552" s="11" t="s">
        <v>668</v>
      </c>
      <c r="I552" s="204"/>
      <c r="J552" s="204"/>
      <c r="K552" s="210" t="s">
        <v>669</v>
      </c>
      <c r="L552" s="220"/>
      <c r="M552" s="220"/>
      <c r="N552" s="220"/>
      <c r="O552" s="74">
        <v>6.5</v>
      </c>
      <c r="P552" s="60">
        <v>3</v>
      </c>
      <c r="Q552" s="91">
        <v>57</v>
      </c>
      <c r="R552" s="59">
        <v>1085</v>
      </c>
      <c r="S552" s="60"/>
      <c r="T552" s="59"/>
      <c r="U552" s="74">
        <v>4.9000000000000004</v>
      </c>
      <c r="V552" s="92">
        <v>3.6</v>
      </c>
      <c r="W552" s="91">
        <v>40</v>
      </c>
      <c r="X552" s="14"/>
      <c r="Y552" s="55">
        <f>(U552-O552)/SQRT((V552^2+P552^2)/2)</f>
        <v>-0.48285731222676537</v>
      </c>
      <c r="Z552" s="55"/>
      <c r="AA552" s="14">
        <v>1</v>
      </c>
      <c r="AB552" s="43">
        <f>((U552-O552)/V552)*AA552 * (1-(3/(4*(Q552+W552-2)-1)))</f>
        <v>-0.44092641454119014</v>
      </c>
      <c r="AC552" s="61"/>
      <c r="AD552" s="44">
        <v>1</v>
      </c>
      <c r="AE552" s="44"/>
      <c r="AF552" s="14"/>
      <c r="AG552" s="14"/>
      <c r="AH552" s="1"/>
      <c r="AI552" s="62"/>
      <c r="AJ552" s="62"/>
      <c r="AK552" s="14">
        <v>4</v>
      </c>
      <c r="AL552" s="14" t="s">
        <v>215</v>
      </c>
      <c r="AM552" s="1" t="s">
        <v>117</v>
      </c>
      <c r="AN552" s="14" t="s">
        <v>215</v>
      </c>
      <c r="AO552" s="1"/>
    </row>
    <row r="553" spans="1:41" s="54" customFormat="1" ht="15.95" customHeight="1" x14ac:dyDescent="0.25">
      <c r="A553" s="11">
        <v>499</v>
      </c>
      <c r="B553" s="1" t="s">
        <v>34</v>
      </c>
      <c r="C553" s="14" t="s">
        <v>136</v>
      </c>
      <c r="D553" s="14" t="s">
        <v>136</v>
      </c>
      <c r="E553" s="36" t="s">
        <v>45</v>
      </c>
      <c r="F553" s="14" t="s">
        <v>670</v>
      </c>
      <c r="G553" s="1">
        <v>2021</v>
      </c>
      <c r="H553" s="11" t="s">
        <v>393</v>
      </c>
      <c r="I553" s="204"/>
      <c r="J553" s="204"/>
      <c r="K553" s="210"/>
      <c r="L553" s="220"/>
      <c r="M553" s="220"/>
      <c r="N553" s="220"/>
      <c r="O553" s="57">
        <v>29</v>
      </c>
      <c r="P553" s="58">
        <v>13.62</v>
      </c>
      <c r="Q553" s="40">
        <v>19</v>
      </c>
      <c r="R553" s="59">
        <v>890</v>
      </c>
      <c r="S553" s="60"/>
      <c r="T553" s="59"/>
      <c r="U553" s="57">
        <v>20</v>
      </c>
      <c r="V553" s="39">
        <v>5.5</v>
      </c>
      <c r="W553" s="40">
        <v>25</v>
      </c>
      <c r="X553" s="1"/>
      <c r="Y553" s="55">
        <f>(U553-O553)/SQRT((V553^2+P553^2)/2)</f>
        <v>-0.86651817552863086</v>
      </c>
      <c r="Z553" s="55"/>
      <c r="AA553" s="14">
        <v>1</v>
      </c>
      <c r="AB553" s="43">
        <f>((U553-O553)/V553)*AA553 * (1-(3/(4*(Q553+W553-2)-1)))</f>
        <v>-1.6069678824169842</v>
      </c>
      <c r="AC553" s="61"/>
      <c r="AD553" s="44">
        <v>1</v>
      </c>
      <c r="AE553" s="44"/>
      <c r="AF553" s="14"/>
      <c r="AG553" s="14"/>
      <c r="AH553" s="1"/>
      <c r="AI553" s="62"/>
      <c r="AJ553" s="62"/>
      <c r="AK553" s="14">
        <v>1</v>
      </c>
      <c r="AL553" s="14"/>
      <c r="AM553" s="1" t="s">
        <v>69</v>
      </c>
      <c r="AN553" s="14"/>
      <c r="AO553" s="1"/>
    </row>
    <row r="554" spans="1:41" s="45" customFormat="1" ht="15.95" customHeight="1" x14ac:dyDescent="0.25">
      <c r="A554" s="11">
        <v>478</v>
      </c>
      <c r="B554" s="1" t="s">
        <v>34</v>
      </c>
      <c r="C554" s="14" t="s">
        <v>136</v>
      </c>
      <c r="D554" s="14" t="s">
        <v>136</v>
      </c>
      <c r="E554" s="36" t="s">
        <v>45</v>
      </c>
      <c r="F554" s="1" t="s">
        <v>228</v>
      </c>
      <c r="G554" s="1">
        <v>2020</v>
      </c>
      <c r="H554" s="11" t="s">
        <v>603</v>
      </c>
      <c r="I554" s="204"/>
      <c r="J554" s="204"/>
      <c r="K554" s="210" t="s">
        <v>294</v>
      </c>
      <c r="L554" s="220"/>
      <c r="M554" s="220"/>
      <c r="N554" s="220"/>
      <c r="O554" s="57">
        <v>76.7</v>
      </c>
      <c r="P554" s="58">
        <v>11</v>
      </c>
      <c r="Q554" s="40">
        <v>19</v>
      </c>
      <c r="R554" s="59">
        <v>1042</v>
      </c>
      <c r="S554" s="60"/>
      <c r="T554" s="59"/>
      <c r="U554" s="57">
        <v>70.599999999999994</v>
      </c>
      <c r="V554" s="39">
        <v>9</v>
      </c>
      <c r="W554" s="40">
        <v>19</v>
      </c>
      <c r="X554" s="1"/>
      <c r="Y554" s="55">
        <f>(U554-O554)/SQRT((V554^2+P554^2)/2)</f>
        <v>-0.60697268602809429</v>
      </c>
      <c r="Z554" s="55"/>
      <c r="AA554" s="14">
        <v>1</v>
      </c>
      <c r="AB554" s="43">
        <f>((U554-O554)/V554)*AA554 * (1-(3/(4*(Q554+W554-2)-1)))</f>
        <v>-0.66355866355866444</v>
      </c>
      <c r="AC554" s="61"/>
      <c r="AD554" s="44">
        <v>1</v>
      </c>
      <c r="AE554" s="44"/>
      <c r="AF554" s="14"/>
      <c r="AG554" s="14"/>
      <c r="AH554" s="1"/>
      <c r="AI554" s="62"/>
      <c r="AJ554" s="62"/>
      <c r="AK554" s="14"/>
      <c r="AL554" s="14"/>
      <c r="AM554" s="1"/>
      <c r="AN554" s="14"/>
      <c r="AO554" s="11"/>
    </row>
    <row r="555" spans="1:41" s="167" customFormat="1" ht="15.95" customHeight="1" x14ac:dyDescent="0.25">
      <c r="A555" s="11">
        <v>498</v>
      </c>
      <c r="B555" s="1" t="s">
        <v>34</v>
      </c>
      <c r="C555" s="14" t="s">
        <v>136</v>
      </c>
      <c r="D555" s="14" t="s">
        <v>136</v>
      </c>
      <c r="E555" s="36" t="s">
        <v>45</v>
      </c>
      <c r="F555" s="14" t="s">
        <v>759</v>
      </c>
      <c r="G555" s="1">
        <v>2013</v>
      </c>
      <c r="H555" s="11" t="s">
        <v>393</v>
      </c>
      <c r="I555" s="204"/>
      <c r="J555" s="204"/>
      <c r="K555" s="221" t="s">
        <v>762</v>
      </c>
      <c r="L555" s="222"/>
      <c r="M555" s="220"/>
      <c r="N555" s="220"/>
      <c r="O555" s="57">
        <v>93.2</v>
      </c>
      <c r="P555" s="58">
        <v>63.6</v>
      </c>
      <c r="Q555" s="40">
        <v>57</v>
      </c>
      <c r="R555" s="69">
        <f>(845.7+774.9)/2</f>
        <v>810.3</v>
      </c>
      <c r="S555" s="70"/>
      <c r="T555" s="69"/>
      <c r="U555" s="57">
        <v>77</v>
      </c>
      <c r="V555" s="39">
        <v>19.7</v>
      </c>
      <c r="W555" s="40">
        <v>46</v>
      </c>
      <c r="X555" s="14"/>
      <c r="Y555" s="55">
        <f>(U555-O555)/SQRT((V555^2+P555^2)/2)</f>
        <v>-0.34409526584782579</v>
      </c>
      <c r="Z555" s="55"/>
      <c r="AA555" s="14">
        <v>1</v>
      </c>
      <c r="AB555" s="43">
        <f>((U555-O555)/V555)*AA555 * (1-(3/(4*(Q555+W555-2)-1)))</f>
        <v>-0.81621342469549463</v>
      </c>
      <c r="AC555" s="61"/>
      <c r="AD555" s="44">
        <v>1</v>
      </c>
      <c r="AE555" s="44"/>
      <c r="AF555" s="14"/>
      <c r="AG555" s="14"/>
      <c r="AH555" s="1"/>
      <c r="AI555" s="62"/>
      <c r="AJ555" s="62"/>
      <c r="AK555" s="14">
        <v>3</v>
      </c>
      <c r="AL555" s="14" t="s">
        <v>761</v>
      </c>
      <c r="AM555" s="1" t="s">
        <v>69</v>
      </c>
      <c r="AN555" s="14" t="s">
        <v>761</v>
      </c>
      <c r="AO555" s="1"/>
    </row>
    <row r="556" spans="1:41" s="54" customFormat="1" ht="15.95" customHeight="1" x14ac:dyDescent="0.25">
      <c r="A556" s="11">
        <v>479</v>
      </c>
      <c r="B556" s="13" t="s">
        <v>43</v>
      </c>
      <c r="C556" s="14" t="s">
        <v>136</v>
      </c>
      <c r="D556" s="14" t="s">
        <v>136</v>
      </c>
      <c r="E556" s="36" t="s">
        <v>36</v>
      </c>
      <c r="F556" s="13" t="s">
        <v>292</v>
      </c>
      <c r="G556" s="13">
        <v>1995</v>
      </c>
      <c r="H556" s="13" t="s">
        <v>293</v>
      </c>
      <c r="I556" s="204" t="s">
        <v>41</v>
      </c>
      <c r="J556" s="204"/>
      <c r="K556" s="210" t="s">
        <v>294</v>
      </c>
      <c r="L556" s="207" t="s">
        <v>295</v>
      </c>
      <c r="M556" s="204"/>
      <c r="N556" s="204"/>
      <c r="O556" s="124">
        <v>88.5</v>
      </c>
      <c r="P556" s="125">
        <v>19.559999999999999</v>
      </c>
      <c r="Q556" s="126">
        <v>10</v>
      </c>
      <c r="R556" s="97">
        <v>348</v>
      </c>
      <c r="S556" s="97"/>
      <c r="T556" s="97"/>
      <c r="U556" s="124">
        <v>72.7</v>
      </c>
      <c r="V556" s="97">
        <v>12.8</v>
      </c>
      <c r="W556" s="126">
        <v>10</v>
      </c>
      <c r="X556" s="13"/>
      <c r="Y556" s="13"/>
      <c r="Z556" s="13"/>
      <c r="AA556" s="14">
        <v>1</v>
      </c>
      <c r="AB556" s="43">
        <f>((U556-O556)/V556)*AA556 * (1-(3/(4*(Q556+W556-2)-1)))</f>
        <v>-1.1822183098591548</v>
      </c>
      <c r="AC556" s="13"/>
      <c r="AD556" s="44">
        <v>1</v>
      </c>
      <c r="AE556" s="13"/>
      <c r="AF556" s="13">
        <v>7.53</v>
      </c>
      <c r="AG556" s="13" t="s">
        <v>117</v>
      </c>
      <c r="AH556" s="13"/>
      <c r="AI556" s="13">
        <v>7.59</v>
      </c>
      <c r="AJ556" s="13" t="s">
        <v>117</v>
      </c>
      <c r="AK556" s="13"/>
      <c r="AL556" s="13" t="s">
        <v>296</v>
      </c>
      <c r="AM556" s="13"/>
      <c r="AN556" s="13"/>
      <c r="AO556" s="13"/>
    </row>
    <row r="557" spans="1:41" s="45" customFormat="1" ht="15.95" customHeight="1" x14ac:dyDescent="0.25">
      <c r="A557" s="11">
        <v>500</v>
      </c>
      <c r="B557" s="11" t="s">
        <v>43</v>
      </c>
      <c r="C557" s="14" t="s">
        <v>136</v>
      </c>
      <c r="D557" s="14" t="s">
        <v>136</v>
      </c>
      <c r="E557" s="36" t="s">
        <v>36</v>
      </c>
      <c r="F557" s="11" t="s">
        <v>386</v>
      </c>
      <c r="G557" s="11">
        <v>2018</v>
      </c>
      <c r="H557" s="11" t="s">
        <v>393</v>
      </c>
      <c r="I557" s="204"/>
      <c r="J557" s="204"/>
      <c r="K557" s="204"/>
      <c r="L557" s="207"/>
      <c r="M557" s="207"/>
      <c r="N557" s="204"/>
      <c r="O557" s="38">
        <v>43.4</v>
      </c>
      <c r="P557" s="39">
        <v>14.3</v>
      </c>
      <c r="Q557" s="40">
        <v>11</v>
      </c>
      <c r="R557" s="114">
        <v>743.18</v>
      </c>
      <c r="S557" s="117">
        <v>83.66</v>
      </c>
      <c r="T557" s="41"/>
      <c r="U557" s="38">
        <v>49.9</v>
      </c>
      <c r="V557" s="39">
        <v>14.4</v>
      </c>
      <c r="W557" s="40">
        <v>28</v>
      </c>
      <c r="X557" s="11"/>
      <c r="Y557" s="11"/>
      <c r="Z557" s="11"/>
      <c r="AA557" s="11">
        <v>-1</v>
      </c>
      <c r="AB557" s="43">
        <f>((U557-O557)/V557)*AA557 * (1-(3/(4*(Q557+W557-2)-1)))</f>
        <v>-0.44217687074829931</v>
      </c>
      <c r="AC557" s="61"/>
      <c r="AD557" s="44">
        <v>1</v>
      </c>
      <c r="AE557" s="44"/>
      <c r="AF557" s="121">
        <f>156/12</f>
        <v>13</v>
      </c>
      <c r="AG557" s="121">
        <f>29.8/12</f>
        <v>2.4833333333333334</v>
      </c>
      <c r="AH557" s="121"/>
      <c r="AI557" s="120">
        <f>142/12</f>
        <v>11.833333333333334</v>
      </c>
      <c r="AJ557" s="120">
        <f>29.5/12</f>
        <v>2.4583333333333335</v>
      </c>
      <c r="AK557" s="11"/>
      <c r="AL557" s="11"/>
      <c r="AM557" s="11"/>
      <c r="AN557" s="11"/>
      <c r="AO557" s="1"/>
    </row>
    <row r="558" spans="1:41" s="54" customFormat="1" ht="15.95" customHeight="1" x14ac:dyDescent="0.25">
      <c r="A558" s="11">
        <v>495</v>
      </c>
      <c r="B558" s="11" t="s">
        <v>43</v>
      </c>
      <c r="C558" s="11" t="s">
        <v>136</v>
      </c>
      <c r="D558" s="11" t="s">
        <v>136</v>
      </c>
      <c r="E558" s="36" t="s">
        <v>36</v>
      </c>
      <c r="F558" s="11" t="s">
        <v>287</v>
      </c>
      <c r="G558" s="11">
        <v>2005</v>
      </c>
      <c r="H558" s="11" t="s">
        <v>452</v>
      </c>
      <c r="I558" s="204"/>
      <c r="J558" s="204"/>
      <c r="K558" s="204"/>
      <c r="L558" s="207"/>
      <c r="M558" s="204" t="s">
        <v>453</v>
      </c>
      <c r="N558" s="204"/>
      <c r="O558" s="38">
        <v>42</v>
      </c>
      <c r="P558" s="39">
        <v>9</v>
      </c>
      <c r="Q558" s="40">
        <v>26</v>
      </c>
      <c r="R558" s="114">
        <f>(449+529)/2</f>
        <v>489</v>
      </c>
      <c r="S558" s="117">
        <f>(220+142)/2</f>
        <v>181</v>
      </c>
      <c r="T558" s="41"/>
      <c r="U558" s="38">
        <v>49</v>
      </c>
      <c r="V558" s="39">
        <v>8</v>
      </c>
      <c r="W558" s="40">
        <v>21</v>
      </c>
      <c r="X558" s="11"/>
      <c r="Y558" s="11"/>
      <c r="Z558" s="11"/>
      <c r="AA558" s="11">
        <v>-1</v>
      </c>
      <c r="AB558" s="43">
        <f>((U558-O558)/V558)*AA558 * (1-(3/(4*(Q558+W558-2)-1)))</f>
        <v>-0.86033519553072624</v>
      </c>
      <c r="AC558" s="61"/>
      <c r="AD558" s="44">
        <v>1</v>
      </c>
      <c r="AE558" s="44"/>
      <c r="AF558" s="119">
        <v>12.3</v>
      </c>
      <c r="AG558" s="119">
        <v>3.7</v>
      </c>
      <c r="AH558" s="119"/>
      <c r="AI558" s="120">
        <v>11.8</v>
      </c>
      <c r="AJ558" s="120">
        <v>3.6</v>
      </c>
      <c r="AK558" s="11"/>
      <c r="AL558" s="11"/>
      <c r="AM558" s="11"/>
      <c r="AN558" s="11"/>
      <c r="AO558" s="1"/>
    </row>
    <row r="559" spans="1:41" s="54" customFormat="1" ht="15.95" customHeight="1" x14ac:dyDescent="0.25">
      <c r="A559" s="11">
        <v>496</v>
      </c>
      <c r="B559" s="11" t="s">
        <v>43</v>
      </c>
      <c r="C559" s="11" t="s">
        <v>136</v>
      </c>
      <c r="D559" s="11" t="s">
        <v>136</v>
      </c>
      <c r="E559" s="36" t="s">
        <v>36</v>
      </c>
      <c r="F559" s="11" t="s">
        <v>287</v>
      </c>
      <c r="G559" s="11">
        <v>2005</v>
      </c>
      <c r="H559" s="11" t="s">
        <v>455</v>
      </c>
      <c r="I559" s="204"/>
      <c r="J559" s="204"/>
      <c r="K559" s="204"/>
      <c r="L559" s="207"/>
      <c r="M559" s="204" t="s">
        <v>453</v>
      </c>
      <c r="N559" s="204"/>
      <c r="O559" s="38">
        <v>48</v>
      </c>
      <c r="P559" s="39">
        <v>11</v>
      </c>
      <c r="Q559" s="40">
        <v>26</v>
      </c>
      <c r="R559" s="114">
        <f>(449+529)/2</f>
        <v>489</v>
      </c>
      <c r="S559" s="117">
        <f>(220+142)/2</f>
        <v>181</v>
      </c>
      <c r="T559" s="41"/>
      <c r="U559" s="38">
        <v>51</v>
      </c>
      <c r="V559" s="39">
        <v>10</v>
      </c>
      <c r="W559" s="40">
        <v>21</v>
      </c>
      <c r="X559" s="11"/>
      <c r="Y559" s="11"/>
      <c r="Z559" s="11"/>
      <c r="AA559" s="11">
        <v>-1</v>
      </c>
      <c r="AB559" s="43">
        <f>((U559-O559)/V559)*AA559 * (1-(3/(4*(Q559+W559-2)-1)))</f>
        <v>-0.29497206703910611</v>
      </c>
      <c r="AC559" s="61"/>
      <c r="AD559" s="44">
        <v>1</v>
      </c>
      <c r="AE559" s="44"/>
      <c r="AF559" s="119">
        <v>12.3</v>
      </c>
      <c r="AG559" s="119">
        <v>3.7</v>
      </c>
      <c r="AH559" s="119"/>
      <c r="AI559" s="120">
        <v>11.8</v>
      </c>
      <c r="AJ559" s="120">
        <v>3.6</v>
      </c>
      <c r="AK559" s="11"/>
      <c r="AL559" s="11"/>
      <c r="AM559" s="11"/>
      <c r="AN559" s="11"/>
      <c r="AO559" s="11"/>
    </row>
    <row r="560" spans="1:41" s="54" customFormat="1" ht="15.95" customHeight="1" x14ac:dyDescent="0.25">
      <c r="A560" s="11">
        <v>497</v>
      </c>
      <c r="B560" s="11" t="s">
        <v>43</v>
      </c>
      <c r="C560" s="11" t="s">
        <v>136</v>
      </c>
      <c r="D560" s="11" t="s">
        <v>136</v>
      </c>
      <c r="E560" s="36" t="s">
        <v>36</v>
      </c>
      <c r="F560" s="11" t="s">
        <v>287</v>
      </c>
      <c r="G560" s="11">
        <v>2005</v>
      </c>
      <c r="H560" s="11" t="s">
        <v>456</v>
      </c>
      <c r="I560" s="204"/>
      <c r="J560" s="204"/>
      <c r="K560" s="204"/>
      <c r="L560" s="207"/>
      <c r="M560" s="204" t="s">
        <v>453</v>
      </c>
      <c r="N560" s="204"/>
      <c r="O560" s="38">
        <v>50</v>
      </c>
      <c r="P560" s="39">
        <v>11</v>
      </c>
      <c r="Q560" s="40">
        <v>26</v>
      </c>
      <c r="R560" s="114">
        <f>(449+529)/2</f>
        <v>489</v>
      </c>
      <c r="S560" s="117">
        <f>(220+142)/2</f>
        <v>181</v>
      </c>
      <c r="T560" s="41"/>
      <c r="U560" s="38">
        <v>52</v>
      </c>
      <c r="V560" s="39">
        <v>10</v>
      </c>
      <c r="W560" s="40">
        <v>21</v>
      </c>
      <c r="X560" s="11"/>
      <c r="Y560" s="11"/>
      <c r="Z560" s="11"/>
      <c r="AA560" s="11">
        <v>-1</v>
      </c>
      <c r="AB560" s="43">
        <f>((U560-O560)/V560)*AA560 * (1-(3/(4*(Q560+W560-2)-1)))</f>
        <v>-0.19664804469273744</v>
      </c>
      <c r="AC560" s="61"/>
      <c r="AD560" s="44">
        <v>1</v>
      </c>
      <c r="AE560" s="44"/>
      <c r="AF560" s="119">
        <v>12.3</v>
      </c>
      <c r="AG560" s="119">
        <v>3.7</v>
      </c>
      <c r="AH560" s="119"/>
      <c r="AI560" s="120">
        <v>11.8</v>
      </c>
      <c r="AJ560" s="120">
        <v>3.6</v>
      </c>
      <c r="AK560" s="11"/>
      <c r="AL560" s="11"/>
      <c r="AM560" s="11"/>
      <c r="AN560" s="11"/>
      <c r="AO560" s="1"/>
    </row>
    <row r="561" spans="1:41" s="54" customFormat="1" ht="15.95" customHeight="1" x14ac:dyDescent="0.25">
      <c r="A561" s="11">
        <v>503</v>
      </c>
      <c r="B561" s="11" t="s">
        <v>43</v>
      </c>
      <c r="C561" s="14" t="s">
        <v>136</v>
      </c>
      <c r="D561" s="14" t="s">
        <v>136</v>
      </c>
      <c r="E561" s="36" t="s">
        <v>36</v>
      </c>
      <c r="F561" s="11" t="s">
        <v>287</v>
      </c>
      <c r="G561" s="11">
        <v>2005</v>
      </c>
      <c r="H561" s="11" t="s">
        <v>393</v>
      </c>
      <c r="I561" s="204"/>
      <c r="J561" s="204"/>
      <c r="K561" s="204"/>
      <c r="L561" s="207"/>
      <c r="M561" s="207"/>
      <c r="N561" s="204"/>
      <c r="O561" s="38">
        <v>42</v>
      </c>
      <c r="P561" s="39">
        <v>13</v>
      </c>
      <c r="Q561" s="40">
        <v>26</v>
      </c>
      <c r="R561" s="114">
        <f>(449+529)/2</f>
        <v>489</v>
      </c>
      <c r="S561" s="117">
        <f>(220+142)/2</f>
        <v>181</v>
      </c>
      <c r="T561" s="41"/>
      <c r="U561" s="38">
        <v>57</v>
      </c>
      <c r="V561" s="39">
        <v>10</v>
      </c>
      <c r="W561" s="40">
        <v>21</v>
      </c>
      <c r="X561" s="11"/>
      <c r="Y561" s="11"/>
      <c r="Z561" s="11"/>
      <c r="AA561" s="11">
        <v>-1</v>
      </c>
      <c r="AB561" s="43">
        <f>((U561-O561)/V561)*AA561 * (1-(3/(4*(Q561+W561-2)-1)))</f>
        <v>-1.4748603351955307</v>
      </c>
      <c r="AC561" s="61"/>
      <c r="AD561" s="44">
        <v>1</v>
      </c>
      <c r="AE561" s="44"/>
      <c r="AF561" s="119">
        <v>12.3</v>
      </c>
      <c r="AG561" s="119">
        <v>3.7</v>
      </c>
      <c r="AH561" s="119"/>
      <c r="AI561" s="120">
        <v>11.8</v>
      </c>
      <c r="AJ561" s="120">
        <v>3.6</v>
      </c>
      <c r="AK561" s="11"/>
      <c r="AL561" s="11"/>
      <c r="AM561" s="11"/>
      <c r="AN561" s="11"/>
      <c r="AO561" s="1"/>
    </row>
    <row r="562" spans="1:41" s="54" customFormat="1" ht="15.95" customHeight="1" x14ac:dyDescent="0.25">
      <c r="A562" s="11">
        <v>488</v>
      </c>
      <c r="B562" s="11" t="s">
        <v>43</v>
      </c>
      <c r="C562" s="11" t="s">
        <v>136</v>
      </c>
      <c r="D562" s="11" t="s">
        <v>136</v>
      </c>
      <c r="E562" s="36" t="s">
        <v>36</v>
      </c>
      <c r="F562" s="11" t="s">
        <v>481</v>
      </c>
      <c r="G562" s="11">
        <v>2014</v>
      </c>
      <c r="H562" s="11" t="s">
        <v>485</v>
      </c>
      <c r="I562" s="204"/>
      <c r="J562" s="204"/>
      <c r="K562" s="204" t="s">
        <v>486</v>
      </c>
      <c r="L562" s="207"/>
      <c r="M562" s="207"/>
      <c r="N562" s="204"/>
      <c r="O562" s="38">
        <v>6.7</v>
      </c>
      <c r="P562" s="39">
        <v>4.4000000000000004</v>
      </c>
      <c r="Q562" s="40">
        <v>21</v>
      </c>
      <c r="R562" s="41">
        <v>590</v>
      </c>
      <c r="S562" s="39">
        <v>248</v>
      </c>
      <c r="T562" s="41"/>
      <c r="U562" s="38">
        <v>4.5</v>
      </c>
      <c r="V562" s="39">
        <v>1.3</v>
      </c>
      <c r="W562" s="40">
        <v>73</v>
      </c>
      <c r="X562" s="11"/>
      <c r="Y562" s="11"/>
      <c r="Z562" s="11"/>
      <c r="AA562" s="11">
        <v>1</v>
      </c>
      <c r="AB562" s="43">
        <f>((U562-O562)/V562)*AA562 * (1-(3/(4*(Q562+W562-2)-1)))</f>
        <v>-1.6784741144414168</v>
      </c>
      <c r="AC562" s="61"/>
      <c r="AD562" s="44">
        <v>1</v>
      </c>
      <c r="AE562" s="44"/>
      <c r="AF562" s="11">
        <v>10.6</v>
      </c>
      <c r="AG562" s="11">
        <v>2.5</v>
      </c>
      <c r="AH562" s="11"/>
      <c r="AI562" s="87">
        <v>10.9</v>
      </c>
      <c r="AJ562" s="87">
        <v>2.2000000000000002</v>
      </c>
      <c r="AK562" s="11"/>
      <c r="AL562" s="11"/>
      <c r="AM562" s="11"/>
      <c r="AN562" s="11"/>
      <c r="AO562" s="13"/>
    </row>
    <row r="563" spans="1:41" s="54" customFormat="1" ht="15.95" customHeight="1" x14ac:dyDescent="0.25">
      <c r="A563" s="11">
        <v>489</v>
      </c>
      <c r="B563" s="11" t="s">
        <v>43</v>
      </c>
      <c r="C563" s="11" t="s">
        <v>136</v>
      </c>
      <c r="D563" s="11" t="s">
        <v>136</v>
      </c>
      <c r="E563" s="36" t="s">
        <v>36</v>
      </c>
      <c r="F563" s="11" t="s">
        <v>481</v>
      </c>
      <c r="G563" s="11">
        <v>2014</v>
      </c>
      <c r="H563" s="11" t="s">
        <v>487</v>
      </c>
      <c r="I563" s="204"/>
      <c r="J563" s="204"/>
      <c r="K563" s="204" t="s">
        <v>488</v>
      </c>
      <c r="L563" s="207"/>
      <c r="M563" s="207"/>
      <c r="N563" s="204"/>
      <c r="O563" s="38">
        <v>5.3</v>
      </c>
      <c r="P563" s="39">
        <v>4.3</v>
      </c>
      <c r="Q563" s="40">
        <v>21</v>
      </c>
      <c r="R563" s="41">
        <v>590</v>
      </c>
      <c r="S563" s="39">
        <v>248</v>
      </c>
      <c r="T563" s="41"/>
      <c r="U563" s="38">
        <v>3.1</v>
      </c>
      <c r="V563" s="39">
        <v>0.9</v>
      </c>
      <c r="W563" s="40">
        <v>73</v>
      </c>
      <c r="X563" s="11"/>
      <c r="Y563" s="11"/>
      <c r="Z563" s="11"/>
      <c r="AA563" s="11">
        <v>1</v>
      </c>
      <c r="AB563" s="43">
        <f>((U563-O563)/V563)*AA563 * (1-(3/(4*(Q563+W563-2)-1)))</f>
        <v>-2.424462609748713</v>
      </c>
      <c r="AC563" s="61"/>
      <c r="AD563" s="44">
        <v>1</v>
      </c>
      <c r="AE563" s="44"/>
      <c r="AF563" s="11">
        <v>10.6</v>
      </c>
      <c r="AG563" s="11">
        <v>2.5</v>
      </c>
      <c r="AH563" s="11"/>
      <c r="AI563" s="87">
        <v>10.9</v>
      </c>
      <c r="AJ563" s="87">
        <v>2.2000000000000002</v>
      </c>
      <c r="AK563" s="11"/>
      <c r="AL563" s="11"/>
      <c r="AM563" s="11"/>
      <c r="AN563" s="11"/>
      <c r="AO563" s="13"/>
    </row>
    <row r="564" spans="1:41" s="84" customFormat="1" ht="15.95" customHeight="1" x14ac:dyDescent="0.25">
      <c r="A564" s="11">
        <v>469</v>
      </c>
      <c r="B564" s="11" t="s">
        <v>43</v>
      </c>
      <c r="C564" s="11" t="s">
        <v>136</v>
      </c>
      <c r="D564" s="11" t="s">
        <v>136</v>
      </c>
      <c r="E564" s="36" t="s">
        <v>36</v>
      </c>
      <c r="F564" s="11" t="s">
        <v>750</v>
      </c>
      <c r="G564" s="11">
        <v>1995</v>
      </c>
      <c r="H564" s="11" t="s">
        <v>751</v>
      </c>
      <c r="I564" s="204"/>
      <c r="J564" s="204"/>
      <c r="K564" s="204" t="s">
        <v>752</v>
      </c>
      <c r="L564" s="207"/>
      <c r="M564" s="207"/>
      <c r="N564" s="204"/>
      <c r="O564" s="38">
        <v>0.1</v>
      </c>
      <c r="P564" s="39">
        <v>1.1000000000000001</v>
      </c>
      <c r="Q564" s="40">
        <v>20</v>
      </c>
      <c r="R564" s="41">
        <v>583</v>
      </c>
      <c r="S564" s="39">
        <v>377</v>
      </c>
      <c r="T564" s="41"/>
      <c r="U564" s="38">
        <v>0.1</v>
      </c>
      <c r="V564" s="39">
        <v>0.9</v>
      </c>
      <c r="W564" s="40">
        <v>20</v>
      </c>
      <c r="X564" s="11"/>
      <c r="Y564" s="11"/>
      <c r="Z564" s="11"/>
      <c r="AA564" s="11">
        <v>1</v>
      </c>
      <c r="AB564" s="43">
        <f>((U564-O564)/V564)*AA564 * (1-(3/(4*(Q564+W564-2)-1)))</f>
        <v>0</v>
      </c>
      <c r="AC564" s="61"/>
      <c r="AD564" s="44">
        <v>1</v>
      </c>
      <c r="AE564" s="44"/>
      <c r="AF564" s="11">
        <v>10.11</v>
      </c>
      <c r="AG564" s="11">
        <v>1.3</v>
      </c>
      <c r="AH564" s="11"/>
      <c r="AI564" s="87">
        <v>11</v>
      </c>
      <c r="AJ564" s="87">
        <v>1.1000000000000001</v>
      </c>
      <c r="AK564" s="11"/>
      <c r="AL564" s="11"/>
      <c r="AM564" s="11"/>
      <c r="AN564" s="11"/>
      <c r="AO564" s="13"/>
    </row>
    <row r="565" spans="1:41" s="54" customFormat="1" ht="15.95" customHeight="1" x14ac:dyDescent="0.25">
      <c r="A565" s="11">
        <v>470</v>
      </c>
      <c r="B565" s="11" t="s">
        <v>43</v>
      </c>
      <c r="C565" s="11" t="s">
        <v>136</v>
      </c>
      <c r="D565" s="11" t="s">
        <v>136</v>
      </c>
      <c r="E565" s="36" t="s">
        <v>36</v>
      </c>
      <c r="F565" s="11" t="s">
        <v>750</v>
      </c>
      <c r="G565" s="11">
        <v>1995</v>
      </c>
      <c r="H565" s="11" t="s">
        <v>753</v>
      </c>
      <c r="I565" s="204"/>
      <c r="J565" s="204"/>
      <c r="K565" s="204" t="s">
        <v>752</v>
      </c>
      <c r="L565" s="207"/>
      <c r="M565" s="207"/>
      <c r="N565" s="204"/>
      <c r="O565" s="38">
        <v>-0.1</v>
      </c>
      <c r="P565" s="39">
        <v>0.8</v>
      </c>
      <c r="Q565" s="40">
        <v>20</v>
      </c>
      <c r="R565" s="41">
        <v>583</v>
      </c>
      <c r="S565" s="39">
        <v>377</v>
      </c>
      <c r="T565" s="41"/>
      <c r="U565" s="38">
        <v>0.1</v>
      </c>
      <c r="V565" s="39">
        <v>1.2</v>
      </c>
      <c r="W565" s="40">
        <v>20</v>
      </c>
      <c r="X565" s="11"/>
      <c r="Y565" s="11"/>
      <c r="Z565" s="11"/>
      <c r="AA565" s="11">
        <v>1</v>
      </c>
      <c r="AB565" s="43">
        <f>((U565-O565)/V565)*AA565 * (1-(3/(4*(Q565+W565-2)-1)))</f>
        <v>0.163355408388521</v>
      </c>
      <c r="AC565" s="61"/>
      <c r="AD565" s="44">
        <v>1</v>
      </c>
      <c r="AE565" s="44"/>
      <c r="AF565" s="11">
        <v>10.11</v>
      </c>
      <c r="AG565" s="11">
        <v>1.3</v>
      </c>
      <c r="AH565" s="11"/>
      <c r="AI565" s="87">
        <v>11</v>
      </c>
      <c r="AJ565" s="87">
        <v>1.1000000000000001</v>
      </c>
      <c r="AK565" s="11"/>
      <c r="AL565" s="11"/>
      <c r="AM565" s="11"/>
      <c r="AN565" s="11"/>
      <c r="AO565" s="1"/>
    </row>
    <row r="566" spans="1:41" s="54" customFormat="1" ht="15.95" customHeight="1" x14ac:dyDescent="0.25">
      <c r="A566" s="11">
        <v>472</v>
      </c>
      <c r="B566" s="11" t="s">
        <v>43</v>
      </c>
      <c r="C566" s="11" t="s">
        <v>136</v>
      </c>
      <c r="D566" s="11" t="s">
        <v>136</v>
      </c>
      <c r="E566" s="36" t="s">
        <v>36</v>
      </c>
      <c r="F566" s="11" t="s">
        <v>750</v>
      </c>
      <c r="G566" s="11">
        <v>1995</v>
      </c>
      <c r="H566" s="37" t="s">
        <v>755</v>
      </c>
      <c r="I566" s="207"/>
      <c r="J566" s="207"/>
      <c r="K566" s="204" t="s">
        <v>752</v>
      </c>
      <c r="L566" s="207" t="s">
        <v>756</v>
      </c>
      <c r="M566" s="207"/>
      <c r="N566" s="204"/>
      <c r="O566" s="38">
        <v>-0.1</v>
      </c>
      <c r="P566" s="39">
        <v>1</v>
      </c>
      <c r="Q566" s="40">
        <v>20</v>
      </c>
      <c r="R566" s="41">
        <v>583</v>
      </c>
      <c r="S566" s="39">
        <v>377</v>
      </c>
      <c r="T566" s="41"/>
      <c r="U566" s="38">
        <v>0.1</v>
      </c>
      <c r="V566" s="39">
        <v>1</v>
      </c>
      <c r="W566" s="40">
        <v>20</v>
      </c>
      <c r="X566" s="11"/>
      <c r="Y566" s="11"/>
      <c r="Z566" s="11"/>
      <c r="AA566" s="11">
        <v>-1</v>
      </c>
      <c r="AB566" s="43">
        <f>((U566-O566)/V566)*AA566 * (1-(3/(4*(Q566+W566-2)-1)))</f>
        <v>-0.19602649006622519</v>
      </c>
      <c r="AC566" s="61"/>
      <c r="AD566" s="44">
        <v>1</v>
      </c>
      <c r="AE566" s="44"/>
      <c r="AF566" s="11">
        <v>13.9</v>
      </c>
      <c r="AG566" s="11">
        <v>1.3</v>
      </c>
      <c r="AH566" s="11"/>
      <c r="AI566" s="87">
        <v>14</v>
      </c>
      <c r="AJ566" s="87">
        <v>1.1000000000000001</v>
      </c>
      <c r="AK566" s="11"/>
      <c r="AL566" s="11"/>
      <c r="AM566" s="11"/>
      <c r="AN566" s="11"/>
      <c r="AO566" s="13"/>
    </row>
    <row r="567" spans="1:41" s="54" customFormat="1" ht="15.95" customHeight="1" x14ac:dyDescent="0.25">
      <c r="A567" s="11">
        <v>471</v>
      </c>
      <c r="B567" s="11" t="s">
        <v>43</v>
      </c>
      <c r="C567" s="11" t="s">
        <v>136</v>
      </c>
      <c r="D567" s="11" t="s">
        <v>136</v>
      </c>
      <c r="E567" s="36" t="s">
        <v>36</v>
      </c>
      <c r="F567" s="11" t="s">
        <v>750</v>
      </c>
      <c r="G567" s="11">
        <v>1995</v>
      </c>
      <c r="H567" s="11" t="s">
        <v>758</v>
      </c>
      <c r="I567" s="204"/>
      <c r="J567" s="204"/>
      <c r="K567" s="204" t="s">
        <v>752</v>
      </c>
      <c r="L567" s="207"/>
      <c r="M567" s="207"/>
      <c r="N567" s="204"/>
      <c r="O567" s="38">
        <v>0.1</v>
      </c>
      <c r="P567" s="39">
        <v>1.1000000000000001</v>
      </c>
      <c r="Q567" s="40">
        <v>20</v>
      </c>
      <c r="R567" s="41">
        <v>583</v>
      </c>
      <c r="S567" s="39">
        <v>377</v>
      </c>
      <c r="T567" s="41"/>
      <c r="U567" s="38">
        <v>0.1</v>
      </c>
      <c r="V567" s="39">
        <v>0.9</v>
      </c>
      <c r="W567" s="40">
        <v>20</v>
      </c>
      <c r="X567" s="11"/>
      <c r="Y567" s="11"/>
      <c r="Z567" s="11"/>
      <c r="AA567" s="11">
        <v>1</v>
      </c>
      <c r="AB567" s="43">
        <f>((U567-O567)/V567)*AA567 * (1-(3/(4*(Q567+W567-2)-1)))</f>
        <v>0</v>
      </c>
      <c r="AC567" s="61"/>
      <c r="AD567" s="44">
        <v>1</v>
      </c>
      <c r="AE567" s="44"/>
      <c r="AF567" s="11">
        <v>10.11</v>
      </c>
      <c r="AG567" s="11">
        <v>1.3</v>
      </c>
      <c r="AH567" s="11"/>
      <c r="AI567" s="87">
        <v>11</v>
      </c>
      <c r="AJ567" s="87">
        <v>1.1000000000000001</v>
      </c>
      <c r="AK567" s="11"/>
      <c r="AL567" s="11"/>
      <c r="AM567" s="11"/>
      <c r="AN567" s="11"/>
      <c r="AO567" s="1"/>
    </row>
    <row r="568" spans="1:41" s="84" customFormat="1" ht="15.95" customHeight="1" x14ac:dyDescent="0.25">
      <c r="A568" s="11">
        <v>490</v>
      </c>
      <c r="B568" s="11" t="s">
        <v>54</v>
      </c>
      <c r="C568" s="11" t="s">
        <v>136</v>
      </c>
      <c r="D568" s="11" t="s">
        <v>136</v>
      </c>
      <c r="E568" s="36"/>
      <c r="F568" s="11" t="s">
        <v>137</v>
      </c>
      <c r="G568" s="11">
        <v>2001</v>
      </c>
      <c r="H568" s="11" t="s">
        <v>138</v>
      </c>
      <c r="I568" s="204" t="s">
        <v>39</v>
      </c>
      <c r="J568" s="204" t="s">
        <v>39</v>
      </c>
      <c r="K568" s="210" t="s">
        <v>48</v>
      </c>
      <c r="L568" s="207" t="s">
        <v>139</v>
      </c>
      <c r="M568" s="207" t="s">
        <v>140</v>
      </c>
      <c r="N568" s="207"/>
      <c r="O568" s="38">
        <v>15.9</v>
      </c>
      <c r="P568" s="39">
        <v>8.5</v>
      </c>
      <c r="Q568" s="40">
        <v>18</v>
      </c>
      <c r="R568" s="156" t="s">
        <v>58</v>
      </c>
      <c r="S568" s="66" t="s">
        <v>58</v>
      </c>
      <c r="T568" s="41"/>
      <c r="U568" s="38">
        <v>14.1</v>
      </c>
      <c r="V568" s="39">
        <v>3.9</v>
      </c>
      <c r="W568" s="40">
        <v>16</v>
      </c>
      <c r="X568" s="11"/>
      <c r="Y568" s="11"/>
      <c r="Z568" s="11"/>
      <c r="AA568" s="11">
        <v>1</v>
      </c>
      <c r="AB568" s="43">
        <f>((U568-O568)/V568)*AA568 * (1-(3/(4*(Q568+W568-2)-1)))</f>
        <v>-0.45063597819503354</v>
      </c>
      <c r="AC568" s="61"/>
      <c r="AD568" s="44">
        <v>1</v>
      </c>
      <c r="AE568" s="44"/>
      <c r="AF568" s="118">
        <v>17.88</v>
      </c>
      <c r="AG568" s="118">
        <v>2.74</v>
      </c>
      <c r="AH568" s="11"/>
      <c r="AI568" s="155">
        <v>16.32</v>
      </c>
      <c r="AJ568" s="155">
        <v>2.92</v>
      </c>
      <c r="AK568" s="11"/>
      <c r="AL568" s="11"/>
      <c r="AM568" s="11"/>
      <c r="AN568" s="11"/>
      <c r="AO568" s="1"/>
    </row>
    <row r="569" spans="1:41" s="54" customFormat="1" ht="15.95" customHeight="1" x14ac:dyDescent="0.25">
      <c r="A569" s="11">
        <v>491</v>
      </c>
      <c r="B569" s="11" t="s">
        <v>54</v>
      </c>
      <c r="C569" s="11" t="s">
        <v>136</v>
      </c>
      <c r="D569" s="11" t="s">
        <v>136</v>
      </c>
      <c r="E569" s="36"/>
      <c r="F569" s="11" t="s">
        <v>137</v>
      </c>
      <c r="G569" s="11">
        <v>2001</v>
      </c>
      <c r="H569" s="11" t="s">
        <v>138</v>
      </c>
      <c r="I569" s="204" t="s">
        <v>41</v>
      </c>
      <c r="J569" s="204" t="s">
        <v>41</v>
      </c>
      <c r="K569" s="210" t="s">
        <v>141</v>
      </c>
      <c r="L569" s="207" t="s">
        <v>142</v>
      </c>
      <c r="M569" s="207"/>
      <c r="N569" s="204"/>
      <c r="O569" s="38">
        <v>812.3</v>
      </c>
      <c r="P569" s="39">
        <v>184.1</v>
      </c>
      <c r="Q569" s="40">
        <v>18</v>
      </c>
      <c r="R569" s="156" t="s">
        <v>58</v>
      </c>
      <c r="S569" s="66" t="s">
        <v>58</v>
      </c>
      <c r="T569" s="41"/>
      <c r="U569" s="38">
        <v>796.1</v>
      </c>
      <c r="V569" s="39">
        <v>222.1</v>
      </c>
      <c r="W569" s="40">
        <v>16</v>
      </c>
      <c r="X569" s="11"/>
      <c r="Y569" s="11"/>
      <c r="Z569" s="11"/>
      <c r="AA569" s="11">
        <v>1</v>
      </c>
      <c r="AB569" s="43">
        <f>((U569-O569)/V569)*AA569 * (1-(3/(4*(Q569+W569-2)-1)))</f>
        <v>-7.1217122173100417E-2</v>
      </c>
      <c r="AC569" s="61"/>
      <c r="AD569" s="44">
        <v>1</v>
      </c>
      <c r="AE569" s="44"/>
      <c r="AF569" s="118">
        <v>17.88</v>
      </c>
      <c r="AG569" s="118">
        <v>2.74</v>
      </c>
      <c r="AH569" s="11"/>
      <c r="AI569" s="155">
        <v>16.32</v>
      </c>
      <c r="AJ569" s="155">
        <v>2.92</v>
      </c>
      <c r="AK569" s="11"/>
      <c r="AL569" s="11"/>
      <c r="AM569" s="11"/>
      <c r="AN569" s="11"/>
      <c r="AO569" s="1"/>
    </row>
    <row r="570" spans="1:41" s="84" customFormat="1" ht="15.95" customHeight="1" x14ac:dyDescent="0.25">
      <c r="A570" s="11">
        <v>480</v>
      </c>
      <c r="B570" s="11" t="s">
        <v>54</v>
      </c>
      <c r="C570" s="14" t="s">
        <v>136</v>
      </c>
      <c r="D570" s="14" t="s">
        <v>136</v>
      </c>
      <c r="E570" s="36"/>
      <c r="F570" s="11" t="s">
        <v>292</v>
      </c>
      <c r="G570" s="11">
        <v>1995</v>
      </c>
      <c r="H570" s="13" t="s">
        <v>293</v>
      </c>
      <c r="I570" s="204" t="s">
        <v>41</v>
      </c>
      <c r="J570" s="204"/>
      <c r="K570" s="210" t="s">
        <v>294</v>
      </c>
      <c r="L570" s="207" t="s">
        <v>295</v>
      </c>
      <c r="M570" s="204"/>
      <c r="N570" s="204"/>
      <c r="O570" s="38">
        <v>51.5</v>
      </c>
      <c r="P570" s="39">
        <v>5.42</v>
      </c>
      <c r="Q570" s="40">
        <v>10</v>
      </c>
      <c r="R570" s="41">
        <v>1014</v>
      </c>
      <c r="S570" s="41">
        <v>216</v>
      </c>
      <c r="T570" s="41"/>
      <c r="U570" s="38">
        <v>46.9</v>
      </c>
      <c r="V570" s="41">
        <v>4.75</v>
      </c>
      <c r="W570" s="40">
        <v>10</v>
      </c>
      <c r="X570" s="11"/>
      <c r="Y570" s="11"/>
      <c r="Z570" s="143"/>
      <c r="AA570" s="11">
        <v>-1</v>
      </c>
      <c r="AB570" s="43">
        <f>((U570-O570)/V570)*AA570 * (1-(3/(4*(Q570+W570-2)-1)))</f>
        <v>0.92750185322461121</v>
      </c>
      <c r="AC570" s="11"/>
      <c r="AD570" s="44">
        <v>1</v>
      </c>
      <c r="AE570" s="11"/>
      <c r="AF570" s="1">
        <v>20.6</v>
      </c>
      <c r="AG570" s="1">
        <f>(28.6-13.4)/4</f>
        <v>3.8000000000000003</v>
      </c>
      <c r="AH570" s="163" t="s">
        <v>297</v>
      </c>
      <c r="AI570" s="11"/>
      <c r="AJ570" s="11"/>
      <c r="AK570" s="11"/>
      <c r="AL570" s="11"/>
      <c r="AM570" s="11"/>
      <c r="AN570" s="11"/>
      <c r="AO570" s="1"/>
    </row>
    <row r="571" spans="1:41" s="84" customFormat="1" ht="15.95" customHeight="1" x14ac:dyDescent="0.25">
      <c r="A571" s="11">
        <v>501</v>
      </c>
      <c r="B571" s="11" t="s">
        <v>54</v>
      </c>
      <c r="C571" s="14" t="s">
        <v>136</v>
      </c>
      <c r="D571" s="14" t="s">
        <v>136</v>
      </c>
      <c r="E571" s="36"/>
      <c r="F571" s="11" t="s">
        <v>251</v>
      </c>
      <c r="G571" s="11">
        <v>2007</v>
      </c>
      <c r="H571" s="11" t="s">
        <v>393</v>
      </c>
      <c r="I571" s="204"/>
      <c r="J571" s="204"/>
      <c r="K571" s="204" t="s">
        <v>744</v>
      </c>
      <c r="L571" s="207"/>
      <c r="M571" s="207" t="s">
        <v>254</v>
      </c>
      <c r="N571" s="204"/>
      <c r="O571" s="38">
        <v>7.6</v>
      </c>
      <c r="P571" s="39">
        <v>4</v>
      </c>
      <c r="Q571" s="40">
        <v>15</v>
      </c>
      <c r="R571" s="114">
        <v>660</v>
      </c>
      <c r="S571" s="39">
        <v>337</v>
      </c>
      <c r="T571" s="41"/>
      <c r="U571" s="38">
        <v>10</v>
      </c>
      <c r="V571" s="39">
        <v>3</v>
      </c>
      <c r="W571" s="40">
        <v>20</v>
      </c>
      <c r="X571" s="11"/>
      <c r="Y571" s="11"/>
      <c r="Z571" s="11"/>
      <c r="AA571" s="11">
        <v>-1</v>
      </c>
      <c r="AB571" s="43">
        <f>((U571-O571)/V571)*AA571 * (1-(3/(4*(Q571+W571-2)-1)))</f>
        <v>-0.7816793893129772</v>
      </c>
      <c r="AC571" s="61"/>
      <c r="AD571" s="44">
        <v>1</v>
      </c>
      <c r="AE571" s="44"/>
      <c r="AF571" s="119">
        <v>14.8</v>
      </c>
      <c r="AG571" s="11">
        <f>(20-8)/4</f>
        <v>3</v>
      </c>
      <c r="AH571" s="11"/>
      <c r="AI571" s="87"/>
      <c r="AJ571" s="87"/>
      <c r="AK571" s="11"/>
      <c r="AL571" s="11"/>
      <c r="AM571" s="11"/>
      <c r="AN571" s="11"/>
      <c r="AO571" s="1"/>
    </row>
    <row r="572" spans="1:41" s="54" customFormat="1" ht="15.95" customHeight="1" x14ac:dyDescent="0.25">
      <c r="A572" s="11">
        <v>502</v>
      </c>
      <c r="B572" s="11" t="s">
        <v>54</v>
      </c>
      <c r="C572" s="14" t="s">
        <v>136</v>
      </c>
      <c r="D572" s="14" t="s">
        <v>136</v>
      </c>
      <c r="E572" s="36"/>
      <c r="F572" s="11" t="s">
        <v>251</v>
      </c>
      <c r="G572" s="11">
        <v>2007</v>
      </c>
      <c r="H572" s="11" t="s">
        <v>393</v>
      </c>
      <c r="I572" s="204"/>
      <c r="J572" s="204"/>
      <c r="K572" s="204" t="s">
        <v>745</v>
      </c>
      <c r="L572" s="207"/>
      <c r="M572" s="207" t="s">
        <v>254</v>
      </c>
      <c r="N572" s="204"/>
      <c r="O572" s="38">
        <v>8.6</v>
      </c>
      <c r="P572" s="39">
        <v>3.76</v>
      </c>
      <c r="Q572" s="40">
        <v>15</v>
      </c>
      <c r="R572" s="114">
        <v>660</v>
      </c>
      <c r="S572" s="39">
        <v>337</v>
      </c>
      <c r="T572" s="41"/>
      <c r="U572" s="38">
        <v>10</v>
      </c>
      <c r="V572" s="39">
        <v>3</v>
      </c>
      <c r="W572" s="40">
        <v>20</v>
      </c>
      <c r="X572" s="11"/>
      <c r="Y572" s="11"/>
      <c r="Z572" s="11"/>
      <c r="AA572" s="11">
        <v>-1</v>
      </c>
      <c r="AB572" s="43">
        <f>((U572-O572)/V572)*AA572 * (1-(3/(4*(Q572+W572-2)-1)))</f>
        <v>-0.45597964376590339</v>
      </c>
      <c r="AC572" s="43"/>
      <c r="AD572" s="44">
        <v>1</v>
      </c>
      <c r="AE572" s="44"/>
      <c r="AF572" s="119">
        <v>14.8</v>
      </c>
      <c r="AG572" s="11">
        <f>(20-8)/4</f>
        <v>3</v>
      </c>
      <c r="AH572" s="11"/>
      <c r="AI572" s="87"/>
      <c r="AJ572" s="87"/>
      <c r="AK572" s="11"/>
      <c r="AL572" s="11"/>
      <c r="AM572" s="11"/>
      <c r="AN572" s="11"/>
      <c r="AO572" s="1"/>
    </row>
    <row r="573" spans="1:41" s="54" customFormat="1" ht="15.95" customHeight="1" x14ac:dyDescent="0.25">
      <c r="A573" s="11">
        <v>450</v>
      </c>
      <c r="B573" s="1" t="s">
        <v>34</v>
      </c>
      <c r="C573" s="14" t="s">
        <v>126</v>
      </c>
      <c r="D573" s="14" t="s">
        <v>126</v>
      </c>
      <c r="E573" s="36" t="s">
        <v>81</v>
      </c>
      <c r="F573" s="14" t="s">
        <v>113</v>
      </c>
      <c r="G573" s="1">
        <v>2017</v>
      </c>
      <c r="H573" s="11" t="s">
        <v>127</v>
      </c>
      <c r="I573" s="204" t="s">
        <v>39</v>
      </c>
      <c r="J573" s="204" t="s">
        <v>39</v>
      </c>
      <c r="K573" s="210" t="s">
        <v>128</v>
      </c>
      <c r="L573" s="220"/>
      <c r="M573" s="220"/>
      <c r="N573" s="220"/>
      <c r="O573" s="74">
        <v>10.3</v>
      </c>
      <c r="P573" s="60">
        <v>6.6</v>
      </c>
      <c r="Q573" s="91">
        <v>57</v>
      </c>
      <c r="R573" s="59">
        <v>655</v>
      </c>
      <c r="S573" s="60"/>
      <c r="T573" s="59"/>
      <c r="U573" s="74">
        <v>9.1999999999999993</v>
      </c>
      <c r="V573" s="92">
        <v>8</v>
      </c>
      <c r="W573" s="91">
        <v>57</v>
      </c>
      <c r="X573" s="14"/>
      <c r="Y573" s="55">
        <f>(U573-O573)/SQRT((V573^2+P573^2)/2)</f>
        <v>-0.14999690092249193</v>
      </c>
      <c r="Z573" s="55"/>
      <c r="AA573" s="14">
        <v>1</v>
      </c>
      <c r="AB573" s="43">
        <f>((U573-O573)/V573)*AA573 * (1-(3/(4*(Q573+W573-2)-1)))</f>
        <v>-0.13657718120805387</v>
      </c>
      <c r="AC573" s="61"/>
      <c r="AD573" s="44">
        <v>1</v>
      </c>
      <c r="AE573" s="44"/>
      <c r="AF573" s="14"/>
      <c r="AG573" s="14"/>
      <c r="AH573" s="1"/>
      <c r="AI573" s="62"/>
      <c r="AJ573" s="62"/>
      <c r="AK573" s="14">
        <v>1</v>
      </c>
      <c r="AL573" s="14" t="s">
        <v>116</v>
      </c>
      <c r="AM573" s="1" t="s">
        <v>117</v>
      </c>
      <c r="AN573" s="14" t="s">
        <v>118</v>
      </c>
      <c r="AO573" s="1"/>
    </row>
    <row r="574" spans="1:41" s="54" customFormat="1" ht="15.95" customHeight="1" x14ac:dyDescent="0.25">
      <c r="A574" s="11">
        <v>451</v>
      </c>
      <c r="B574" s="1" t="s">
        <v>34</v>
      </c>
      <c r="C574" s="14" t="s">
        <v>126</v>
      </c>
      <c r="D574" s="14" t="s">
        <v>126</v>
      </c>
      <c r="E574" s="36" t="s">
        <v>81</v>
      </c>
      <c r="F574" s="14" t="s">
        <v>113</v>
      </c>
      <c r="G574" s="1">
        <v>2017</v>
      </c>
      <c r="H574" s="11" t="s">
        <v>132</v>
      </c>
      <c r="I574" s="204" t="s">
        <v>39</v>
      </c>
      <c r="J574" s="204" t="s">
        <v>39</v>
      </c>
      <c r="K574" s="210" t="s">
        <v>133</v>
      </c>
      <c r="L574" s="220"/>
      <c r="M574" s="220"/>
      <c r="N574" s="220"/>
      <c r="O574" s="74">
        <v>1.7</v>
      </c>
      <c r="P574" s="60">
        <v>2.4</v>
      </c>
      <c r="Q574" s="91">
        <v>57</v>
      </c>
      <c r="R574" s="59">
        <v>655</v>
      </c>
      <c r="S574" s="60"/>
      <c r="T574" s="59"/>
      <c r="U574" s="74">
        <v>1.7</v>
      </c>
      <c r="V574" s="92">
        <v>2.2000000000000002</v>
      </c>
      <c r="W574" s="91">
        <v>57</v>
      </c>
      <c r="X574" s="14"/>
      <c r="Y574" s="55">
        <f>(U574-O574)/SQRT((V574^2+P574^2)/2)</f>
        <v>0</v>
      </c>
      <c r="Z574" s="55"/>
      <c r="AA574" s="14">
        <v>1</v>
      </c>
      <c r="AB574" s="43">
        <f>((U574-O574)/V574)*AA574 * (1-(3/(4*(Q574+W574-2)-1)))</f>
        <v>0</v>
      </c>
      <c r="AC574" s="61"/>
      <c r="AD574" s="44">
        <v>1</v>
      </c>
      <c r="AE574" s="44"/>
      <c r="AF574" s="14"/>
      <c r="AG574" s="14"/>
      <c r="AH574" s="1"/>
      <c r="AI574" s="62"/>
      <c r="AJ574" s="62"/>
      <c r="AK574" s="14">
        <v>1</v>
      </c>
      <c r="AL574" s="14" t="s">
        <v>116</v>
      </c>
      <c r="AM574" s="1" t="s">
        <v>117</v>
      </c>
      <c r="AN574" s="14" t="s">
        <v>118</v>
      </c>
      <c r="AO574" s="11"/>
    </row>
    <row r="575" spans="1:41" s="54" customFormat="1" ht="15.95" customHeight="1" x14ac:dyDescent="0.25">
      <c r="A575" s="11">
        <v>443</v>
      </c>
      <c r="B575" s="1" t="s">
        <v>34</v>
      </c>
      <c r="C575" s="14" t="s">
        <v>126</v>
      </c>
      <c r="D575" s="14" t="s">
        <v>126</v>
      </c>
      <c r="E575" s="36" t="s">
        <v>81</v>
      </c>
      <c r="F575" s="11" t="s">
        <v>148</v>
      </c>
      <c r="G575" s="1">
        <v>2017</v>
      </c>
      <c r="H575" s="11" t="s">
        <v>167</v>
      </c>
      <c r="I575" s="204" t="s">
        <v>39</v>
      </c>
      <c r="J575" s="204" t="s">
        <v>39</v>
      </c>
      <c r="K575" s="210" t="s">
        <v>168</v>
      </c>
      <c r="L575" s="220"/>
      <c r="M575" s="220"/>
      <c r="N575" s="220"/>
      <c r="O575" s="74">
        <v>0.5</v>
      </c>
      <c r="P575" s="60">
        <v>0.8</v>
      </c>
      <c r="Q575" s="91">
        <v>37</v>
      </c>
      <c r="R575" s="59">
        <v>720</v>
      </c>
      <c r="S575" s="60"/>
      <c r="T575" s="59"/>
      <c r="U575" s="74">
        <v>0.4</v>
      </c>
      <c r="V575" s="92">
        <v>0.8</v>
      </c>
      <c r="W575" s="91">
        <v>30</v>
      </c>
      <c r="X575" s="14"/>
      <c r="Y575" s="55">
        <f>(U575-O575)/SQRT((V575^2+P575^2)/2)</f>
        <v>-0.12499999999999997</v>
      </c>
      <c r="Z575" s="55"/>
      <c r="AA575" s="14">
        <v>1</v>
      </c>
      <c r="AB575" s="43">
        <f>((U575-O575)/V575)*AA575 * (1-(3/(4*(Q575+W575-2)-1)))</f>
        <v>-0.12355212355212353</v>
      </c>
      <c r="AC575" s="61"/>
      <c r="AD575" s="44">
        <v>1</v>
      </c>
      <c r="AE575" s="44"/>
      <c r="AF575" s="14"/>
      <c r="AG575" s="14"/>
      <c r="AH575" s="1"/>
      <c r="AI575" s="62"/>
      <c r="AJ575" s="62"/>
      <c r="AK575" s="14">
        <v>1</v>
      </c>
      <c r="AL575" s="14" t="s">
        <v>116</v>
      </c>
      <c r="AM575" s="1" t="s">
        <v>69</v>
      </c>
      <c r="AN575" s="14" t="s">
        <v>118</v>
      </c>
      <c r="AO575" s="1"/>
    </row>
    <row r="576" spans="1:41" s="54" customFormat="1" ht="15.95" customHeight="1" x14ac:dyDescent="0.25">
      <c r="A576" s="11">
        <v>444</v>
      </c>
      <c r="B576" s="1" t="s">
        <v>34</v>
      </c>
      <c r="C576" s="14" t="s">
        <v>126</v>
      </c>
      <c r="D576" s="14" t="s">
        <v>126</v>
      </c>
      <c r="E576" s="36" t="s">
        <v>81</v>
      </c>
      <c r="F576" s="11" t="s">
        <v>148</v>
      </c>
      <c r="G576" s="1">
        <v>2017</v>
      </c>
      <c r="H576" s="11" t="s">
        <v>173</v>
      </c>
      <c r="I576" s="204" t="s">
        <v>39</v>
      </c>
      <c r="J576" s="204" t="s">
        <v>39</v>
      </c>
      <c r="K576" s="210" t="s">
        <v>174</v>
      </c>
      <c r="L576" s="220"/>
      <c r="M576" s="220"/>
      <c r="N576" s="220"/>
      <c r="O576" s="74">
        <v>2.4</v>
      </c>
      <c r="P576" s="60">
        <v>2.7</v>
      </c>
      <c r="Q576" s="91">
        <v>37</v>
      </c>
      <c r="R576" s="59">
        <v>720</v>
      </c>
      <c r="S576" s="60"/>
      <c r="T576" s="59"/>
      <c r="U576" s="74">
        <v>3.1</v>
      </c>
      <c r="V576" s="92">
        <v>4.4000000000000004</v>
      </c>
      <c r="W576" s="91">
        <v>30</v>
      </c>
      <c r="X576" s="14"/>
      <c r="Y576" s="55">
        <f>(U576-O576)/SQRT((V576^2+P576^2)/2)</f>
        <v>0.19176283037764785</v>
      </c>
      <c r="Z576" s="55"/>
      <c r="AA576" s="14">
        <v>1</v>
      </c>
      <c r="AB576" s="43">
        <f>((U576-O576)/V576)*AA576 * (1-(3/(4*(Q576+W576-2)-1)))</f>
        <v>0.15724815724815727</v>
      </c>
      <c r="AC576" s="61"/>
      <c r="AD576" s="44">
        <v>1</v>
      </c>
      <c r="AE576" s="44"/>
      <c r="AF576" s="14"/>
      <c r="AG576" s="14"/>
      <c r="AH576" s="1"/>
      <c r="AI576" s="62"/>
      <c r="AJ576" s="62"/>
      <c r="AK576" s="14">
        <v>1</v>
      </c>
      <c r="AL576" s="14" t="s">
        <v>116</v>
      </c>
      <c r="AM576" s="1" t="s">
        <v>69</v>
      </c>
      <c r="AN576" s="14" t="s">
        <v>118</v>
      </c>
      <c r="AO576" s="1"/>
    </row>
    <row r="577" spans="1:41" s="54" customFormat="1" ht="15.95" customHeight="1" x14ac:dyDescent="0.25">
      <c r="A577" s="11">
        <v>446</v>
      </c>
      <c r="B577" s="1" t="s">
        <v>34</v>
      </c>
      <c r="C577" s="14" t="s">
        <v>126</v>
      </c>
      <c r="D577" s="14" t="s">
        <v>126</v>
      </c>
      <c r="E577" s="36" t="s">
        <v>81</v>
      </c>
      <c r="F577" s="11" t="s">
        <v>148</v>
      </c>
      <c r="G577" s="1">
        <v>2017</v>
      </c>
      <c r="H577" s="11" t="s">
        <v>182</v>
      </c>
      <c r="I577" s="204" t="s">
        <v>39</v>
      </c>
      <c r="J577" s="204" t="s">
        <v>39</v>
      </c>
      <c r="K577" s="210" t="s">
        <v>183</v>
      </c>
      <c r="L577" s="220"/>
      <c r="M577" s="220"/>
      <c r="N577" s="220"/>
      <c r="O577" s="74">
        <v>0.8</v>
      </c>
      <c r="P577" s="60">
        <v>1.1000000000000001</v>
      </c>
      <c r="Q577" s="91">
        <v>37</v>
      </c>
      <c r="R577" s="59">
        <v>720</v>
      </c>
      <c r="S577" s="60"/>
      <c r="T577" s="59"/>
      <c r="U577" s="74">
        <v>0.6</v>
      </c>
      <c r="V577" s="92">
        <v>0.6</v>
      </c>
      <c r="W577" s="91">
        <v>30</v>
      </c>
      <c r="X577" s="14"/>
      <c r="Y577" s="55">
        <f>(U577-O577)/SQRT((V577^2+P577^2)/2)</f>
        <v>-0.22573305919324019</v>
      </c>
      <c r="Z577" s="55"/>
      <c r="AA577" s="14">
        <v>1</v>
      </c>
      <c r="AB577" s="43">
        <f>((U577-O577)/V577)*AA577 * (1-(3/(4*(Q577+W577-2)-1)))</f>
        <v>-0.32947232947232963</v>
      </c>
      <c r="AC577" s="61"/>
      <c r="AD577" s="44">
        <v>1</v>
      </c>
      <c r="AE577" s="44"/>
      <c r="AF577" s="14"/>
      <c r="AG577" s="14"/>
      <c r="AH577" s="1"/>
      <c r="AI577" s="62"/>
      <c r="AJ577" s="62"/>
      <c r="AK577" s="14">
        <v>1</v>
      </c>
      <c r="AL577" s="14" t="s">
        <v>116</v>
      </c>
      <c r="AM577" s="1" t="s">
        <v>69</v>
      </c>
      <c r="AN577" s="14" t="s">
        <v>118</v>
      </c>
      <c r="AO577" s="1"/>
    </row>
    <row r="578" spans="1:41" s="54" customFormat="1" ht="15.95" customHeight="1" x14ac:dyDescent="0.25">
      <c r="A578" s="11">
        <v>448</v>
      </c>
      <c r="B578" s="1" t="s">
        <v>34</v>
      </c>
      <c r="C578" s="14" t="s">
        <v>126</v>
      </c>
      <c r="D578" s="14" t="s">
        <v>126</v>
      </c>
      <c r="E578" s="36" t="s">
        <v>81</v>
      </c>
      <c r="F578" s="11" t="s">
        <v>148</v>
      </c>
      <c r="G578" s="1">
        <v>2017</v>
      </c>
      <c r="H578" s="11" t="s">
        <v>186</v>
      </c>
      <c r="I578" s="204" t="s">
        <v>39</v>
      </c>
      <c r="J578" s="204" t="s">
        <v>39</v>
      </c>
      <c r="K578" s="210" t="s">
        <v>187</v>
      </c>
      <c r="L578" s="220"/>
      <c r="M578" s="220"/>
      <c r="N578" s="220"/>
      <c r="O578" s="74">
        <v>1.6</v>
      </c>
      <c r="P578" s="60">
        <v>2.6</v>
      </c>
      <c r="Q578" s="91">
        <v>37</v>
      </c>
      <c r="R578" s="59">
        <v>720</v>
      </c>
      <c r="S578" s="60"/>
      <c r="T578" s="59"/>
      <c r="U578" s="74">
        <v>2</v>
      </c>
      <c r="V578" s="92">
        <v>2.2999999999999998</v>
      </c>
      <c r="W578" s="91">
        <v>30</v>
      </c>
      <c r="X578" s="14"/>
      <c r="Y578" s="55">
        <f>(U578-O578)/SQRT((V578^2+P578^2)/2)</f>
        <v>0.16296016874534205</v>
      </c>
      <c r="Z578" s="55"/>
      <c r="AA578" s="14">
        <v>1</v>
      </c>
      <c r="AB578" s="43">
        <f>((U578-O578)/V578)*AA578 * (1-(3/(4*(Q578+W578-2)-1)))</f>
        <v>0.17189860668121534</v>
      </c>
      <c r="AC578" s="61"/>
      <c r="AD578" s="44">
        <v>1</v>
      </c>
      <c r="AE578" s="44"/>
      <c r="AF578" s="14"/>
      <c r="AG578" s="14"/>
      <c r="AH578" s="1"/>
      <c r="AI578" s="62"/>
      <c r="AJ578" s="62"/>
      <c r="AK578" s="14">
        <v>1</v>
      </c>
      <c r="AL578" s="14" t="s">
        <v>116</v>
      </c>
      <c r="AM578" s="1" t="s">
        <v>69</v>
      </c>
      <c r="AN578" s="14" t="s">
        <v>118</v>
      </c>
      <c r="AO578" s="1"/>
    </row>
    <row r="579" spans="1:41" s="54" customFormat="1" ht="15.95" customHeight="1" x14ac:dyDescent="0.25">
      <c r="A579" s="11">
        <v>445</v>
      </c>
      <c r="B579" s="1" t="s">
        <v>34</v>
      </c>
      <c r="C579" s="14" t="s">
        <v>126</v>
      </c>
      <c r="D579" s="14" t="s">
        <v>126</v>
      </c>
      <c r="E579" s="36" t="s">
        <v>81</v>
      </c>
      <c r="F579" s="1" t="s">
        <v>228</v>
      </c>
      <c r="G579" s="1">
        <v>2020</v>
      </c>
      <c r="H579" s="11" t="s">
        <v>230</v>
      </c>
      <c r="I579" s="204" t="s">
        <v>39</v>
      </c>
      <c r="J579" s="204" t="s">
        <v>39</v>
      </c>
      <c r="K579" s="210" t="s">
        <v>174</v>
      </c>
      <c r="L579" s="220"/>
      <c r="M579" s="220"/>
      <c r="N579" s="220"/>
      <c r="O579" s="57">
        <v>3.2</v>
      </c>
      <c r="P579" s="58">
        <v>4.7</v>
      </c>
      <c r="Q579" s="40">
        <v>19</v>
      </c>
      <c r="R579" s="59">
        <v>1042</v>
      </c>
      <c r="S579" s="60"/>
      <c r="T579" s="59"/>
      <c r="U579" s="57">
        <v>2.8</v>
      </c>
      <c r="V579" s="39">
        <v>4.7</v>
      </c>
      <c r="W579" s="40">
        <v>19</v>
      </c>
      <c r="X579" s="1"/>
      <c r="Y579" s="55">
        <f>(U579-O579)/SQRT((V579^2+P579^2)/2)</f>
        <v>-8.5106382978723472E-2</v>
      </c>
      <c r="Z579" s="55"/>
      <c r="AA579" s="14">
        <v>1</v>
      </c>
      <c r="AB579" s="43">
        <f>((U579-O579)/V579)*AA579 * (1-(3/(4*(Q579+W579-2)-1)))</f>
        <v>-8.3320934384764248E-2</v>
      </c>
      <c r="AC579" s="61"/>
      <c r="AD579" s="44">
        <v>1</v>
      </c>
      <c r="AE579" s="44"/>
      <c r="AF579" s="14"/>
      <c r="AG579" s="14"/>
      <c r="AH579" s="1"/>
      <c r="AI579" s="62"/>
      <c r="AJ579" s="62"/>
      <c r="AK579" s="14">
        <v>1</v>
      </c>
      <c r="AL579" s="14" t="s">
        <v>116</v>
      </c>
      <c r="AM579" s="1" t="s">
        <v>117</v>
      </c>
      <c r="AN579" s="14" t="s">
        <v>118</v>
      </c>
      <c r="AO579" s="1"/>
    </row>
    <row r="580" spans="1:41" s="167" customFormat="1" ht="15.95" customHeight="1" x14ac:dyDescent="0.25">
      <c r="A580" s="11">
        <v>447</v>
      </c>
      <c r="B580" s="1" t="s">
        <v>34</v>
      </c>
      <c r="C580" s="14" t="s">
        <v>126</v>
      </c>
      <c r="D580" s="14" t="s">
        <v>126</v>
      </c>
      <c r="E580" s="36" t="s">
        <v>81</v>
      </c>
      <c r="F580" s="1" t="s">
        <v>228</v>
      </c>
      <c r="G580" s="1">
        <v>2020</v>
      </c>
      <c r="H580" s="11" t="s">
        <v>182</v>
      </c>
      <c r="I580" s="204" t="s">
        <v>39</v>
      </c>
      <c r="J580" s="204" t="s">
        <v>39</v>
      </c>
      <c r="K580" s="210" t="s">
        <v>183</v>
      </c>
      <c r="L580" s="220"/>
      <c r="M580" s="220"/>
      <c r="N580" s="220"/>
      <c r="O580" s="57">
        <v>0.8</v>
      </c>
      <c r="P580" s="58">
        <v>0.6</v>
      </c>
      <c r="Q580" s="40">
        <v>19</v>
      </c>
      <c r="R580" s="59">
        <v>1042</v>
      </c>
      <c r="S580" s="60"/>
      <c r="T580" s="59"/>
      <c r="U580" s="57">
        <v>0.5</v>
      </c>
      <c r="V580" s="39">
        <v>1.1000000000000001</v>
      </c>
      <c r="W580" s="40">
        <v>19</v>
      </c>
      <c r="X580" s="1"/>
      <c r="Y580" s="55">
        <f>(U580-O580)/SQRT((V580^2+P580^2)/2)</f>
        <v>-0.33859958878986024</v>
      </c>
      <c r="Z580" s="55"/>
      <c r="AA580" s="14">
        <v>1</v>
      </c>
      <c r="AB580" s="43">
        <f>((U580-O580)/V580)*AA580 * (1-(3/(4*(Q580+W580-2)-1)))</f>
        <v>-0.26700572155117613</v>
      </c>
      <c r="AC580" s="61"/>
      <c r="AD580" s="44">
        <v>1</v>
      </c>
      <c r="AE580" s="44"/>
      <c r="AF580" s="14"/>
      <c r="AG580" s="14"/>
      <c r="AH580" s="1"/>
      <c r="AI580" s="62"/>
      <c r="AJ580" s="62"/>
      <c r="AK580" s="14">
        <v>1</v>
      </c>
      <c r="AL580" s="14" t="s">
        <v>116</v>
      </c>
      <c r="AM580" s="1" t="s">
        <v>117</v>
      </c>
      <c r="AN580" s="14" t="s">
        <v>118</v>
      </c>
      <c r="AO580" s="1"/>
    </row>
    <row r="581" spans="1:41" s="84" customFormat="1" ht="15.95" customHeight="1" x14ac:dyDescent="0.25">
      <c r="A581" s="11">
        <v>449</v>
      </c>
      <c r="B581" s="1" t="s">
        <v>34</v>
      </c>
      <c r="C581" s="14" t="s">
        <v>126</v>
      </c>
      <c r="D581" s="14" t="s">
        <v>126</v>
      </c>
      <c r="E581" s="36" t="s">
        <v>81</v>
      </c>
      <c r="F581" s="1" t="s">
        <v>228</v>
      </c>
      <c r="G581" s="1">
        <v>2020</v>
      </c>
      <c r="H581" s="11" t="s">
        <v>186</v>
      </c>
      <c r="I581" s="204" t="s">
        <v>39</v>
      </c>
      <c r="J581" s="204" t="s">
        <v>39</v>
      </c>
      <c r="K581" s="210" t="s">
        <v>187</v>
      </c>
      <c r="L581" s="220"/>
      <c r="M581" s="220"/>
      <c r="N581" s="220"/>
      <c r="O581" s="57">
        <v>1.6</v>
      </c>
      <c r="P581" s="58">
        <v>4.7</v>
      </c>
      <c r="Q581" s="40">
        <v>19</v>
      </c>
      <c r="R581" s="59">
        <v>1042</v>
      </c>
      <c r="S581" s="60"/>
      <c r="T581" s="59"/>
      <c r="U581" s="57">
        <v>0.6</v>
      </c>
      <c r="V581" s="39">
        <v>1.2</v>
      </c>
      <c r="W581" s="40">
        <v>19</v>
      </c>
      <c r="X581" s="1"/>
      <c r="Y581" s="55">
        <f>(U581-O581)/SQRT((V581^2+P581^2)/2)</f>
        <v>-0.29154395046566078</v>
      </c>
      <c r="Z581" s="55"/>
      <c r="AA581" s="14">
        <v>1</v>
      </c>
      <c r="AB581" s="43">
        <f>((U581-O581)/V581)*AA581 * (1-(3/(4*(Q581+W581-2)-1)))</f>
        <v>-0.81585081585081587</v>
      </c>
      <c r="AC581" s="61"/>
      <c r="AD581" s="44">
        <v>1</v>
      </c>
      <c r="AE581" s="44"/>
      <c r="AF581" s="14"/>
      <c r="AG581" s="14"/>
      <c r="AH581" s="1"/>
      <c r="AI581" s="62"/>
      <c r="AJ581" s="62"/>
      <c r="AK581" s="14">
        <v>1</v>
      </c>
      <c r="AL581" s="14" t="s">
        <v>116</v>
      </c>
      <c r="AM581" s="1" t="s">
        <v>117</v>
      </c>
      <c r="AN581" s="14" t="s">
        <v>118</v>
      </c>
      <c r="AO581" s="1"/>
    </row>
    <row r="582" spans="1:41" s="54" customFormat="1" ht="15.95" customHeight="1" x14ac:dyDescent="0.25">
      <c r="A582" s="11">
        <v>452</v>
      </c>
      <c r="B582" s="11" t="s">
        <v>43</v>
      </c>
      <c r="C582" s="13" t="s">
        <v>126</v>
      </c>
      <c r="D582" s="13" t="s">
        <v>126</v>
      </c>
      <c r="E582" s="36" t="s">
        <v>81</v>
      </c>
      <c r="F582" s="11" t="s">
        <v>46</v>
      </c>
      <c r="G582" s="11">
        <v>2008</v>
      </c>
      <c r="H582" s="63" t="s">
        <v>355</v>
      </c>
      <c r="I582" s="204"/>
      <c r="J582" s="204"/>
      <c r="K582" s="204" t="s">
        <v>52</v>
      </c>
      <c r="L582" s="207" t="s">
        <v>356</v>
      </c>
      <c r="M582" s="207" t="s">
        <v>357</v>
      </c>
      <c r="N582" s="204"/>
      <c r="O582" s="115">
        <v>17.600000000000001</v>
      </c>
      <c r="P582" s="39">
        <v>2.8722813232690143</v>
      </c>
      <c r="Q582" s="40">
        <v>33</v>
      </c>
      <c r="R582" s="156" t="s">
        <v>58</v>
      </c>
      <c r="S582" s="66" t="s">
        <v>58</v>
      </c>
      <c r="T582" s="41"/>
      <c r="U582" s="115">
        <v>18.79</v>
      </c>
      <c r="V582" s="39">
        <v>2.3323807579381204</v>
      </c>
      <c r="W582" s="40">
        <v>34</v>
      </c>
      <c r="X582" s="11"/>
      <c r="Y582" s="11"/>
      <c r="Z582" s="11"/>
      <c r="AA582" s="11">
        <v>-1</v>
      </c>
      <c r="AB582" s="43">
        <f>((U582-O582)/V582)*AA582 * (1-(3/(4*(Q582+W582-2)-1)))</f>
        <v>-0.50429854225688986</v>
      </c>
      <c r="AC582" s="61"/>
      <c r="AD582" s="44">
        <v>1</v>
      </c>
      <c r="AE582" s="44"/>
      <c r="AF582" s="11">
        <v>11.18</v>
      </c>
      <c r="AG582" s="87">
        <v>3.4</v>
      </c>
      <c r="AH582" s="87"/>
      <c r="AI582" s="116">
        <v>10.29</v>
      </c>
      <c r="AJ582" s="87">
        <v>3.1</v>
      </c>
      <c r="AK582" s="11"/>
      <c r="AL582" s="11"/>
      <c r="AM582" s="11"/>
      <c r="AN582" s="11"/>
      <c r="AO582" s="13"/>
    </row>
    <row r="583" spans="1:41" s="54" customFormat="1" ht="15.95" customHeight="1" x14ac:dyDescent="0.25">
      <c r="A583" s="11">
        <v>442</v>
      </c>
      <c r="B583" s="13" t="s">
        <v>43</v>
      </c>
      <c r="C583" s="13" t="s">
        <v>126</v>
      </c>
      <c r="D583" s="11" t="s">
        <v>126</v>
      </c>
      <c r="E583" s="36" t="s">
        <v>81</v>
      </c>
      <c r="F583" s="13" t="s">
        <v>267</v>
      </c>
      <c r="G583" s="13">
        <v>2003</v>
      </c>
      <c r="H583" s="13" t="s">
        <v>362</v>
      </c>
      <c r="I583" s="204"/>
      <c r="J583" s="204"/>
      <c r="K583" s="204" t="s">
        <v>376</v>
      </c>
      <c r="L583" s="207" t="s">
        <v>377</v>
      </c>
      <c r="M583" s="207" t="s">
        <v>378</v>
      </c>
      <c r="N583" s="204"/>
      <c r="O583" s="124">
        <v>9.9</v>
      </c>
      <c r="P583" s="125">
        <v>2.8</v>
      </c>
      <c r="Q583" s="126">
        <v>46</v>
      </c>
      <c r="R583" s="86">
        <f>8.1*60.5364</f>
        <v>490.34483999999998</v>
      </c>
      <c r="S583" s="138">
        <f>6.2*60.5364</f>
        <v>375.32568000000003</v>
      </c>
      <c r="T583" s="97"/>
      <c r="U583" s="124">
        <v>10.199999999999999</v>
      </c>
      <c r="V583" s="125">
        <v>1.8</v>
      </c>
      <c r="W583" s="126">
        <v>18</v>
      </c>
      <c r="X583" s="13"/>
      <c r="Y583" s="13"/>
      <c r="Z583" s="13"/>
      <c r="AA583" s="13">
        <v>-1</v>
      </c>
      <c r="AB583" s="43">
        <f>((U583-O583)/V583)*AA583 * (1-(3/(4*(Q583+W583-2)-1)))</f>
        <v>-0.16464237516869037</v>
      </c>
      <c r="AC583" s="128"/>
      <c r="AD583" s="44">
        <v>1</v>
      </c>
      <c r="AE583" s="44"/>
      <c r="AF583" s="118">
        <f>129/12</f>
        <v>10.75</v>
      </c>
      <c r="AG583" s="118">
        <v>2.1</v>
      </c>
      <c r="AH583" s="118"/>
      <c r="AI583" s="139">
        <v>13.1</v>
      </c>
      <c r="AJ583" s="139">
        <v>3.2</v>
      </c>
      <c r="AK583" s="13"/>
      <c r="AL583" s="13"/>
      <c r="AM583" s="13"/>
      <c r="AN583" s="13"/>
      <c r="AO583" s="1"/>
    </row>
    <row r="584" spans="1:41" s="54" customFormat="1" ht="15.95" customHeight="1" x14ac:dyDescent="0.25">
      <c r="A584" s="11">
        <v>453</v>
      </c>
      <c r="B584" s="13" t="s">
        <v>43</v>
      </c>
      <c r="C584" s="13" t="s">
        <v>126</v>
      </c>
      <c r="D584" s="13" t="s">
        <v>126</v>
      </c>
      <c r="E584" s="36" t="s">
        <v>81</v>
      </c>
      <c r="F584" s="13" t="s">
        <v>267</v>
      </c>
      <c r="G584" s="13">
        <v>2003</v>
      </c>
      <c r="H584" s="13" t="s">
        <v>362</v>
      </c>
      <c r="I584" s="204"/>
      <c r="J584" s="204"/>
      <c r="K584" s="204" t="s">
        <v>48</v>
      </c>
      <c r="L584" s="207"/>
      <c r="M584" s="207" t="s">
        <v>378</v>
      </c>
      <c r="N584" s="204"/>
      <c r="O584" s="124">
        <v>0.1</v>
      </c>
      <c r="P584" s="125">
        <v>0.1</v>
      </c>
      <c r="Q584" s="126">
        <v>46</v>
      </c>
      <c r="R584" s="86">
        <f>8.1*60.5364</f>
        <v>490.34483999999998</v>
      </c>
      <c r="S584" s="138">
        <f>6.2*60.5364</f>
        <v>375.32568000000003</v>
      </c>
      <c r="T584" s="97"/>
      <c r="U584" s="124">
        <v>0</v>
      </c>
      <c r="V584" s="125">
        <v>0.1</v>
      </c>
      <c r="W584" s="126">
        <v>18</v>
      </c>
      <c r="X584" s="13"/>
      <c r="Y584" s="13"/>
      <c r="Z584" s="13"/>
      <c r="AA584" s="13">
        <v>1</v>
      </c>
      <c r="AB584" s="43">
        <f>((U584-O584)/V584)*AA584 * (1-(3/(4*(Q584+W584-2)-1)))</f>
        <v>-0.98785425101214575</v>
      </c>
      <c r="AC584" s="128"/>
      <c r="AD584" s="44">
        <v>1</v>
      </c>
      <c r="AE584" s="44"/>
      <c r="AF584" s="118">
        <f>129/12</f>
        <v>10.75</v>
      </c>
      <c r="AG584" s="118">
        <v>2.1</v>
      </c>
      <c r="AH584" s="118"/>
      <c r="AI584" s="139">
        <v>13.1</v>
      </c>
      <c r="AJ584" s="139">
        <v>3.2</v>
      </c>
      <c r="AK584" s="13"/>
      <c r="AL584" s="13"/>
      <c r="AM584" s="13"/>
      <c r="AN584" s="13"/>
      <c r="AO584" s="1"/>
    </row>
    <row r="585" spans="1:41" s="54" customFormat="1" ht="15.95" customHeight="1" x14ac:dyDescent="0.25">
      <c r="A585" s="11">
        <v>454</v>
      </c>
      <c r="B585" s="13" t="s">
        <v>43</v>
      </c>
      <c r="C585" s="13" t="s">
        <v>126</v>
      </c>
      <c r="D585" s="13" t="s">
        <v>126</v>
      </c>
      <c r="E585" s="36" t="s">
        <v>81</v>
      </c>
      <c r="F585" s="11" t="s">
        <v>292</v>
      </c>
      <c r="G585" s="11">
        <v>1995</v>
      </c>
      <c r="H585" s="11" t="s">
        <v>463</v>
      </c>
      <c r="I585" s="204"/>
      <c r="J585" s="204"/>
      <c r="K585" s="204" t="s">
        <v>464</v>
      </c>
      <c r="L585" s="207" t="s">
        <v>465</v>
      </c>
      <c r="M585" s="204"/>
      <c r="N585" s="204"/>
      <c r="O585" s="38">
        <v>3.33</v>
      </c>
      <c r="P585" s="39">
        <v>3.52</v>
      </c>
      <c r="Q585" s="40">
        <v>10</v>
      </c>
      <c r="R585" s="41">
        <v>348</v>
      </c>
      <c r="S585" s="41"/>
      <c r="T585" s="41"/>
      <c r="U585" s="38">
        <v>3.51</v>
      </c>
      <c r="V585" s="41">
        <v>1.46</v>
      </c>
      <c r="W585" s="40">
        <v>10</v>
      </c>
      <c r="X585" s="11"/>
      <c r="Y585" s="11"/>
      <c r="Z585" s="11"/>
      <c r="AA585" s="11">
        <v>-1</v>
      </c>
      <c r="AB585" s="43">
        <f>((U585-O585)/V585)*AA585 * (1-(3/(4*(Q585+W585-2)-1)))</f>
        <v>-0.11807833301176908</v>
      </c>
      <c r="AC585" s="11"/>
      <c r="AD585" s="44">
        <v>1</v>
      </c>
      <c r="AE585" s="11"/>
      <c r="AF585" s="11">
        <v>7.53</v>
      </c>
      <c r="AG585" s="11" t="s">
        <v>117</v>
      </c>
      <c r="AH585" s="11"/>
      <c r="AI585" s="11">
        <v>7.59</v>
      </c>
      <c r="AJ585" s="11" t="s">
        <v>117</v>
      </c>
      <c r="AK585" s="11"/>
      <c r="AL585" s="11" t="s">
        <v>296</v>
      </c>
      <c r="AM585" s="11"/>
      <c r="AN585" s="11"/>
      <c r="AO585" s="1"/>
    </row>
    <row r="586" spans="1:41" s="54" customFormat="1" ht="15.95" customHeight="1" x14ac:dyDescent="0.25">
      <c r="A586" s="11">
        <v>455</v>
      </c>
      <c r="B586" s="11" t="s">
        <v>54</v>
      </c>
      <c r="C586" s="13" t="s">
        <v>126</v>
      </c>
      <c r="D586" s="13" t="s">
        <v>126</v>
      </c>
      <c r="E586" s="36"/>
      <c r="F586" s="11" t="s">
        <v>292</v>
      </c>
      <c r="G586" s="11">
        <v>1995</v>
      </c>
      <c r="H586" s="11" t="s">
        <v>463</v>
      </c>
      <c r="I586" s="204"/>
      <c r="J586" s="204"/>
      <c r="K586" s="204" t="s">
        <v>464</v>
      </c>
      <c r="L586" s="207"/>
      <c r="M586" s="207"/>
      <c r="N586" s="204"/>
      <c r="O586" s="38">
        <v>7.36</v>
      </c>
      <c r="P586" s="39">
        <v>3.95</v>
      </c>
      <c r="Q586" s="40">
        <v>10</v>
      </c>
      <c r="R586" s="41">
        <v>1014</v>
      </c>
      <c r="S586" s="41">
        <v>216</v>
      </c>
      <c r="T586" s="41"/>
      <c r="U586" s="38">
        <v>9.76</v>
      </c>
      <c r="V586" s="41">
        <v>5.0599999999999996</v>
      </c>
      <c r="W586" s="40">
        <v>10</v>
      </c>
      <c r="X586" s="11"/>
      <c r="Y586" s="11"/>
      <c r="Z586" s="143"/>
      <c r="AA586" s="11">
        <v>-1</v>
      </c>
      <c r="AB586" s="43">
        <f>((U586-O586)/V586)*AA586 * (1-(3/(4*(Q586+W586-2)-1)))</f>
        <v>-0.45426710460390801</v>
      </c>
      <c r="AC586" s="11"/>
      <c r="AD586" s="44">
        <v>1</v>
      </c>
      <c r="AE586" s="11"/>
      <c r="AF586" s="1">
        <v>20.6</v>
      </c>
      <c r="AG586" s="1">
        <f>(28.6-13.4)/4</f>
        <v>3.8000000000000003</v>
      </c>
      <c r="AH586" s="163" t="s">
        <v>297</v>
      </c>
      <c r="AI586" s="11"/>
      <c r="AJ586" s="11"/>
      <c r="AK586" s="11"/>
      <c r="AL586" s="11"/>
      <c r="AM586" s="11"/>
      <c r="AN586" s="11"/>
      <c r="AO586" s="1"/>
    </row>
    <row r="587" spans="1:41" s="54" customFormat="1" ht="15.95" customHeight="1" x14ac:dyDescent="0.25">
      <c r="A587" s="11">
        <v>417</v>
      </c>
      <c r="B587" s="1" t="s">
        <v>34</v>
      </c>
      <c r="C587" s="13" t="s">
        <v>80</v>
      </c>
      <c r="D587" s="13" t="s">
        <v>80</v>
      </c>
      <c r="E587" s="36" t="s">
        <v>81</v>
      </c>
      <c r="F587" s="14" t="s">
        <v>82</v>
      </c>
      <c r="G587" s="1">
        <v>2005</v>
      </c>
      <c r="H587" s="11" t="s">
        <v>83</v>
      </c>
      <c r="I587" s="204" t="s">
        <v>39</v>
      </c>
      <c r="J587" s="204" t="s">
        <v>39</v>
      </c>
      <c r="K587" s="221" t="s">
        <v>84</v>
      </c>
      <c r="L587" s="222" t="s">
        <v>85</v>
      </c>
      <c r="M587" s="220"/>
      <c r="N587" s="220"/>
      <c r="O587" s="74">
        <v>99.4</v>
      </c>
      <c r="P587" s="60">
        <v>1.66</v>
      </c>
      <c r="Q587" s="91">
        <v>25</v>
      </c>
      <c r="R587" s="59">
        <v>758.79</v>
      </c>
      <c r="S587" s="60"/>
      <c r="T587" s="59"/>
      <c r="U587" s="74">
        <v>99.4</v>
      </c>
      <c r="V587" s="92">
        <v>1.66</v>
      </c>
      <c r="W587" s="91">
        <v>25</v>
      </c>
      <c r="X587" s="14"/>
      <c r="Y587" s="55">
        <f>(U587-O587)/SQRT((V587^2+P587^2)/2)</f>
        <v>0</v>
      </c>
      <c r="Z587" s="55"/>
      <c r="AA587" s="14">
        <v>-1</v>
      </c>
      <c r="AB587" s="43">
        <f>((U587-O587)/V587)*AA587 * (1-(3/(4*(Q587+W587-2)-1)))</f>
        <v>0</v>
      </c>
      <c r="AC587" s="61"/>
      <c r="AD587" s="44">
        <v>1</v>
      </c>
      <c r="AE587" s="44"/>
      <c r="AF587" s="14"/>
      <c r="AG587" s="14"/>
      <c r="AH587" s="1"/>
      <c r="AI587" s="62"/>
      <c r="AJ587" s="62"/>
      <c r="AK587" s="14">
        <v>2</v>
      </c>
      <c r="AL587" s="14" t="s">
        <v>68</v>
      </c>
      <c r="AM587" s="1" t="s">
        <v>69</v>
      </c>
      <c r="AN587" s="14" t="s">
        <v>68</v>
      </c>
      <c r="AO587" s="1"/>
    </row>
    <row r="588" spans="1:41" s="45" customFormat="1" ht="15.95" customHeight="1" x14ac:dyDescent="0.25">
      <c r="A588" s="11">
        <v>419</v>
      </c>
      <c r="B588" s="1" t="s">
        <v>34</v>
      </c>
      <c r="C588" s="13" t="s">
        <v>80</v>
      </c>
      <c r="D588" s="13" t="s">
        <v>80</v>
      </c>
      <c r="E588" s="36" t="s">
        <v>81</v>
      </c>
      <c r="F588" s="14" t="s">
        <v>82</v>
      </c>
      <c r="G588" s="1">
        <v>2005</v>
      </c>
      <c r="H588" s="11" t="s">
        <v>83</v>
      </c>
      <c r="I588" s="204" t="s">
        <v>41</v>
      </c>
      <c r="J588" s="204" t="s">
        <v>41</v>
      </c>
      <c r="K588" s="221" t="s">
        <v>86</v>
      </c>
      <c r="L588" s="222" t="s">
        <v>85</v>
      </c>
      <c r="M588" s="220"/>
      <c r="N588" s="220"/>
      <c r="O588" s="74">
        <v>0.99</v>
      </c>
      <c r="P588" s="60">
        <v>0.35</v>
      </c>
      <c r="Q588" s="91">
        <v>25</v>
      </c>
      <c r="R588" s="59">
        <v>758.79</v>
      </c>
      <c r="S588" s="60"/>
      <c r="T588" s="59"/>
      <c r="U588" s="74">
        <v>0.83</v>
      </c>
      <c r="V588" s="92">
        <v>0.26</v>
      </c>
      <c r="W588" s="91">
        <v>25</v>
      </c>
      <c r="X588" s="14"/>
      <c r="Y588" s="55">
        <f>(U588-O588)/SQRT((V588^2+P588^2)/2)</f>
        <v>-0.51897199400628724</v>
      </c>
      <c r="Z588" s="55"/>
      <c r="AA588" s="14">
        <v>1</v>
      </c>
      <c r="AB588" s="43">
        <f>((U588-O588)/V588)*AA588 * (1-(3/(4*(Q588+W588-2)-1)))</f>
        <v>-0.60571888844140165</v>
      </c>
      <c r="AC588" s="61"/>
      <c r="AD588" s="44">
        <v>1</v>
      </c>
      <c r="AE588" s="44"/>
      <c r="AF588" s="14"/>
      <c r="AG588" s="14"/>
      <c r="AH588" s="1"/>
      <c r="AI588" s="62"/>
      <c r="AJ588" s="62"/>
      <c r="AK588" s="14">
        <v>2</v>
      </c>
      <c r="AL588" s="14" t="s">
        <v>68</v>
      </c>
      <c r="AM588" s="1" t="s">
        <v>69</v>
      </c>
      <c r="AN588" s="14" t="s">
        <v>68</v>
      </c>
      <c r="AO588" s="1"/>
    </row>
    <row r="589" spans="1:41" s="84" customFormat="1" ht="15.95" customHeight="1" x14ac:dyDescent="0.25">
      <c r="A589" s="11">
        <v>418</v>
      </c>
      <c r="B589" s="1" t="s">
        <v>34</v>
      </c>
      <c r="C589" s="13" t="s">
        <v>80</v>
      </c>
      <c r="D589" s="13" t="s">
        <v>80</v>
      </c>
      <c r="E589" s="36" t="s">
        <v>81</v>
      </c>
      <c r="F589" s="14" t="s">
        <v>87</v>
      </c>
      <c r="G589" s="1">
        <v>2007</v>
      </c>
      <c r="H589" s="11" t="s">
        <v>83</v>
      </c>
      <c r="I589" s="204" t="s">
        <v>39</v>
      </c>
      <c r="J589" s="204" t="s">
        <v>39</v>
      </c>
      <c r="K589" s="221" t="s">
        <v>84</v>
      </c>
      <c r="L589" s="222" t="s">
        <v>92</v>
      </c>
      <c r="M589" s="220"/>
      <c r="N589" s="220"/>
      <c r="O589" s="74">
        <v>98.2</v>
      </c>
      <c r="P589" s="60">
        <v>2.84</v>
      </c>
      <c r="Q589" s="91">
        <v>25</v>
      </c>
      <c r="R589" s="59">
        <v>1285.68</v>
      </c>
      <c r="S589" s="60"/>
      <c r="T589" s="59"/>
      <c r="U589" s="74">
        <v>98.6</v>
      </c>
      <c r="V589" s="92">
        <v>2.02</v>
      </c>
      <c r="W589" s="91">
        <v>45</v>
      </c>
      <c r="X589" s="14"/>
      <c r="Y589" s="55">
        <f>(U589-O589)/SQRT((V589^2+P589^2)/2)</f>
        <v>0.16231488588586224</v>
      </c>
      <c r="Z589" s="55"/>
      <c r="AA589" s="14">
        <v>-1</v>
      </c>
      <c r="AB589" s="43">
        <f>((U589-O589)/V589)*AA589 * (1-(3/(4*(Q589+W589-2)-1)))</f>
        <v>-0.19582770085126178</v>
      </c>
      <c r="AC589" s="61"/>
      <c r="AD589" s="44">
        <v>1</v>
      </c>
      <c r="AE589" s="44"/>
      <c r="AF589" s="14"/>
      <c r="AG589" s="14"/>
      <c r="AH589" s="1"/>
      <c r="AI589" s="62"/>
      <c r="AJ589" s="62"/>
      <c r="AK589" s="14">
        <v>2</v>
      </c>
      <c r="AL589" s="14" t="s">
        <v>68</v>
      </c>
      <c r="AM589" s="71" t="s">
        <v>93</v>
      </c>
      <c r="AN589" s="14" t="s">
        <v>68</v>
      </c>
      <c r="AO589" s="1"/>
    </row>
    <row r="590" spans="1:41" s="54" customFormat="1" ht="15.95" customHeight="1" x14ac:dyDescent="0.25">
      <c r="A590" s="11">
        <v>420</v>
      </c>
      <c r="B590" s="1" t="s">
        <v>34</v>
      </c>
      <c r="C590" s="13" t="s">
        <v>80</v>
      </c>
      <c r="D590" s="13" t="s">
        <v>80</v>
      </c>
      <c r="E590" s="36" t="s">
        <v>81</v>
      </c>
      <c r="F590" s="14" t="s">
        <v>87</v>
      </c>
      <c r="G590" s="1">
        <v>2007</v>
      </c>
      <c r="H590" s="11" t="s">
        <v>83</v>
      </c>
      <c r="I590" s="204" t="s">
        <v>41</v>
      </c>
      <c r="J590" s="204" t="s">
        <v>41</v>
      </c>
      <c r="K590" s="221" t="s">
        <v>94</v>
      </c>
      <c r="L590" s="222" t="s">
        <v>92</v>
      </c>
      <c r="M590" s="220"/>
      <c r="N590" s="220"/>
      <c r="O590" s="74">
        <v>0.87</v>
      </c>
      <c r="P590" s="60">
        <v>0.2</v>
      </c>
      <c r="Q590" s="91">
        <v>25</v>
      </c>
      <c r="R590" s="59">
        <v>1285.68</v>
      </c>
      <c r="S590" s="60"/>
      <c r="T590" s="59"/>
      <c r="U590" s="74">
        <v>0.82</v>
      </c>
      <c r="V590" s="92">
        <v>0.26</v>
      </c>
      <c r="W590" s="91">
        <v>45</v>
      </c>
      <c r="X590" s="14"/>
      <c r="Y590" s="55">
        <f>(U590-O590)/SQRT((V590^2+P590^2)/2)</f>
        <v>-0.21556530677961361</v>
      </c>
      <c r="Z590" s="55"/>
      <c r="AA590" s="14">
        <v>1</v>
      </c>
      <c r="AB590" s="43">
        <f>((U590-O590)/V590)*AA590 * (1-(3/(4*(Q590+W590-2)-1)))</f>
        <v>-0.1901788248651719</v>
      </c>
      <c r="AC590" s="61"/>
      <c r="AD590" s="44">
        <v>1</v>
      </c>
      <c r="AE590" s="44"/>
      <c r="AF590" s="14"/>
      <c r="AG590" s="14"/>
      <c r="AH590" s="1"/>
      <c r="AI590" s="62"/>
      <c r="AJ590" s="62"/>
      <c r="AK590" s="14">
        <v>2</v>
      </c>
      <c r="AL590" s="14" t="s">
        <v>68</v>
      </c>
      <c r="AM590" s="71" t="s">
        <v>93</v>
      </c>
      <c r="AN590" s="14" t="s">
        <v>68</v>
      </c>
      <c r="AO590" s="13"/>
    </row>
    <row r="591" spans="1:41" s="54" customFormat="1" ht="15.95" customHeight="1" x14ac:dyDescent="0.25">
      <c r="A591" s="11">
        <v>415</v>
      </c>
      <c r="B591" s="11" t="s">
        <v>34</v>
      </c>
      <c r="C591" s="13" t="s">
        <v>80</v>
      </c>
      <c r="D591" s="13" t="s">
        <v>80</v>
      </c>
      <c r="E591" s="36" t="s">
        <v>81</v>
      </c>
      <c r="F591" s="11" t="s">
        <v>274</v>
      </c>
      <c r="G591" s="11">
        <v>2023</v>
      </c>
      <c r="H591" s="11" t="s">
        <v>279</v>
      </c>
      <c r="I591" s="204" t="s">
        <v>41</v>
      </c>
      <c r="J591" s="210"/>
      <c r="K591" s="204" t="s">
        <v>276</v>
      </c>
      <c r="L591" s="207"/>
      <c r="M591" s="204" t="s">
        <v>277</v>
      </c>
      <c r="N591" s="204" t="s">
        <v>280</v>
      </c>
      <c r="O591" s="38">
        <v>56</v>
      </c>
      <c r="P591" s="39">
        <v>11.7</v>
      </c>
      <c r="Q591" s="40">
        <v>40</v>
      </c>
      <c r="R591" s="41">
        <v>589</v>
      </c>
      <c r="S591" s="39">
        <v>444</v>
      </c>
      <c r="T591" s="41"/>
      <c r="U591" s="38">
        <v>61</v>
      </c>
      <c r="V591" s="41">
        <v>10.9</v>
      </c>
      <c r="W591" s="40">
        <v>32</v>
      </c>
      <c r="X591" s="11" t="s">
        <v>58</v>
      </c>
      <c r="Y591" s="11"/>
      <c r="Z591" s="11"/>
      <c r="AA591" s="11">
        <v>-1</v>
      </c>
      <c r="AB591" s="43">
        <f>((U591-O591)/V591)*AA591 * (1-(3/(4*(Q591+W591-2)-1)))</f>
        <v>-0.45378317056328299</v>
      </c>
      <c r="AC591" s="11"/>
      <c r="AD591" s="44">
        <v>1</v>
      </c>
      <c r="AE591" s="44"/>
      <c r="AF591" s="11" t="s">
        <v>58</v>
      </c>
      <c r="AG591" s="11"/>
      <c r="AH591" s="11"/>
      <c r="AI591" s="11"/>
      <c r="AJ591" s="11"/>
      <c r="AK591" s="11"/>
      <c r="AL591" s="11"/>
      <c r="AM591" s="11"/>
      <c r="AN591" s="11"/>
      <c r="AO591" s="1"/>
    </row>
    <row r="592" spans="1:41" s="54" customFormat="1" ht="15.95" customHeight="1" x14ac:dyDescent="0.25">
      <c r="A592" s="11">
        <v>421</v>
      </c>
      <c r="B592" s="1" t="s">
        <v>34</v>
      </c>
      <c r="C592" s="14" t="s">
        <v>80</v>
      </c>
      <c r="D592" s="14" t="s">
        <v>80</v>
      </c>
      <c r="E592" s="36" t="s">
        <v>81</v>
      </c>
      <c r="F592" s="14" t="s">
        <v>406</v>
      </c>
      <c r="G592" s="1">
        <v>2004</v>
      </c>
      <c r="H592" s="11" t="s">
        <v>353</v>
      </c>
      <c r="I592" s="204"/>
      <c r="J592" s="204"/>
      <c r="K592" s="221" t="s">
        <v>412</v>
      </c>
      <c r="L592" s="222"/>
      <c r="M592" s="220"/>
      <c r="N592" s="220"/>
      <c r="O592" s="74">
        <v>98.19</v>
      </c>
      <c r="P592" s="60">
        <v>2.59</v>
      </c>
      <c r="Q592" s="91">
        <v>20</v>
      </c>
      <c r="R592" s="59">
        <v>858.5</v>
      </c>
      <c r="S592" s="60"/>
      <c r="T592" s="59"/>
      <c r="U592" s="74">
        <v>98.19</v>
      </c>
      <c r="V592" s="92">
        <v>4.16</v>
      </c>
      <c r="W592" s="91">
        <v>20</v>
      </c>
      <c r="X592" s="14"/>
      <c r="Y592" s="55">
        <f>(U592-O592)/SQRT((V592^2+P592^2)/2)</f>
        <v>0</v>
      </c>
      <c r="Z592" s="55"/>
      <c r="AA592" s="14">
        <v>-1</v>
      </c>
      <c r="AB592" s="43">
        <f>((U592-O592)/V592)*AA592 * (1-(3/(4*(Q592+W592-2)-1)))</f>
        <v>0</v>
      </c>
      <c r="AC592" s="61"/>
      <c r="AD592" s="44">
        <v>1</v>
      </c>
      <c r="AE592" s="44"/>
      <c r="AF592" s="14"/>
      <c r="AG592" s="14"/>
      <c r="AH592" s="1"/>
      <c r="AI592" s="62"/>
      <c r="AJ592" s="62"/>
      <c r="AK592" s="14">
        <v>2</v>
      </c>
      <c r="AL592" s="14" t="s">
        <v>68</v>
      </c>
      <c r="AM592" s="1" t="s">
        <v>69</v>
      </c>
      <c r="AN592" s="14" t="s">
        <v>68</v>
      </c>
      <c r="AO592" s="1"/>
    </row>
    <row r="593" spans="1:41" s="54" customFormat="1" ht="15.95" customHeight="1" x14ac:dyDescent="0.25">
      <c r="A593" s="11">
        <v>424</v>
      </c>
      <c r="B593" s="1" t="s">
        <v>34</v>
      </c>
      <c r="C593" s="14" t="s">
        <v>80</v>
      </c>
      <c r="D593" s="14" t="s">
        <v>80</v>
      </c>
      <c r="E593" s="36" t="s">
        <v>81</v>
      </c>
      <c r="F593" s="14" t="s">
        <v>588</v>
      </c>
      <c r="G593" s="1">
        <v>2015</v>
      </c>
      <c r="H593" s="11" t="s">
        <v>353</v>
      </c>
      <c r="I593" s="204"/>
      <c r="J593" s="204"/>
      <c r="K593" s="221" t="s">
        <v>592</v>
      </c>
      <c r="L593" s="222"/>
      <c r="M593" s="220"/>
      <c r="N593" s="220"/>
      <c r="O593" s="74">
        <v>77.86</v>
      </c>
      <c r="P593" s="60">
        <v>28.6</v>
      </c>
      <c r="Q593" s="91">
        <v>14</v>
      </c>
      <c r="R593" s="69" t="s">
        <v>117</v>
      </c>
      <c r="S593" s="70"/>
      <c r="T593" s="69"/>
      <c r="U593" s="74">
        <v>86.79</v>
      </c>
      <c r="V593" s="92">
        <v>24.31</v>
      </c>
      <c r="W593" s="91">
        <v>14</v>
      </c>
      <c r="X593" s="14"/>
      <c r="Y593" s="55">
        <f>(U593-O593)/SQRT((V593^2+P593^2)/2)</f>
        <v>0.33645021355751514</v>
      </c>
      <c r="Z593" s="55"/>
      <c r="AA593" s="14">
        <v>-1</v>
      </c>
      <c r="AB593" s="43">
        <f>((U593-O593)/V593)*AA593 * (1-(3/(4*(Q593+W593-2)-1)))</f>
        <v>-0.35663936292148773</v>
      </c>
      <c r="AC593" s="61"/>
      <c r="AD593" s="44">
        <v>1</v>
      </c>
      <c r="AE593" s="44"/>
      <c r="AF593" s="14"/>
      <c r="AG593" s="14"/>
      <c r="AH593" s="1"/>
      <c r="AI593" s="62"/>
      <c r="AJ593" s="62"/>
      <c r="AK593" s="71">
        <v>3</v>
      </c>
      <c r="AL593" s="71" t="s">
        <v>591</v>
      </c>
      <c r="AM593" s="1" t="s">
        <v>69</v>
      </c>
      <c r="AN593" s="71" t="s">
        <v>591</v>
      </c>
      <c r="AO593" s="11"/>
    </row>
    <row r="594" spans="1:41" s="45" customFormat="1" ht="15.95" customHeight="1" x14ac:dyDescent="0.25">
      <c r="A594" s="11">
        <v>425</v>
      </c>
      <c r="B594" s="1" t="s">
        <v>34</v>
      </c>
      <c r="C594" s="14" t="s">
        <v>80</v>
      </c>
      <c r="D594" s="14" t="s">
        <v>80</v>
      </c>
      <c r="E594" s="36" t="s">
        <v>81</v>
      </c>
      <c r="F594" s="14" t="s">
        <v>670</v>
      </c>
      <c r="G594" s="1">
        <v>2021</v>
      </c>
      <c r="H594" s="11" t="s">
        <v>353</v>
      </c>
      <c r="I594" s="204"/>
      <c r="J594" s="204"/>
      <c r="K594" s="221"/>
      <c r="L594" s="222"/>
      <c r="M594" s="220"/>
      <c r="N594" s="220"/>
      <c r="O594" s="74">
        <v>36</v>
      </c>
      <c r="P594" s="60">
        <v>1.6</v>
      </c>
      <c r="Q594" s="91">
        <v>19</v>
      </c>
      <c r="R594" s="59">
        <v>890</v>
      </c>
      <c r="S594" s="60"/>
      <c r="T594" s="59"/>
      <c r="U594" s="74">
        <v>36</v>
      </c>
      <c r="V594" s="92">
        <v>0.79</v>
      </c>
      <c r="W594" s="91">
        <v>25</v>
      </c>
      <c r="X594" s="14"/>
      <c r="Y594" s="55">
        <v>0</v>
      </c>
      <c r="Z594" s="55"/>
      <c r="AA594" s="14">
        <v>1</v>
      </c>
      <c r="AB594" s="43">
        <f>((U594-O594)/V594)*AA594 * (1-(3/(4*(Q594+W594-2)-1)))</f>
        <v>0</v>
      </c>
      <c r="AC594" s="61"/>
      <c r="AD594" s="44">
        <v>1</v>
      </c>
      <c r="AE594" s="73">
        <f>AVERAGE(AB583:AB594)</f>
        <v>-0.29391583428659329</v>
      </c>
      <c r="AF594" s="14"/>
      <c r="AG594" s="14"/>
      <c r="AH594" s="1"/>
      <c r="AI594" s="62"/>
      <c r="AJ594" s="62"/>
      <c r="AK594" s="14"/>
      <c r="AL594" s="14"/>
      <c r="AM594" s="71"/>
      <c r="AN594" s="14"/>
      <c r="AO594" s="1"/>
    </row>
    <row r="595" spans="1:41" s="54" customFormat="1" ht="15.95" customHeight="1" x14ac:dyDescent="0.25">
      <c r="A595" s="11">
        <v>426</v>
      </c>
      <c r="B595" s="13" t="s">
        <v>43</v>
      </c>
      <c r="C595" s="13" t="s">
        <v>80</v>
      </c>
      <c r="D595" s="13" t="s">
        <v>80</v>
      </c>
      <c r="E595" s="36" t="s">
        <v>45</v>
      </c>
      <c r="F595" s="11" t="s">
        <v>46</v>
      </c>
      <c r="G595" s="13">
        <v>2002</v>
      </c>
      <c r="H595" s="11" t="s">
        <v>353</v>
      </c>
      <c r="I595" s="204"/>
      <c r="J595" s="204"/>
      <c r="K595" s="204" t="s">
        <v>354</v>
      </c>
      <c r="L595" s="207"/>
      <c r="M595" s="207"/>
      <c r="N595" s="204"/>
      <c r="O595" s="38">
        <v>27.24</v>
      </c>
      <c r="P595" s="39">
        <v>6.7200000000000006</v>
      </c>
      <c r="Q595" s="126">
        <v>36</v>
      </c>
      <c r="R595" s="97"/>
      <c r="S595" s="125"/>
      <c r="T595" s="97"/>
      <c r="U595" s="146">
        <v>29.26</v>
      </c>
      <c r="V595" s="125">
        <v>4.92</v>
      </c>
      <c r="W595" s="126">
        <v>69</v>
      </c>
      <c r="X595" s="13"/>
      <c r="Y595" s="13"/>
      <c r="Z595" s="13"/>
      <c r="AA595" s="13">
        <v>-1</v>
      </c>
      <c r="AB595" s="43">
        <f>((U595-O595)/V595)*AA595 * (1-(3/(4*(Q595+W595-2)-1)))</f>
        <v>-0.40757225090499144</v>
      </c>
      <c r="AC595" s="128"/>
      <c r="AD595" s="44">
        <v>1</v>
      </c>
      <c r="AE595" s="44"/>
      <c r="AF595" s="13"/>
      <c r="AG595" s="129"/>
      <c r="AH595" s="129"/>
      <c r="AI595" s="147"/>
      <c r="AJ595" s="129"/>
      <c r="AK595" s="13"/>
      <c r="AL595" s="13"/>
      <c r="AM595" s="13"/>
      <c r="AN595" s="13"/>
      <c r="AO595" s="1"/>
    </row>
    <row r="596" spans="1:41" s="54" customFormat="1" ht="15.95" customHeight="1" x14ac:dyDescent="0.25">
      <c r="A596" s="11">
        <v>427</v>
      </c>
      <c r="B596" s="13" t="s">
        <v>43</v>
      </c>
      <c r="C596" s="13" t="s">
        <v>80</v>
      </c>
      <c r="D596" s="13" t="s">
        <v>80</v>
      </c>
      <c r="E596" s="36" t="s">
        <v>45</v>
      </c>
      <c r="F596" s="13" t="s">
        <v>267</v>
      </c>
      <c r="G596" s="13">
        <v>2003</v>
      </c>
      <c r="H596" s="11" t="s">
        <v>353</v>
      </c>
      <c r="I596" s="204"/>
      <c r="J596" s="204"/>
      <c r="K596" s="204" t="s">
        <v>371</v>
      </c>
      <c r="L596" s="207"/>
      <c r="M596" s="207"/>
      <c r="N596" s="204"/>
      <c r="O596" s="124">
        <v>38.5</v>
      </c>
      <c r="P596" s="125">
        <v>9.3000000000000007</v>
      </c>
      <c r="Q596" s="126">
        <v>46</v>
      </c>
      <c r="R596" s="86">
        <f>8.1*60.5364</f>
        <v>490.34483999999998</v>
      </c>
      <c r="S596" s="138">
        <f>6.2*60.5364</f>
        <v>375.32568000000003</v>
      </c>
      <c r="T596" s="97"/>
      <c r="U596" s="124">
        <v>52.5</v>
      </c>
      <c r="V596" s="125">
        <v>10.4</v>
      </c>
      <c r="W596" s="126">
        <v>18</v>
      </c>
      <c r="X596" s="13"/>
      <c r="Y596" s="13"/>
      <c r="Z596" s="13"/>
      <c r="AA596" s="13">
        <v>-1</v>
      </c>
      <c r="AB596" s="43">
        <f>((U596-O596)/V596)*AA596 * (1-(3/(4*(Q596+W596-2)-1)))</f>
        <v>-1.3298037994394269</v>
      </c>
      <c r="AC596" s="128"/>
      <c r="AD596" s="44">
        <v>1</v>
      </c>
      <c r="AE596" s="44"/>
      <c r="AF596" s="118">
        <f>129/12</f>
        <v>10.75</v>
      </c>
      <c r="AG596" s="118">
        <v>2.1</v>
      </c>
      <c r="AH596" s="118"/>
      <c r="AI596" s="139">
        <v>13.1</v>
      </c>
      <c r="AJ596" s="139">
        <v>3.2</v>
      </c>
      <c r="AK596" s="13"/>
      <c r="AL596" s="13"/>
      <c r="AM596" s="13"/>
      <c r="AN596" s="13"/>
      <c r="AO596" s="13"/>
    </row>
    <row r="597" spans="1:41" s="54" customFormat="1" ht="15.95" customHeight="1" x14ac:dyDescent="0.25">
      <c r="A597" s="11">
        <v>430</v>
      </c>
      <c r="B597" s="13" t="s">
        <v>43</v>
      </c>
      <c r="C597" s="13" t="s">
        <v>80</v>
      </c>
      <c r="D597" s="13" t="s">
        <v>80</v>
      </c>
      <c r="E597" s="36" t="s">
        <v>45</v>
      </c>
      <c r="F597" s="13" t="s">
        <v>386</v>
      </c>
      <c r="G597" s="13">
        <v>2018</v>
      </c>
      <c r="H597" s="13" t="s">
        <v>391</v>
      </c>
      <c r="I597" s="204"/>
      <c r="J597" s="204"/>
      <c r="K597" s="204" t="s">
        <v>329</v>
      </c>
      <c r="L597" s="207" t="s">
        <v>392</v>
      </c>
      <c r="M597" s="207"/>
      <c r="N597" s="204"/>
      <c r="O597" s="124">
        <v>-0.59</v>
      </c>
      <c r="P597" s="125">
        <v>0.94</v>
      </c>
      <c r="Q597" s="126">
        <v>11</v>
      </c>
      <c r="R597" s="86">
        <v>743.18</v>
      </c>
      <c r="S597" s="138">
        <v>83.66</v>
      </c>
      <c r="T597" s="97"/>
      <c r="U597" s="124">
        <v>0</v>
      </c>
      <c r="V597" s="125">
        <v>0.66</v>
      </c>
      <c r="W597" s="126">
        <v>28</v>
      </c>
      <c r="X597" s="13"/>
      <c r="Y597" s="13"/>
      <c r="Z597" s="13"/>
      <c r="AA597" s="13">
        <v>-1</v>
      </c>
      <c r="AB597" s="43">
        <f>((U597-O597)/V597)*AA597 * (1-(3/(4*(Q597+W597-2)-1)))</f>
        <v>-0.87569573283858981</v>
      </c>
      <c r="AC597" s="128"/>
      <c r="AD597" s="44">
        <v>1</v>
      </c>
      <c r="AE597" s="73">
        <f>AVERAGE(AB592:AB597)</f>
        <v>-0.49495185768408262</v>
      </c>
      <c r="AF597" s="140">
        <f>156/12</f>
        <v>13</v>
      </c>
      <c r="AG597" s="140">
        <f>29.8/12</f>
        <v>2.4833333333333334</v>
      </c>
      <c r="AH597" s="140"/>
      <c r="AI597" s="139">
        <f>142/12</f>
        <v>11.833333333333334</v>
      </c>
      <c r="AJ597" s="139">
        <f>29.5/12</f>
        <v>2.4583333333333335</v>
      </c>
      <c r="AK597" s="13"/>
      <c r="AL597" s="13"/>
      <c r="AM597" s="13"/>
      <c r="AN597" s="13"/>
      <c r="AO597" s="1"/>
    </row>
    <row r="598" spans="1:41" s="45" customFormat="1" ht="15.95" customHeight="1" x14ac:dyDescent="0.25">
      <c r="A598" s="11">
        <v>429</v>
      </c>
      <c r="B598" s="11" t="s">
        <v>43</v>
      </c>
      <c r="C598" s="13" t="s">
        <v>80</v>
      </c>
      <c r="D598" s="13" t="s">
        <v>80</v>
      </c>
      <c r="E598" s="36" t="s">
        <v>45</v>
      </c>
      <c r="F598" s="13" t="s">
        <v>287</v>
      </c>
      <c r="G598" s="13">
        <v>2005</v>
      </c>
      <c r="H598" s="11" t="s">
        <v>353</v>
      </c>
      <c r="I598" s="204"/>
      <c r="J598" s="204"/>
      <c r="K598" s="204" t="s">
        <v>354</v>
      </c>
      <c r="L598" s="207"/>
      <c r="M598" s="207"/>
      <c r="N598" s="204"/>
      <c r="O598" s="38">
        <v>51</v>
      </c>
      <c r="P598" s="39">
        <v>8</v>
      </c>
      <c r="Q598" s="126">
        <v>26</v>
      </c>
      <c r="R598" s="86">
        <f>(449+529)/2</f>
        <v>489</v>
      </c>
      <c r="S598" s="138">
        <f>(220+142)/2</f>
        <v>181</v>
      </c>
      <c r="T598" s="97"/>
      <c r="U598" s="38">
        <v>60</v>
      </c>
      <c r="V598" s="39">
        <v>10</v>
      </c>
      <c r="W598" s="126">
        <v>21</v>
      </c>
      <c r="X598" s="13"/>
      <c r="Y598" s="13"/>
      <c r="Z598" s="13"/>
      <c r="AA598" s="13">
        <v>-1</v>
      </c>
      <c r="AB598" s="43">
        <f>((U598-O598)/V598)*AA598 * (1-(3/(4*(Q598+W598-2)-1)))</f>
        <v>-0.88491620111731839</v>
      </c>
      <c r="AC598" s="128"/>
      <c r="AD598" s="44">
        <v>1</v>
      </c>
      <c r="AE598" s="44"/>
      <c r="AF598" s="118">
        <v>12.3</v>
      </c>
      <c r="AG598" s="118">
        <v>3.7</v>
      </c>
      <c r="AH598" s="118"/>
      <c r="AI598" s="139">
        <v>11.8</v>
      </c>
      <c r="AJ598" s="139">
        <v>3.6</v>
      </c>
      <c r="AK598" s="13"/>
      <c r="AL598" s="13"/>
      <c r="AM598" s="13"/>
      <c r="AN598" s="13"/>
      <c r="AO598" s="13"/>
    </row>
    <row r="599" spans="1:41" s="54" customFormat="1" ht="15.95" customHeight="1" x14ac:dyDescent="0.25">
      <c r="A599" s="11">
        <v>428</v>
      </c>
      <c r="B599" s="13" t="s">
        <v>43</v>
      </c>
      <c r="C599" s="13" t="s">
        <v>80</v>
      </c>
      <c r="D599" s="13" t="s">
        <v>80</v>
      </c>
      <c r="E599" s="36" t="s">
        <v>45</v>
      </c>
      <c r="F599" s="13" t="s">
        <v>519</v>
      </c>
      <c r="G599" s="13">
        <v>2009</v>
      </c>
      <c r="H599" s="11" t="s">
        <v>353</v>
      </c>
      <c r="I599" s="204"/>
      <c r="J599" s="204"/>
      <c r="K599" s="204" t="s">
        <v>526</v>
      </c>
      <c r="L599" s="207"/>
      <c r="M599" s="207"/>
      <c r="N599" s="204"/>
      <c r="O599" s="124">
        <v>28.53</v>
      </c>
      <c r="P599" s="125">
        <v>5.17</v>
      </c>
      <c r="Q599" s="126">
        <v>14</v>
      </c>
      <c r="R599" s="86">
        <v>491</v>
      </c>
      <c r="S599" s="138">
        <v>149.19999999999999</v>
      </c>
      <c r="T599" s="97"/>
      <c r="U599" s="124">
        <v>34.229999999999997</v>
      </c>
      <c r="V599" s="125">
        <v>1.96</v>
      </c>
      <c r="W599" s="126">
        <v>14</v>
      </c>
      <c r="X599" s="13"/>
      <c r="Y599" s="13"/>
      <c r="Z599" s="13"/>
      <c r="AA599" s="13">
        <v>-1</v>
      </c>
      <c r="AB599" s="43">
        <f>((U599-O599)/V599)*AA599 * (1-(3/(4*(Q599+W599-2)-1)))</f>
        <v>-2.8234594808797286</v>
      </c>
      <c r="AC599" s="128"/>
      <c r="AD599" s="44">
        <v>1</v>
      </c>
      <c r="AE599" s="44"/>
      <c r="AF599" s="118">
        <v>10.8</v>
      </c>
      <c r="AG599" s="118">
        <f>(13-8)/4</f>
        <v>1.25</v>
      </c>
      <c r="AH599" s="118"/>
      <c r="AI599" s="139">
        <v>10.9</v>
      </c>
      <c r="AJ599" s="140">
        <f>(13-8)/4</f>
        <v>1.25</v>
      </c>
      <c r="AK599" s="13"/>
      <c r="AL599" s="13"/>
      <c r="AM599" s="13"/>
      <c r="AN599" s="13"/>
      <c r="AO599" s="13"/>
    </row>
    <row r="600" spans="1:41" s="54" customFormat="1" ht="15.95" customHeight="1" x14ac:dyDescent="0.25">
      <c r="A600" s="11">
        <v>414</v>
      </c>
      <c r="B600" s="13" t="s">
        <v>43</v>
      </c>
      <c r="C600" s="13" t="s">
        <v>80</v>
      </c>
      <c r="D600" s="13" t="s">
        <v>80</v>
      </c>
      <c r="E600" s="36" t="s">
        <v>45</v>
      </c>
      <c r="F600" s="118" t="s">
        <v>698</v>
      </c>
      <c r="G600" s="13">
        <v>2000</v>
      </c>
      <c r="H600" s="118" t="s">
        <v>701</v>
      </c>
      <c r="I600" s="208"/>
      <c r="J600" s="208"/>
      <c r="K600" s="204"/>
      <c r="L600" s="208" t="s">
        <v>702</v>
      </c>
      <c r="M600" s="207"/>
      <c r="N600" s="205"/>
      <c r="O600" s="124">
        <v>2.21</v>
      </c>
      <c r="P600" s="138">
        <v>0.53</v>
      </c>
      <c r="Q600" s="126">
        <v>19</v>
      </c>
      <c r="R600" s="97">
        <v>777.2</v>
      </c>
      <c r="S600" s="125">
        <v>199.9</v>
      </c>
      <c r="T600" s="97"/>
      <c r="U600" s="158">
        <v>1.92</v>
      </c>
      <c r="V600" s="125">
        <v>0.54</v>
      </c>
      <c r="W600" s="126">
        <v>19</v>
      </c>
      <c r="X600" s="13"/>
      <c r="Y600" s="13"/>
      <c r="Z600" s="13"/>
      <c r="AA600" s="13">
        <v>1</v>
      </c>
      <c r="AB600" s="43">
        <f>((U600-O600)/V600)*AA600 * (1-(3/(4*(Q600+W600-2)-1)))</f>
        <v>-0.52577052577052585</v>
      </c>
      <c r="AC600" s="128"/>
      <c r="AD600" s="44">
        <v>1</v>
      </c>
      <c r="AE600" s="44"/>
      <c r="AF600" s="13">
        <v>9.4</v>
      </c>
      <c r="AG600" s="13">
        <v>2.9</v>
      </c>
      <c r="AH600" s="13"/>
      <c r="AI600" s="129">
        <v>9.3000000000000007</v>
      </c>
      <c r="AJ600" s="129">
        <v>2.9</v>
      </c>
      <c r="AK600" s="13"/>
      <c r="AL600" s="13"/>
      <c r="AM600" s="13"/>
      <c r="AN600" s="13"/>
      <c r="AO600" s="11"/>
    </row>
    <row r="601" spans="1:41" s="1" customFormat="1" ht="23.1" customHeight="1" x14ac:dyDescent="0.25">
      <c r="A601" s="11">
        <v>541</v>
      </c>
      <c r="C601" s="14"/>
      <c r="D601" s="14"/>
      <c r="E601" s="36"/>
      <c r="F601" s="14"/>
      <c r="H601" s="11"/>
      <c r="I601" s="204"/>
      <c r="J601" s="204"/>
      <c r="K601" s="210"/>
      <c r="L601" s="220"/>
      <c r="M601" s="220"/>
      <c r="N601" s="220"/>
      <c r="O601" s="172"/>
      <c r="P601" s="173"/>
      <c r="Q601" s="174"/>
      <c r="R601" s="56"/>
      <c r="S601" s="175"/>
      <c r="T601" s="88"/>
      <c r="U601" s="172"/>
      <c r="V601" s="176"/>
      <c r="W601" s="174"/>
      <c r="X601" s="14"/>
      <c r="Y601" s="55"/>
      <c r="Z601" s="55"/>
      <c r="AA601" s="14"/>
      <c r="AB601" s="43"/>
      <c r="AC601" s="61"/>
      <c r="AD601" s="101"/>
      <c r="AE601" s="44"/>
      <c r="AF601" s="14"/>
      <c r="AG601" s="14"/>
      <c r="AI601" s="62"/>
      <c r="AJ601" s="62"/>
      <c r="AK601" s="14"/>
      <c r="AL601" s="14"/>
      <c r="AN601" s="14"/>
    </row>
    <row r="602" spans="1:41" s="177" customFormat="1" ht="15.95" customHeight="1" x14ac:dyDescent="0.25">
      <c r="A602" s="11">
        <v>558</v>
      </c>
      <c r="B602" s="1"/>
      <c r="C602" s="14"/>
      <c r="D602" s="14"/>
      <c r="E602" s="36"/>
      <c r="F602" s="14"/>
      <c r="G602" s="1"/>
      <c r="H602" s="11"/>
      <c r="I602" s="204"/>
      <c r="J602" s="204"/>
      <c r="K602" s="210"/>
      <c r="L602" s="220"/>
      <c r="M602" s="220"/>
      <c r="N602" s="220"/>
      <c r="O602" s="172"/>
      <c r="P602" s="173"/>
      <c r="Q602" s="174"/>
      <c r="R602" s="56"/>
      <c r="S602" s="175"/>
      <c r="T602" s="88"/>
      <c r="U602" s="172"/>
      <c r="V602" s="176"/>
      <c r="W602" s="174"/>
      <c r="X602" s="14"/>
      <c r="Y602" s="55"/>
      <c r="Z602" s="55"/>
      <c r="AA602" s="14"/>
      <c r="AB602" s="43"/>
      <c r="AC602" s="61"/>
      <c r="AD602" s="1"/>
      <c r="AE602" s="101"/>
      <c r="AF602" s="14"/>
      <c r="AG602" s="14"/>
      <c r="AH602" s="1"/>
      <c r="AI602" s="62"/>
      <c r="AJ602" s="62"/>
      <c r="AK602" s="14"/>
      <c r="AL602" s="14"/>
      <c r="AM602" s="1"/>
      <c r="AN602" s="14"/>
      <c r="AO602" s="1"/>
    </row>
  </sheetData>
  <sortState xmlns:xlrd2="http://schemas.microsoft.com/office/spreadsheetml/2017/richdata2" ref="A7:AO600">
    <sortCondition ref="AD7:AD600"/>
    <sortCondition ref="C7:C600"/>
  </sortState>
  <mergeCells count="8">
    <mergeCell ref="O1:Q1"/>
    <mergeCell ref="U1:W1"/>
    <mergeCell ref="AF1:AG1"/>
    <mergeCell ref="AI1:AJ1"/>
    <mergeCell ref="O3:P3"/>
    <mergeCell ref="U3:V3"/>
    <mergeCell ref="AF3:AG3"/>
    <mergeCell ref="AI3:AJ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Olson (Psychology)</dc:creator>
  <cp:lastModifiedBy>Cristina Romani</cp:lastModifiedBy>
  <dcterms:created xsi:type="dcterms:W3CDTF">2025-03-04T17:15:21Z</dcterms:created>
  <dcterms:modified xsi:type="dcterms:W3CDTF">2025-03-06T00:19:25Z</dcterms:modified>
</cp:coreProperties>
</file>